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5.xml" ContentType="application/vnd.openxmlformats-officedocument.drawing+xml"/>
  <Override PartName="/xl/tables/table11.xml" ContentType="application/vnd.openxmlformats-officedocument.spreadsheetml.table+xml"/>
  <Override PartName="/xl/drawings/drawing6.xml" ContentType="application/vnd.openxmlformats-officedocument.drawing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drawings/drawing7.xml" ContentType="application/vnd.openxmlformats-officedocument.drawing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drawings/drawing8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9.xml" ContentType="application/vnd.openxmlformats-officedocument.drawing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drawings/drawing10.xml" ContentType="application/vnd.openxmlformats-officedocument.drawing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drawings/drawing11.xml" ContentType="application/vnd.openxmlformats-officedocument.drawing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50.xml" ContentType="application/vnd.openxmlformats-officedocument.spreadsheetml.table+xml"/>
  <Override PartName="/xl/drawings/drawing12.xml" ContentType="application/vnd.openxmlformats-officedocument.drawing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drawings/drawing13.xml" ContentType="application/vnd.openxmlformats-officedocument.drawing+xml"/>
  <Override PartName="/xl/tables/table60.xml" ContentType="application/vnd.openxmlformats-officedocument.spreadsheetml.table+xml"/>
  <Override PartName="/xl/tables/table61.xml" ContentType="application/vnd.openxmlformats-officedocument.spreadsheetml.table+xml"/>
  <Override PartName="/xl/tables/table62.xml" ContentType="application/vnd.openxmlformats-officedocument.spreadsheetml.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4.xml" ContentType="application/vnd.openxmlformats-officedocument.drawing+xml"/>
  <Override PartName="/xl/tables/table63.xml" ContentType="application/vnd.openxmlformats-officedocument.spreadsheetml.table+xml"/>
  <Override PartName="/xl/drawings/drawing15.xml" ContentType="application/vnd.openxmlformats-officedocument.drawing+xml"/>
  <Override PartName="/xl/tables/table64.xml" ContentType="application/vnd.openxmlformats-officedocument.spreadsheetml.table+xml"/>
  <Override PartName="/xl/drawings/drawing16.xml" ContentType="application/vnd.openxmlformats-officedocument.drawing+xml"/>
  <Override PartName="/xl/tables/table65.xml" ContentType="application/vnd.openxmlformats-officedocument.spreadsheetml.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7.xml" ContentType="application/vnd.openxmlformats-officedocument.drawing+xml"/>
  <Override PartName="/xl/tables/table66.xml" ContentType="application/vnd.openxmlformats-officedocument.spreadsheetml.table+xml"/>
  <Override PartName="/xl/tables/table6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1" defaultThemeVersion="153222"/>
  <mc:AlternateContent xmlns:mc="http://schemas.openxmlformats.org/markup-compatibility/2006">
    <mc:Choice Requires="x15">
      <x15ac:absPath xmlns:x15ac="http://schemas.microsoft.com/office/spreadsheetml/2010/11/ac" url="D:\Projects\dragon\Docs\Progression\"/>
    </mc:Choice>
  </mc:AlternateContent>
  <bookViews>
    <workbookView xWindow="0" yWindow="0" windowWidth="8535" windowHeight="2595" tabRatio="938" firstSheet="1" activeTab="7"/>
  </bookViews>
  <sheets>
    <sheet name="BD - Heats Maps (2)" sheetId="52" state="hidden" r:id="rId1"/>
    <sheet name="Dragons - Unlock" sheetId="4" r:id="rId2"/>
    <sheet name="Balance - XP points" sheetId="32" r:id="rId3"/>
    <sheet name="Balance - Global LVL" sheetId="60" r:id="rId4"/>
    <sheet name="Balance - Score" sheetId="55" r:id="rId5"/>
    <sheet name="Missions rewards&amp;quantities" sheetId="2" r:id="rId6"/>
    <sheet name="Run - Duration" sheetId="13" r:id="rId7"/>
    <sheet name="Run - Survival Bonus" sheetId="57" r:id="rId8"/>
    <sheet name="Run - Boosters &amp; Map" sheetId="24" r:id="rId9"/>
    <sheet name="Run - Revives" sheetId="62" r:id="rId10"/>
    <sheet name="Progression - Gold rate" sheetId="11" r:id="rId11"/>
    <sheet name="Progression - Survival Bonus" sheetId="68" r:id="rId12"/>
    <sheet name="Progression - Growth rate" sheetId="12" r:id="rId13"/>
    <sheet name="Link table" sheetId="14" r:id="rId14"/>
    <sheet name="Chests" sheetId="74" r:id="rId15"/>
    <sheet name="Gacha - Chests &amp; Eggs" sheetId="9" r:id="rId16"/>
    <sheet name="Gatcha - Cost to burn" sheetId="63" r:id="rId17"/>
    <sheet name="Gatcha - Pets " sheetId="64" r:id="rId18"/>
    <sheet name="Gacha - Reward" sheetId="7" r:id="rId19"/>
    <sheet name="Gatcha - Skins" sheetId="65" r:id="rId20"/>
    <sheet name="Powerups" sheetId="66" r:id="rId21"/>
    <sheet name="Combination simulator" sheetId="8" r:id="rId22"/>
    <sheet name="Hard currency" sheetId="15" r:id="rId23"/>
    <sheet name="Soft Currency" sheetId="22" r:id="rId24"/>
    <sheet name="Event Keys" sheetId="73" r:id="rId25"/>
    <sheet name="Timers" sheetId="29" r:id="rId26"/>
    <sheet name="Benchmark stores" sheetId="16" r:id="rId27"/>
  </sheets>
  <definedNames>
    <definedName name="_xlcn.WorksheetConnection_AVGHoursGameplay1" hidden="1">AVGHoursGameplay</definedName>
    <definedName name="_xlcn.WorksheetConnection_Database1" hidden="1">_xlnm.Database</definedName>
    <definedName name="_xlcn.WorksheetConnection_FGOLDatas1" hidden="1">FGOLDatas</definedName>
    <definedName name="_xlcn.WorksheetConnection_hoursGameplay1" hidden="1">hoursGameplay</definedName>
    <definedName name="_xlcn.WorksheetConnection_HungryDragonspreProdSpreadsheet1.4DirectPurchase.xlsmTable501" hidden="1">Table50[]</definedName>
    <definedName name="_xlcn.WorksheetConnection_HungryDragonspreProdSpreadsheet2.7Gacha.xlsmTable731" hidden="1">playerCohortExample</definedName>
    <definedName name="_xlcn.WorksheetConnection_PlayerProfiles1" hidden="1">PlayerProfiles</definedName>
    <definedName name="_xlcn.WorksheetConnection_Table781" hidden="1">Table78[]</definedName>
    <definedName name="costOfTime">" "</definedName>
    <definedName name="Daily_missions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78" name="Table78" connection="WorksheetConnection_Table78"/>
          <x15:modelTable id="PlayerProfiles" name="PlayerProfiles" connection="WorksheetConnection_PlayerProfiles"/>
          <x15:modelTable id="Table73-e4b9d051-026f-4e85-9386-51852f9a8f0a" name="Table73" connection="WorksheetConnection_Hungry Dragons - preProdSpreadsheet 2.7 - Gacha .xlsm!Table73"/>
          <x15:modelTable id="Table50-8388b9f9-7355-4cf3-999c-55abe31f06ae" name="Table50" connection="WorksheetConnection_Hungry Dragons - preProdSpreadsheet 1.4 - Direct Purchase .xlsm!Table50"/>
          <x15:modelTable id="hoursGameplay" name="hoursGameplay" connection="WorksheetConnection_hoursGameplay"/>
          <x15:modelTable id="FGOLDatas" name="FGOLDatas" connection="WorksheetConnection_FGOLDatas"/>
          <x15:modelTable id="Database-ec9109f5-9d7e-4cae-863d-f777441dd1a1" name="Database" connection="WorksheetConnection_Database"/>
          <x15:modelTable id="AVGHoursGameplay" name="AVGHoursGameplay" connection="WorksheetConnection_AVGHoursGameplay"/>
        </x15:modelTables>
        <x15:modelRelationships>
          <x15:modelRelationship fromTable="Database" fromColumn="Player" toTable="PlayerProfiles" toColumn="Profile Name"/>
          <x15:modelRelationship fromTable="Database" fromColumn="Player" toTable="hoursGameplay" toColumn="Profile name"/>
        </x15:modelRelationships>
      </x15:dataModel>
    </ext>
  </extLst>
</workbook>
</file>

<file path=xl/calcChain.xml><?xml version="1.0" encoding="utf-8"?>
<calcChain xmlns="http://schemas.openxmlformats.org/spreadsheetml/2006/main">
  <c r="L44" i="2" l="1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L43" i="2"/>
  <c r="J43" i="2"/>
  <c r="H43" i="2"/>
  <c r="L42" i="2"/>
  <c r="J42" i="2"/>
  <c r="H42" i="2"/>
  <c r="L41" i="2"/>
  <c r="J41" i="2"/>
  <c r="H41" i="2"/>
  <c r="L40" i="2"/>
  <c r="J40" i="2"/>
  <c r="H40" i="2"/>
  <c r="L39" i="2"/>
  <c r="J39" i="2"/>
  <c r="H39" i="2"/>
  <c r="L38" i="2"/>
  <c r="J38" i="2"/>
  <c r="H38" i="2"/>
  <c r="L37" i="2"/>
  <c r="J37" i="2"/>
  <c r="H37" i="2"/>
  <c r="C11" i="32"/>
  <c r="L36" i="2"/>
  <c r="J36" i="2"/>
  <c r="H36" i="2"/>
  <c r="L35" i="2"/>
  <c r="L34" i="2"/>
  <c r="J35" i="2"/>
  <c r="J34" i="2"/>
  <c r="H35" i="2"/>
  <c r="H34" i="2"/>
  <c r="D52" i="32" a="1"/>
  <c r="E52" i="32" s="1"/>
  <c r="D50" i="32" a="1"/>
  <c r="D50" i="32" s="1"/>
  <c r="C50" i="32"/>
  <c r="C48" i="32"/>
  <c r="B80" i="32"/>
  <c r="B82" i="32"/>
  <c r="B81" i="32"/>
  <c r="Y52" i="32"/>
  <c r="F51" i="32"/>
  <c r="Y51" i="32"/>
  <c r="X51" i="32"/>
  <c r="W51" i="32"/>
  <c r="V51" i="32"/>
  <c r="U51" i="32"/>
  <c r="T51" i="32"/>
  <c r="S51" i="32"/>
  <c r="R51" i="32"/>
  <c r="Q51" i="32"/>
  <c r="P51" i="32"/>
  <c r="O51" i="32"/>
  <c r="N51" i="32"/>
  <c r="M51" i="32"/>
  <c r="L51" i="32"/>
  <c r="K51" i="32"/>
  <c r="J51" i="32"/>
  <c r="I51" i="32"/>
  <c r="H51" i="32"/>
  <c r="G51" i="32"/>
  <c r="C52" i="32"/>
  <c r="C51" i="32"/>
  <c r="Y49" i="32"/>
  <c r="Y50" i="32" s="1"/>
  <c r="X49" i="32"/>
  <c r="W49" i="32"/>
  <c r="V49" i="32"/>
  <c r="U49" i="32"/>
  <c r="T49" i="32"/>
  <c r="S49" i="32"/>
  <c r="R49" i="32"/>
  <c r="Q49" i="32"/>
  <c r="P49" i="32"/>
  <c r="O49" i="32"/>
  <c r="N49" i="32"/>
  <c r="M49" i="32"/>
  <c r="L49" i="32"/>
  <c r="K49" i="32"/>
  <c r="J49" i="32"/>
  <c r="I49" i="32"/>
  <c r="H49" i="32"/>
  <c r="G49" i="32"/>
  <c r="F49" i="32"/>
  <c r="C49" i="32"/>
  <c r="C21" i="32"/>
  <c r="C22" i="32"/>
  <c r="C20" i="32"/>
  <c r="D52" i="32" l="1"/>
  <c r="E50" i="32"/>
  <c r="F50" i="32"/>
  <c r="G52" i="32"/>
  <c r="B66" i="32"/>
  <c r="S52" i="32" l="1"/>
  <c r="K52" i="32"/>
  <c r="N52" i="32"/>
  <c r="R52" i="32"/>
  <c r="U52" i="32"/>
  <c r="F52" i="32"/>
  <c r="B67" i="32" s="1"/>
  <c r="L52" i="32"/>
  <c r="I52" i="32"/>
  <c r="E67" i="32" s="1"/>
  <c r="Q52" i="32"/>
  <c r="J52" i="32"/>
  <c r="F67" i="32" s="1"/>
  <c r="P52" i="32"/>
  <c r="L67" i="32" s="1"/>
  <c r="V52" i="32"/>
  <c r="H52" i="32"/>
  <c r="W52" i="32"/>
  <c r="T52" i="32"/>
  <c r="X52" i="32"/>
  <c r="M52" i="32"/>
  <c r="O52" i="32"/>
  <c r="W50" i="32"/>
  <c r="G50" i="32"/>
  <c r="C66" i="32" s="1"/>
  <c r="I50" i="32"/>
  <c r="Q50" i="32"/>
  <c r="V50" i="32"/>
  <c r="L50" i="32"/>
  <c r="J50" i="32"/>
  <c r="T50" i="32"/>
  <c r="S50" i="32"/>
  <c r="X50" i="32"/>
  <c r="R50" i="32"/>
  <c r="N50" i="32"/>
  <c r="M50" i="32"/>
  <c r="K50" i="32"/>
  <c r="O50" i="32"/>
  <c r="U50" i="32"/>
  <c r="P50" i="32"/>
  <c r="H50" i="32"/>
  <c r="H67" i="32" l="1"/>
  <c r="I67" i="32"/>
  <c r="T67" i="32"/>
  <c r="N67" i="32"/>
  <c r="M67" i="32"/>
  <c r="K67" i="32"/>
  <c r="Q67" i="32"/>
  <c r="P67" i="32"/>
  <c r="J67" i="32"/>
  <c r="S67" i="32"/>
  <c r="G67" i="32"/>
  <c r="D67" i="32"/>
  <c r="O67" i="32"/>
  <c r="R67" i="32"/>
  <c r="C67" i="32"/>
  <c r="G66" i="32"/>
  <c r="L66" i="32"/>
  <c r="E66" i="32"/>
  <c r="R66" i="32"/>
  <c r="M66" i="32"/>
  <c r="S66" i="32"/>
  <c r="Q66" i="32"/>
  <c r="N66" i="32"/>
  <c r="K66" i="32"/>
  <c r="J66" i="32"/>
  <c r="O66" i="32"/>
  <c r="I66" i="32"/>
  <c r="P66" i="32"/>
  <c r="F66" i="32"/>
  <c r="T66" i="32"/>
  <c r="D66" i="32"/>
  <c r="H66" i="32"/>
  <c r="C82" i="32" l="1"/>
  <c r="C81" i="32"/>
  <c r="F9" i="4"/>
  <c r="G16" i="2"/>
  <c r="H16" i="2"/>
  <c r="I16" i="2"/>
  <c r="G15" i="2"/>
  <c r="H15" i="2"/>
  <c r="I15" i="2"/>
  <c r="E25" i="2"/>
  <c r="F27" i="2" s="1"/>
  <c r="I25" i="2"/>
  <c r="G5" i="2"/>
  <c r="I6" i="2"/>
  <c r="I5" i="2"/>
  <c r="G61" i="2" l="1"/>
  <c r="G57" i="2"/>
  <c r="G53" i="2"/>
  <c r="G49" i="2"/>
  <c r="G45" i="2"/>
  <c r="G60" i="2"/>
  <c r="G56" i="2"/>
  <c r="G52" i="2"/>
  <c r="G48" i="2"/>
  <c r="G44" i="2"/>
  <c r="G42" i="2"/>
  <c r="G40" i="2"/>
  <c r="G38" i="2"/>
  <c r="G62" i="2"/>
  <c r="G58" i="2"/>
  <c r="G54" i="2"/>
  <c r="G50" i="2"/>
  <c r="G46" i="2"/>
  <c r="G39" i="2"/>
  <c r="G43" i="2"/>
  <c r="G37" i="2"/>
  <c r="G55" i="2"/>
  <c r="G47" i="2"/>
  <c r="G59" i="2"/>
  <c r="G51" i="2"/>
  <c r="G36" i="2"/>
  <c r="G41" i="2"/>
  <c r="G35" i="2"/>
  <c r="G34" i="2"/>
  <c r="H27" i="2"/>
  <c r="G27" i="2"/>
  <c r="I35" i="2" s="1"/>
  <c r="I34" i="2" l="1"/>
  <c r="K61" i="2"/>
  <c r="K57" i="2"/>
  <c r="K53" i="2"/>
  <c r="K49" i="2"/>
  <c r="K45" i="2"/>
  <c r="K36" i="2"/>
  <c r="K50" i="2"/>
  <c r="K39" i="2"/>
  <c r="K60" i="2"/>
  <c r="K56" i="2"/>
  <c r="K52" i="2"/>
  <c r="K48" i="2"/>
  <c r="K44" i="2"/>
  <c r="K42" i="2"/>
  <c r="K40" i="2"/>
  <c r="K38" i="2"/>
  <c r="K37" i="2"/>
  <c r="K59" i="2"/>
  <c r="K55" i="2"/>
  <c r="K51" i="2"/>
  <c r="K47" i="2"/>
  <c r="K62" i="2"/>
  <c r="K54" i="2"/>
  <c r="K46" i="2"/>
  <c r="K41" i="2"/>
  <c r="K58" i="2"/>
  <c r="K43" i="2"/>
  <c r="I62" i="2"/>
  <c r="I58" i="2"/>
  <c r="I54" i="2"/>
  <c r="I50" i="2"/>
  <c r="I46" i="2"/>
  <c r="I39" i="2"/>
  <c r="I61" i="2"/>
  <c r="I57" i="2"/>
  <c r="I53" i="2"/>
  <c r="I49" i="2"/>
  <c r="I45" i="2"/>
  <c r="I41" i="2"/>
  <c r="I60" i="2"/>
  <c r="I56" i="2"/>
  <c r="I52" i="2"/>
  <c r="I48" i="2"/>
  <c r="I44" i="2"/>
  <c r="I42" i="2"/>
  <c r="I40" i="2"/>
  <c r="I38" i="2"/>
  <c r="I36" i="2"/>
  <c r="I37" i="2"/>
  <c r="I43" i="2"/>
  <c r="I59" i="2"/>
  <c r="I55" i="2"/>
  <c r="I51" i="2"/>
  <c r="I47" i="2"/>
  <c r="K34" i="2"/>
  <c r="K35" i="2"/>
  <c r="C30" i="32"/>
  <c r="G15" i="74" l="1"/>
  <c r="G16" i="74"/>
  <c r="G17" i="74"/>
  <c r="G18" i="74"/>
  <c r="G19" i="74"/>
  <c r="G20" i="74"/>
  <c r="G21" i="74"/>
  <c r="G22" i="74"/>
  <c r="G23" i="74"/>
  <c r="G24" i="74"/>
  <c r="E15" i="74"/>
  <c r="E16" i="74"/>
  <c r="E17" i="74"/>
  <c r="E18" i="74"/>
  <c r="E19" i="74"/>
  <c r="E20" i="74"/>
  <c r="E21" i="74"/>
  <c r="E22" i="74"/>
  <c r="E23" i="74"/>
  <c r="E24" i="74"/>
  <c r="B15" i="74" l="1"/>
  <c r="B16" i="74"/>
  <c r="B17" i="74"/>
  <c r="B18" i="74"/>
  <c r="B19" i="74"/>
  <c r="B20" i="74"/>
  <c r="B21" i="74"/>
  <c r="B22" i="74"/>
  <c r="B23" i="74"/>
  <c r="B24" i="74"/>
  <c r="D8" i="74"/>
  <c r="D9" i="74"/>
  <c r="D10" i="74"/>
  <c r="D11" i="74"/>
  <c r="D12" i="74"/>
  <c r="D24" i="74" l="1"/>
  <c r="F24" i="74"/>
  <c r="C24" i="74"/>
  <c r="D22" i="74"/>
  <c r="C22" i="74"/>
  <c r="F22" i="74"/>
  <c r="D21" i="74"/>
  <c r="C21" i="74"/>
  <c r="F21" i="74"/>
  <c r="F20" i="74"/>
  <c r="D20" i="74"/>
  <c r="C20" i="74"/>
  <c r="C19" i="74"/>
  <c r="D19" i="74"/>
  <c r="F19" i="74"/>
  <c r="C18" i="74"/>
  <c r="D18" i="74"/>
  <c r="F18" i="74"/>
  <c r="F16" i="74"/>
  <c r="C16" i="74"/>
  <c r="D16" i="74"/>
  <c r="F17" i="74"/>
  <c r="C17" i="74"/>
  <c r="D17" i="74"/>
  <c r="C15" i="74"/>
  <c r="D15" i="74"/>
  <c r="F15" i="74"/>
  <c r="C23" i="74"/>
  <c r="D23" i="74"/>
  <c r="F23" i="74"/>
  <c r="G52" i="9"/>
  <c r="B82" i="9"/>
  <c r="C82" i="9" s="1"/>
  <c r="B83" i="9"/>
  <c r="C83" i="9" s="1"/>
  <c r="B84" i="9"/>
  <c r="C84" i="9" s="1"/>
  <c r="B85" i="9"/>
  <c r="C85" i="9" s="1"/>
  <c r="B86" i="9"/>
  <c r="C86" i="9" s="1"/>
  <c r="B87" i="9"/>
  <c r="C87" i="9" s="1"/>
  <c r="B88" i="9"/>
  <c r="C88" i="9" s="1"/>
  <c r="B89" i="9"/>
  <c r="C89" i="9" s="1"/>
  <c r="B90" i="9"/>
  <c r="C90" i="9" s="1"/>
  <c r="B91" i="9"/>
  <c r="C91" i="9" s="1"/>
  <c r="B52" i="9"/>
  <c r="C52" i="9" s="1"/>
  <c r="B53" i="9"/>
  <c r="C53" i="9" s="1"/>
  <c r="B54" i="9"/>
  <c r="C54" i="9" s="1"/>
  <c r="B55" i="9"/>
  <c r="C55" i="9" s="1"/>
  <c r="B56" i="9"/>
  <c r="C56" i="9" s="1"/>
  <c r="B57" i="9"/>
  <c r="C57" i="9" s="1"/>
  <c r="B58" i="9"/>
  <c r="C58" i="9" s="1"/>
  <c r="B59" i="9"/>
  <c r="C59" i="9" s="1"/>
  <c r="B60" i="9"/>
  <c r="C60" i="9" s="1"/>
  <c r="B61" i="9"/>
  <c r="C61" i="9" s="1"/>
  <c r="B62" i="9"/>
  <c r="C62" i="9" s="1"/>
  <c r="B63" i="9"/>
  <c r="C63" i="9" s="1"/>
  <c r="B64" i="9"/>
  <c r="C64" i="9" s="1"/>
  <c r="B65" i="9"/>
  <c r="C65" i="9" s="1"/>
  <c r="B66" i="9"/>
  <c r="C66" i="9" s="1"/>
  <c r="B67" i="9"/>
  <c r="C67" i="9" s="1"/>
  <c r="B68" i="9"/>
  <c r="C68" i="9" s="1"/>
  <c r="B69" i="9"/>
  <c r="C69" i="9" s="1"/>
  <c r="B70" i="9"/>
  <c r="C70" i="9" s="1"/>
  <c r="B71" i="9"/>
  <c r="C71" i="9" s="1"/>
  <c r="B72" i="9"/>
  <c r="C72" i="9" s="1"/>
  <c r="B73" i="9"/>
  <c r="C73" i="9" s="1"/>
  <c r="B74" i="9"/>
  <c r="C74" i="9" s="1"/>
  <c r="B75" i="9"/>
  <c r="C75" i="9" s="1"/>
  <c r="B76" i="9"/>
  <c r="C76" i="9" s="1"/>
  <c r="B77" i="9"/>
  <c r="C77" i="9" s="1"/>
  <c r="B78" i="9"/>
  <c r="C78" i="9" s="1"/>
  <c r="B79" i="9"/>
  <c r="C79" i="9" s="1"/>
  <c r="B80" i="9"/>
  <c r="C80" i="9" s="1"/>
  <c r="B81" i="9"/>
  <c r="C81" i="9" s="1"/>
  <c r="F57" i="9" l="1"/>
  <c r="F56" i="9"/>
  <c r="F55" i="9"/>
  <c r="M9" i="4"/>
  <c r="M11" i="4"/>
  <c r="M12" i="4"/>
  <c r="F60" i="9" l="1"/>
  <c r="F62" i="9"/>
  <c r="F61" i="9"/>
  <c r="C55" i="15" a="1"/>
  <c r="C55" i="15" s="1"/>
  <c r="D55" i="15" l="1"/>
  <c r="B40" i="15" l="1"/>
  <c r="B41" i="15"/>
  <c r="B42" i="15"/>
  <c r="B43" i="15"/>
  <c r="B44" i="15"/>
  <c r="B45" i="15"/>
  <c r="B54" i="15" l="1"/>
  <c r="B55" i="15" s="1"/>
  <c r="C89" i="15"/>
  <c r="C91" i="15"/>
  <c r="C92" i="15" s="1"/>
  <c r="B37" i="15"/>
  <c r="M4" i="9"/>
  <c r="S56" i="32"/>
  <c r="Q61" i="32"/>
  <c r="F10" i="24"/>
  <c r="C9" i="4"/>
  <c r="G7" i="65"/>
  <c r="H7" i="65" s="1"/>
  <c r="E9" i="4"/>
  <c r="G9" i="4"/>
  <c r="H9" i="4"/>
  <c r="I9" i="4"/>
  <c r="G13" i="65"/>
  <c r="H13" i="65" s="1"/>
  <c r="K9" i="4"/>
  <c r="G15" i="65"/>
  <c r="B9" i="4"/>
  <c r="B71" i="32"/>
  <c r="B72" i="32"/>
  <c r="B73" i="32"/>
  <c r="B74" i="32"/>
  <c r="B75" i="32"/>
  <c r="B76" i="32"/>
  <c r="B77" i="32"/>
  <c r="B78" i="32"/>
  <c r="B79" i="32"/>
  <c r="B30" i="9"/>
  <c r="A40" i="64"/>
  <c r="A41" i="64" s="1"/>
  <c r="M9" i="9"/>
  <c r="M10" i="9"/>
  <c r="M8" i="9"/>
  <c r="M13" i="9"/>
  <c r="M7" i="9"/>
  <c r="M12" i="9"/>
  <c r="M6" i="9"/>
  <c r="M11" i="9"/>
  <c r="M5" i="9"/>
  <c r="Y18" i="11"/>
  <c r="Y17" i="11"/>
  <c r="Y16" i="11"/>
  <c r="Y15" i="11"/>
  <c r="Y14" i="11"/>
  <c r="Y13" i="11"/>
  <c r="Y12" i="11"/>
  <c r="Y11" i="11"/>
  <c r="Y10" i="11"/>
  <c r="Y9" i="11"/>
  <c r="D13" i="68"/>
  <c r="C36" i="68" s="1"/>
  <c r="E13" i="68"/>
  <c r="D36" i="68" s="1"/>
  <c r="E14" i="68"/>
  <c r="G15" i="68"/>
  <c r="H15" i="68"/>
  <c r="H16" i="68"/>
  <c r="G39" i="68" s="1"/>
  <c r="J17" i="68"/>
  <c r="I40" i="68" s="1"/>
  <c r="K17" i="68"/>
  <c r="J40" i="68" s="1"/>
  <c r="K18" i="68"/>
  <c r="J41" i="68" s="1"/>
  <c r="E6" i="65"/>
  <c r="E7" i="65"/>
  <c r="E8" i="65"/>
  <c r="E9" i="65"/>
  <c r="E10" i="65"/>
  <c r="E11" i="65"/>
  <c r="E12" i="65"/>
  <c r="E13" i="65"/>
  <c r="E14" i="65"/>
  <c r="E15" i="65"/>
  <c r="F6" i="65"/>
  <c r="F7" i="65"/>
  <c r="F8" i="65"/>
  <c r="F9" i="65"/>
  <c r="F10" i="65"/>
  <c r="F11" i="65"/>
  <c r="F12" i="65"/>
  <c r="F13" i="65"/>
  <c r="F14" i="65"/>
  <c r="F15" i="65"/>
  <c r="N11" i="65"/>
  <c r="B11" i="65"/>
  <c r="D11" i="65"/>
  <c r="C11" i="65"/>
  <c r="N12" i="65"/>
  <c r="B12" i="65"/>
  <c r="D12" i="65"/>
  <c r="C12" i="65"/>
  <c r="N13" i="65"/>
  <c r="B13" i="65"/>
  <c r="D13" i="65"/>
  <c r="C13" i="65"/>
  <c r="N14" i="65"/>
  <c r="B14" i="65"/>
  <c r="D14" i="65"/>
  <c r="C14" i="65"/>
  <c r="N15" i="65"/>
  <c r="B15" i="65"/>
  <c r="D15" i="65"/>
  <c r="C15" i="65"/>
  <c r="M6" i="65"/>
  <c r="M7" i="65"/>
  <c r="M8" i="65"/>
  <c r="M9" i="65"/>
  <c r="M10" i="65"/>
  <c r="M11" i="65"/>
  <c r="M12" i="65"/>
  <c r="M13" i="65"/>
  <c r="M14" i="65"/>
  <c r="M15" i="65"/>
  <c r="N6" i="65"/>
  <c r="B6" i="65"/>
  <c r="D6" i="65"/>
  <c r="C6" i="65"/>
  <c r="N7" i="65"/>
  <c r="B7" i="65"/>
  <c r="D7" i="65"/>
  <c r="C7" i="65"/>
  <c r="N8" i="65"/>
  <c r="B8" i="65"/>
  <c r="D8" i="65"/>
  <c r="C8" i="65"/>
  <c r="A38" i="64"/>
  <c r="N9" i="65"/>
  <c r="B9" i="65"/>
  <c r="D9" i="65"/>
  <c r="C9" i="65"/>
  <c r="N10" i="65"/>
  <c r="B10" i="65"/>
  <c r="D10" i="65"/>
  <c r="C10" i="65"/>
  <c r="B25" i="65"/>
  <c r="B24" i="65"/>
  <c r="B22" i="65"/>
  <c r="B23" i="65"/>
  <c r="B36" i="65"/>
  <c r="B35" i="65"/>
  <c r="B26" i="65"/>
  <c r="B27" i="65"/>
  <c r="B28" i="65"/>
  <c r="B29" i="65"/>
  <c r="B30" i="65"/>
  <c r="B31" i="65"/>
  <c r="B32" i="65"/>
  <c r="B33" i="65"/>
  <c r="B34" i="65"/>
  <c r="B37" i="65"/>
  <c r="B38" i="65"/>
  <c r="B39" i="65"/>
  <c r="B40" i="65"/>
  <c r="B41" i="65"/>
  <c r="B42" i="65"/>
  <c r="B43" i="65"/>
  <c r="B44" i="65"/>
  <c r="B45" i="65"/>
  <c r="B46" i="65"/>
  <c r="B47" i="65"/>
  <c r="B48" i="65"/>
  <c r="B49" i="65"/>
  <c r="B50" i="65"/>
  <c r="B51" i="65"/>
  <c r="E36" i="65"/>
  <c r="F36" i="65" s="1"/>
  <c r="E44" i="65"/>
  <c r="F44" i="65" s="1"/>
  <c r="E45" i="65"/>
  <c r="E37" i="65"/>
  <c r="E27" i="65"/>
  <c r="F27" i="65" s="1"/>
  <c r="E28" i="65"/>
  <c r="E29" i="65"/>
  <c r="E25" i="65"/>
  <c r="F25" i="65" s="1"/>
  <c r="E23" i="65"/>
  <c r="F23" i="65" s="1"/>
  <c r="E26" i="65"/>
  <c r="E38" i="65"/>
  <c r="E39" i="65"/>
  <c r="E30" i="65"/>
  <c r="F30" i="65" s="1"/>
  <c r="E31" i="65"/>
  <c r="E40" i="65"/>
  <c r="F40" i="65" s="1"/>
  <c r="E41" i="65"/>
  <c r="E33" i="65"/>
  <c r="F33" i="65" s="1"/>
  <c r="E34" i="65"/>
  <c r="E35" i="65"/>
  <c r="C6" i="15"/>
  <c r="C7" i="15"/>
  <c r="C8" i="15"/>
  <c r="C9" i="15"/>
  <c r="C10" i="15"/>
  <c r="C11" i="15"/>
  <c r="C12" i="15"/>
  <c r="C13" i="15"/>
  <c r="C14" i="15"/>
  <c r="C15" i="15"/>
  <c r="B80" i="15"/>
  <c r="B81" i="15"/>
  <c r="B82" i="15"/>
  <c r="B83" i="15"/>
  <c r="B84" i="15"/>
  <c r="B76" i="15"/>
  <c r="B77" i="15"/>
  <c r="B78" i="15"/>
  <c r="B79" i="15"/>
  <c r="C12" i="29"/>
  <c r="D12" i="29"/>
  <c r="C4" i="13" a="1"/>
  <c r="D4" i="13" s="1"/>
  <c r="C4" i="13"/>
  <c r="B11" i="68"/>
  <c r="B12" i="68"/>
  <c r="B13" i="68"/>
  <c r="B14" i="68"/>
  <c r="B15" i="68"/>
  <c r="B16" i="68"/>
  <c r="B17" i="68"/>
  <c r="B18" i="68"/>
  <c r="B19" i="68"/>
  <c r="B20" i="68"/>
  <c r="B21" i="68"/>
  <c r="B22" i="68"/>
  <c r="B23" i="68"/>
  <c r="B24" i="68"/>
  <c r="B25" i="68"/>
  <c r="B26" i="68"/>
  <c r="B27" i="68"/>
  <c r="B28" i="68"/>
  <c r="B29" i="68"/>
  <c r="B30" i="68"/>
  <c r="L11" i="4"/>
  <c r="C9" i="29"/>
  <c r="C10" i="29"/>
  <c r="C11" i="29"/>
  <c r="M20" i="65"/>
  <c r="B26" i="66"/>
  <c r="C26" i="66"/>
  <c r="B27" i="66"/>
  <c r="C27" i="66"/>
  <c r="B23" i="66"/>
  <c r="C23" i="66"/>
  <c r="B25" i="66"/>
  <c r="C25" i="66"/>
  <c r="B22" i="66"/>
  <c r="C22" i="66"/>
  <c r="B24" i="66"/>
  <c r="C24" i="66"/>
  <c r="B15" i="66"/>
  <c r="C15" i="66"/>
  <c r="B14" i="66"/>
  <c r="C14" i="66"/>
  <c r="B12" i="66"/>
  <c r="C12" i="66"/>
  <c r="B13" i="66"/>
  <c r="C13" i="66"/>
  <c r="B28" i="66"/>
  <c r="C28" i="66"/>
  <c r="B30" i="66"/>
  <c r="C30" i="66"/>
  <c r="B29" i="66"/>
  <c r="C29" i="66"/>
  <c r="B31" i="66"/>
  <c r="C31" i="66"/>
  <c r="B33" i="66"/>
  <c r="C33" i="66"/>
  <c r="B34" i="66"/>
  <c r="C34" i="66"/>
  <c r="B32" i="66"/>
  <c r="C32" i="66"/>
  <c r="B35" i="66"/>
  <c r="C35" i="66"/>
  <c r="B36" i="66"/>
  <c r="C36" i="66"/>
  <c r="B9" i="66"/>
  <c r="C9" i="66"/>
  <c r="B10" i="66"/>
  <c r="C10" i="66"/>
  <c r="B11" i="66"/>
  <c r="C11" i="66"/>
  <c r="B20" i="66"/>
  <c r="C20" i="66"/>
  <c r="B19" i="66"/>
  <c r="C19" i="66"/>
  <c r="B17" i="66"/>
  <c r="C17" i="66"/>
  <c r="B21" i="66"/>
  <c r="C21" i="66"/>
  <c r="B18" i="66"/>
  <c r="C18" i="66"/>
  <c r="B16" i="66"/>
  <c r="C16" i="66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M19" i="65"/>
  <c r="K22" i="65"/>
  <c r="K23" i="65"/>
  <c r="K24" i="65"/>
  <c r="K25" i="65"/>
  <c r="K26" i="65"/>
  <c r="K27" i="65"/>
  <c r="K28" i="65"/>
  <c r="K29" i="65"/>
  <c r="K30" i="65"/>
  <c r="K31" i="65"/>
  <c r="K32" i="65"/>
  <c r="K33" i="65"/>
  <c r="K34" i="65"/>
  <c r="K35" i="65"/>
  <c r="K36" i="65"/>
  <c r="K37" i="65"/>
  <c r="K38" i="65"/>
  <c r="K39" i="65"/>
  <c r="K40" i="65"/>
  <c r="K41" i="65"/>
  <c r="K42" i="65"/>
  <c r="K43" i="65"/>
  <c r="K44" i="65"/>
  <c r="K45" i="65"/>
  <c r="K46" i="65"/>
  <c r="K47" i="65"/>
  <c r="K48" i="65"/>
  <c r="K49" i="65"/>
  <c r="K50" i="65"/>
  <c r="K51" i="65"/>
  <c r="L19" i="65"/>
  <c r="H29" i="64"/>
  <c r="H30" i="64"/>
  <c r="H31" i="64"/>
  <c r="P35" i="65"/>
  <c r="R35" i="65"/>
  <c r="P44" i="65"/>
  <c r="R44" i="65"/>
  <c r="P51" i="65"/>
  <c r="R51" i="65"/>
  <c r="P50" i="65"/>
  <c r="R50" i="65"/>
  <c r="P49" i="65"/>
  <c r="R49" i="65"/>
  <c r="P22" i="65"/>
  <c r="R22" i="65"/>
  <c r="H25" i="66"/>
  <c r="P46" i="65"/>
  <c r="R46" i="65"/>
  <c r="P24" i="65"/>
  <c r="R24" i="65"/>
  <c r="P31" i="65"/>
  <c r="R31" i="65"/>
  <c r="P38" i="65"/>
  <c r="R38" i="65"/>
  <c r="P45" i="65"/>
  <c r="R45" i="65"/>
  <c r="P48" i="65"/>
  <c r="R48" i="65"/>
  <c r="P26" i="65"/>
  <c r="R26" i="65"/>
  <c r="P47" i="65"/>
  <c r="R47" i="65"/>
  <c r="P25" i="65"/>
  <c r="R25" i="65"/>
  <c r="P32" i="65"/>
  <c r="R32" i="65"/>
  <c r="P39" i="65"/>
  <c r="R39" i="65"/>
  <c r="P29" i="65"/>
  <c r="R29" i="65"/>
  <c r="P42" i="65"/>
  <c r="R42" i="65"/>
  <c r="P36" i="65"/>
  <c r="R36" i="65"/>
  <c r="P37" i="65"/>
  <c r="R37" i="65"/>
  <c r="P43" i="65"/>
  <c r="R43" i="65"/>
  <c r="P27" i="65"/>
  <c r="R27" i="65"/>
  <c r="P23" i="65"/>
  <c r="R23" i="65"/>
  <c r="K9" i="11"/>
  <c r="L9" i="11"/>
  <c r="L22" i="11"/>
  <c r="M9" i="11"/>
  <c r="N9" i="11"/>
  <c r="N22" i="11"/>
  <c r="O9" i="11"/>
  <c r="O22" i="11"/>
  <c r="P9" i="11"/>
  <c r="P22" i="11"/>
  <c r="Q9" i="11"/>
  <c r="R9" i="11"/>
  <c r="R22" i="11"/>
  <c r="S9" i="11"/>
  <c r="T9" i="11"/>
  <c r="T22" i="11"/>
  <c r="U9" i="11"/>
  <c r="U22" i="11"/>
  <c r="M10" i="11"/>
  <c r="M23" i="11"/>
  <c r="N10" i="11"/>
  <c r="N23" i="11"/>
  <c r="O10" i="11"/>
  <c r="P10" i="11"/>
  <c r="Q10" i="11"/>
  <c r="Q23" i="11"/>
  <c r="R10" i="11"/>
  <c r="R23" i="11"/>
  <c r="S10" i="11"/>
  <c r="S23" i="11"/>
  <c r="T10" i="11"/>
  <c r="T23" i="11"/>
  <c r="U10" i="11"/>
  <c r="M11" i="11"/>
  <c r="N11" i="11"/>
  <c r="N24" i="11"/>
  <c r="O11" i="11"/>
  <c r="O24" i="11"/>
  <c r="P11" i="11"/>
  <c r="P24" i="11"/>
  <c r="Q11" i="11"/>
  <c r="R11" i="11"/>
  <c r="R24" i="11"/>
  <c r="S11" i="11"/>
  <c r="T11" i="11"/>
  <c r="T24" i="11"/>
  <c r="U11" i="11"/>
  <c r="U24" i="11"/>
  <c r="M12" i="11"/>
  <c r="M25" i="11"/>
  <c r="N12" i="11"/>
  <c r="N25" i="11"/>
  <c r="O12" i="11"/>
  <c r="P12" i="11"/>
  <c r="Q12" i="11"/>
  <c r="Q25" i="11"/>
  <c r="R12" i="11"/>
  <c r="R25" i="11"/>
  <c r="S12" i="11"/>
  <c r="S25" i="11"/>
  <c r="T12" i="11"/>
  <c r="U12" i="11"/>
  <c r="R13" i="11"/>
  <c r="S13" i="11"/>
  <c r="S26" i="11"/>
  <c r="T13" i="11"/>
  <c r="T26" i="11"/>
  <c r="U13" i="11"/>
  <c r="R14" i="11"/>
  <c r="S14" i="11"/>
  <c r="S27" i="11"/>
  <c r="T14" i="11"/>
  <c r="U14" i="11"/>
  <c r="U27" i="11"/>
  <c r="R15" i="11"/>
  <c r="R28" i="11"/>
  <c r="S15" i="11"/>
  <c r="S28" i="11"/>
  <c r="T15" i="11"/>
  <c r="U15" i="11"/>
  <c r="V9" i="11"/>
  <c r="V22" i="11"/>
  <c r="V10" i="11"/>
  <c r="V23" i="11"/>
  <c r="V11" i="11"/>
  <c r="V24" i="11"/>
  <c r="V12" i="11"/>
  <c r="V25" i="11"/>
  <c r="V13" i="11"/>
  <c r="V26" i="11"/>
  <c r="V14" i="11"/>
  <c r="V27" i="11"/>
  <c r="V15" i="11"/>
  <c r="V28" i="11"/>
  <c r="H30" i="66"/>
  <c r="U56" i="32"/>
  <c r="U57" i="32"/>
  <c r="U58" i="32"/>
  <c r="U59" i="32"/>
  <c r="U60" i="32"/>
  <c r="U61" i="32"/>
  <c r="U62" i="32"/>
  <c r="U63" i="32"/>
  <c r="U64" i="32"/>
  <c r="U65" i="32"/>
  <c r="C31" i="32"/>
  <c r="C32" i="32"/>
  <c r="C33" i="32"/>
  <c r="C34" i="32"/>
  <c r="C35" i="32"/>
  <c r="C36" i="32"/>
  <c r="C37" i="32"/>
  <c r="C38" i="32"/>
  <c r="C39" i="32"/>
  <c r="C40" i="32"/>
  <c r="D40" i="32" s="1" a="1"/>
  <c r="C41" i="32"/>
  <c r="C42" i="32"/>
  <c r="C43" i="32"/>
  <c r="C44" i="32"/>
  <c r="C45" i="32"/>
  <c r="C46" i="32"/>
  <c r="C47" i="32"/>
  <c r="C29" i="32"/>
  <c r="H43" i="32"/>
  <c r="L39" i="32"/>
  <c r="G31" i="32"/>
  <c r="I29" i="32"/>
  <c r="G47" i="32"/>
  <c r="H47" i="32"/>
  <c r="I47" i="32"/>
  <c r="J47" i="32"/>
  <c r="K47" i="32"/>
  <c r="L47" i="32"/>
  <c r="M47" i="32"/>
  <c r="N47" i="32"/>
  <c r="O47" i="32"/>
  <c r="P47" i="32"/>
  <c r="Q47" i="32"/>
  <c r="R47" i="32"/>
  <c r="S47" i="32"/>
  <c r="T47" i="32"/>
  <c r="U47" i="32"/>
  <c r="V47" i="32"/>
  <c r="W47" i="32"/>
  <c r="X47" i="32"/>
  <c r="Y47" i="32"/>
  <c r="Y48" i="32"/>
  <c r="F47" i="32"/>
  <c r="G45" i="32"/>
  <c r="H45" i="32"/>
  <c r="I45" i="32"/>
  <c r="J45" i="32"/>
  <c r="K45" i="32"/>
  <c r="L45" i="32"/>
  <c r="M45" i="32"/>
  <c r="N45" i="32"/>
  <c r="O45" i="32"/>
  <c r="P45" i="32"/>
  <c r="Q45" i="32"/>
  <c r="R45" i="32"/>
  <c r="S45" i="32"/>
  <c r="T45" i="32"/>
  <c r="U45" i="32"/>
  <c r="V45" i="32"/>
  <c r="W45" i="32"/>
  <c r="X45" i="32"/>
  <c r="Y45" i="32"/>
  <c r="Y46" i="32"/>
  <c r="F45" i="32"/>
  <c r="G43" i="32"/>
  <c r="K43" i="32"/>
  <c r="L43" i="32"/>
  <c r="M43" i="32"/>
  <c r="Q43" i="32"/>
  <c r="R43" i="32"/>
  <c r="S43" i="32"/>
  <c r="W43" i="32"/>
  <c r="X43" i="32"/>
  <c r="Y43" i="32"/>
  <c r="Y44" i="32"/>
  <c r="G41" i="32"/>
  <c r="H41" i="32"/>
  <c r="I41" i="32"/>
  <c r="J41" i="32"/>
  <c r="K41" i="32"/>
  <c r="L41" i="32"/>
  <c r="M41" i="32"/>
  <c r="N41" i="32"/>
  <c r="O41" i="32"/>
  <c r="P41" i="32"/>
  <c r="Q41" i="32"/>
  <c r="R41" i="32"/>
  <c r="S41" i="32"/>
  <c r="T41" i="32"/>
  <c r="U41" i="32"/>
  <c r="U42" i="32"/>
  <c r="Q62" i="32" s="1"/>
  <c r="V41" i="32"/>
  <c r="V42" i="32"/>
  <c r="R62" i="32" s="1"/>
  <c r="W41" i="32"/>
  <c r="W42" i="32"/>
  <c r="S62" i="32" s="1"/>
  <c r="X41" i="32"/>
  <c r="X42" i="32"/>
  <c r="T62" i="32" s="1"/>
  <c r="Y41" i="32"/>
  <c r="Y42" i="32"/>
  <c r="F41" i="32"/>
  <c r="G39" i="32"/>
  <c r="I39" i="32"/>
  <c r="J39" i="32"/>
  <c r="K39" i="32"/>
  <c r="M39" i="32"/>
  <c r="O39" i="32"/>
  <c r="P39" i="32"/>
  <c r="Q39" i="32"/>
  <c r="S39" i="32"/>
  <c r="U39" i="32"/>
  <c r="U40" i="32"/>
  <c r="V39" i="32"/>
  <c r="V40" i="32"/>
  <c r="R61" i="32" s="1"/>
  <c r="W39" i="32"/>
  <c r="W40" i="32"/>
  <c r="S61" i="32" s="1"/>
  <c r="Y39" i="32"/>
  <c r="Y40" i="32"/>
  <c r="G37" i="32"/>
  <c r="H37" i="32"/>
  <c r="I37" i="32"/>
  <c r="J37" i="32"/>
  <c r="K37" i="32"/>
  <c r="L37" i="32"/>
  <c r="M37" i="32"/>
  <c r="N37" i="32"/>
  <c r="O37" i="32"/>
  <c r="P37" i="32"/>
  <c r="Q37" i="32"/>
  <c r="R37" i="32"/>
  <c r="S37" i="32"/>
  <c r="T37" i="32"/>
  <c r="T38" i="32"/>
  <c r="P60" i="32" s="1"/>
  <c r="U37" i="32"/>
  <c r="U38" i="32"/>
  <c r="Q60" i="32" s="1"/>
  <c r="V37" i="32"/>
  <c r="V38" i="32"/>
  <c r="R60" i="32" s="1"/>
  <c r="W37" i="32"/>
  <c r="W38" i="32"/>
  <c r="S60" i="32" s="1"/>
  <c r="X37" i="32"/>
  <c r="X38" i="32"/>
  <c r="T60" i="32" s="1"/>
  <c r="Y37" i="32"/>
  <c r="Y38" i="32"/>
  <c r="F37" i="32"/>
  <c r="H35" i="32"/>
  <c r="I35" i="32"/>
  <c r="J35" i="32"/>
  <c r="N35" i="32"/>
  <c r="O35" i="32"/>
  <c r="O36" i="32"/>
  <c r="K59" i="32" s="1"/>
  <c r="P35" i="32"/>
  <c r="P36" i="32"/>
  <c r="L59" i="32" s="1"/>
  <c r="T35" i="32"/>
  <c r="T36" i="32"/>
  <c r="P59" i="32" s="1"/>
  <c r="U35" i="32"/>
  <c r="U36" i="32"/>
  <c r="Q59" i="32" s="1"/>
  <c r="V35" i="32"/>
  <c r="V36" i="32"/>
  <c r="R59" i="32" s="1"/>
  <c r="F35" i="32"/>
  <c r="H33" i="32"/>
  <c r="K33" i="32"/>
  <c r="L33" i="32"/>
  <c r="N33" i="32"/>
  <c r="Q33" i="32"/>
  <c r="Q34" i="32"/>
  <c r="M58" i="32" s="1"/>
  <c r="R33" i="32"/>
  <c r="R34" i="32"/>
  <c r="N58" i="32" s="1"/>
  <c r="T33" i="32"/>
  <c r="T34" i="32"/>
  <c r="P58" i="32" s="1"/>
  <c r="W33" i="32"/>
  <c r="W34" i="32"/>
  <c r="S58" i="32" s="1"/>
  <c r="X33" i="32"/>
  <c r="X34" i="32"/>
  <c r="T58" i="32" s="1"/>
  <c r="F33" i="32"/>
  <c r="I31" i="32"/>
  <c r="K31" i="32"/>
  <c r="L31" i="32"/>
  <c r="M31" i="32"/>
  <c r="N31" i="32"/>
  <c r="O31" i="32"/>
  <c r="O32" i="32"/>
  <c r="K57" i="32" s="1"/>
  <c r="P31" i="32"/>
  <c r="P32" i="32"/>
  <c r="L57" i="32" s="1"/>
  <c r="Q31" i="32"/>
  <c r="Q32" i="32"/>
  <c r="M57" i="32" s="1"/>
  <c r="R31" i="32"/>
  <c r="R32" i="32"/>
  <c r="N57" i="32" s="1"/>
  <c r="S31" i="32"/>
  <c r="S32" i="32"/>
  <c r="O57" i="32" s="1"/>
  <c r="T31" i="32"/>
  <c r="T32" i="32"/>
  <c r="P57" i="32" s="1"/>
  <c r="U31" i="32"/>
  <c r="U32" i="32"/>
  <c r="Q57" i="32" s="1"/>
  <c r="V31" i="32"/>
  <c r="V32" i="32"/>
  <c r="R57" i="32" s="1"/>
  <c r="W31" i="32"/>
  <c r="W32" i="32"/>
  <c r="S57" i="32" s="1"/>
  <c r="X31" i="32"/>
  <c r="X32" i="32"/>
  <c r="T57" i="32" s="1"/>
  <c r="Y31" i="32"/>
  <c r="Y32" i="32"/>
  <c r="F31" i="32"/>
  <c r="H29" i="32"/>
  <c r="J29" i="32"/>
  <c r="N29" i="32"/>
  <c r="N30" i="32"/>
  <c r="J56" i="32" s="1"/>
  <c r="P29" i="32"/>
  <c r="P30" i="32"/>
  <c r="L56" i="32" s="1"/>
  <c r="T29" i="32"/>
  <c r="T30" i="32"/>
  <c r="P56" i="32" s="1"/>
  <c r="V29" i="32"/>
  <c r="V30" i="32"/>
  <c r="R56" i="32" s="1"/>
  <c r="F29" i="32"/>
  <c r="V43" i="32"/>
  <c r="P43" i="32"/>
  <c r="J43" i="32"/>
  <c r="U43" i="32"/>
  <c r="O43" i="32"/>
  <c r="I43" i="32"/>
  <c r="F43" i="32"/>
  <c r="T43" i="32"/>
  <c r="N43" i="32"/>
  <c r="F39" i="32"/>
  <c r="T39" i="32"/>
  <c r="T40" i="32"/>
  <c r="P61" i="32" s="1"/>
  <c r="N39" i="32"/>
  <c r="H39" i="32"/>
  <c r="X39" i="32"/>
  <c r="X40" i="32"/>
  <c r="T61" i="32" s="1"/>
  <c r="R39" i="32"/>
  <c r="Y35" i="32"/>
  <c r="Y36" i="32"/>
  <c r="S35" i="32"/>
  <c r="S36" i="32"/>
  <c r="O59" i="32" s="1"/>
  <c r="M35" i="32"/>
  <c r="G35" i="32"/>
  <c r="X35" i="32"/>
  <c r="X36" i="32"/>
  <c r="T59" i="32" s="1"/>
  <c r="R35" i="32"/>
  <c r="R36" i="32"/>
  <c r="N59" i="32" s="1"/>
  <c r="L35" i="32"/>
  <c r="W35" i="32"/>
  <c r="W36" i="32"/>
  <c r="S59" i="32" s="1"/>
  <c r="Q35" i="32"/>
  <c r="Q36" i="32"/>
  <c r="M59" i="32" s="1"/>
  <c r="K35" i="32"/>
  <c r="V33" i="32"/>
  <c r="V34" i="32"/>
  <c r="R58" i="32" s="1"/>
  <c r="P33" i="32"/>
  <c r="P34" i="32"/>
  <c r="L58" i="32" s="1"/>
  <c r="J33" i="32"/>
  <c r="U33" i="32"/>
  <c r="U34" i="32"/>
  <c r="Q58" i="32" s="1"/>
  <c r="O33" i="32"/>
  <c r="O34" i="32"/>
  <c r="K58" i="32" s="1"/>
  <c r="I33" i="32"/>
  <c r="Y33" i="32"/>
  <c r="Y34" i="32"/>
  <c r="S33" i="32"/>
  <c r="S34" i="32"/>
  <c r="O58" i="32" s="1"/>
  <c r="M33" i="32"/>
  <c r="G33" i="32"/>
  <c r="J31" i="32"/>
  <c r="H31" i="32"/>
  <c r="Y29" i="32"/>
  <c r="Y30" i="32"/>
  <c r="S29" i="32"/>
  <c r="S30" i="32"/>
  <c r="O56" i="32" s="1"/>
  <c r="M29" i="32"/>
  <c r="M30" i="32"/>
  <c r="I56" i="32" s="1"/>
  <c r="G29" i="32"/>
  <c r="X29" i="32"/>
  <c r="X30" i="32"/>
  <c r="T56" i="32" s="1"/>
  <c r="R29" i="32"/>
  <c r="R30" i="32"/>
  <c r="N56" i="32" s="1"/>
  <c r="L29" i="32"/>
  <c r="W29" i="32"/>
  <c r="W30" i="32"/>
  <c r="Q29" i="32"/>
  <c r="Q30" i="32"/>
  <c r="M56" i="32" s="1"/>
  <c r="K29" i="32"/>
  <c r="U29" i="32"/>
  <c r="U30" i="32"/>
  <c r="Q56" i="32" s="1"/>
  <c r="O29" i="32"/>
  <c r="O30" i="32"/>
  <c r="K56" i="32" s="1"/>
  <c r="T42" i="32"/>
  <c r="P62" i="32" s="1"/>
  <c r="I11" i="9"/>
  <c r="I14" i="9" s="1"/>
  <c r="J14" i="9" s="1"/>
  <c r="T45" i="8"/>
  <c r="S45" i="8"/>
  <c r="R45" i="8"/>
  <c r="Q45" i="8"/>
  <c r="O304" i="8"/>
  <c r="O305" i="8"/>
  <c r="O248" i="8"/>
  <c r="O249" i="8"/>
  <c r="O250" i="8"/>
  <c r="O251" i="8"/>
  <c r="O252" i="8"/>
  <c r="O253" i="8"/>
  <c r="O254" i="8"/>
  <c r="O255" i="8"/>
  <c r="O256" i="8"/>
  <c r="O257" i="8"/>
  <c r="O258" i="8"/>
  <c r="O259" i="8"/>
  <c r="O260" i="8"/>
  <c r="O261" i="8"/>
  <c r="O262" i="8"/>
  <c r="O306" i="8"/>
  <c r="O307" i="8"/>
  <c r="O308" i="8"/>
  <c r="O309" i="8"/>
  <c r="O310" i="8"/>
  <c r="O311" i="8"/>
  <c r="O263" i="8"/>
  <c r="O264" i="8"/>
  <c r="O265" i="8"/>
  <c r="O266" i="8"/>
  <c r="O267" i="8"/>
  <c r="O268" i="8"/>
  <c r="O269" i="8"/>
  <c r="O270" i="8"/>
  <c r="O271" i="8"/>
  <c r="O312" i="8"/>
  <c r="O313" i="8"/>
  <c r="O314" i="8"/>
  <c r="O315" i="8"/>
  <c r="O316" i="8"/>
  <c r="O317" i="8"/>
  <c r="O272" i="8"/>
  <c r="O273" i="8"/>
  <c r="O274" i="8"/>
  <c r="O275" i="8"/>
  <c r="O318" i="8"/>
  <c r="O319" i="8"/>
  <c r="O320" i="8"/>
  <c r="O321" i="8"/>
  <c r="O322" i="8"/>
  <c r="O323" i="8"/>
  <c r="O324" i="8"/>
  <c r="O325" i="8"/>
  <c r="O326" i="8"/>
  <c r="O327" i="8"/>
  <c r="O328" i="8"/>
  <c r="O329" i="8"/>
  <c r="O330" i="8"/>
  <c r="O331" i="8"/>
  <c r="O332" i="8"/>
  <c r="O333" i="8"/>
  <c r="O48" i="8"/>
  <c r="O49" i="8"/>
  <c r="O50" i="8"/>
  <c r="O51" i="8"/>
  <c r="O52" i="8"/>
  <c r="O53" i="8"/>
  <c r="O54" i="8"/>
  <c r="O55" i="8"/>
  <c r="O56" i="8"/>
  <c r="O57" i="8"/>
  <c r="O58" i="8"/>
  <c r="O59" i="8"/>
  <c r="O60" i="8"/>
  <c r="O61" i="8"/>
  <c r="O62" i="8"/>
  <c r="O63" i="8"/>
  <c r="O64" i="8"/>
  <c r="O65" i="8"/>
  <c r="O66" i="8"/>
  <c r="O67" i="8"/>
  <c r="O68" i="8"/>
  <c r="O69" i="8"/>
  <c r="O70" i="8"/>
  <c r="O71" i="8"/>
  <c r="O72" i="8"/>
  <c r="O73" i="8"/>
  <c r="O74" i="8"/>
  <c r="O75" i="8"/>
  <c r="O76" i="8"/>
  <c r="O77" i="8"/>
  <c r="O78" i="8"/>
  <c r="O79" i="8"/>
  <c r="O80" i="8"/>
  <c r="O81" i="8"/>
  <c r="O82" i="8"/>
  <c r="O83" i="8"/>
  <c r="O84" i="8"/>
  <c r="O85" i="8"/>
  <c r="O86" i="8"/>
  <c r="O87" i="8"/>
  <c r="O88" i="8"/>
  <c r="O89" i="8"/>
  <c r="O90" i="8"/>
  <c r="O91" i="8"/>
  <c r="O92" i="8"/>
  <c r="O93" i="8"/>
  <c r="O94" i="8"/>
  <c r="O95" i="8"/>
  <c r="O96" i="8"/>
  <c r="O97" i="8"/>
  <c r="O98" i="8"/>
  <c r="O99" i="8"/>
  <c r="O100" i="8"/>
  <c r="O101" i="8"/>
  <c r="O102" i="8"/>
  <c r="O103" i="8"/>
  <c r="O104" i="8"/>
  <c r="O105" i="8"/>
  <c r="O106" i="8"/>
  <c r="O107" i="8"/>
  <c r="O276" i="8"/>
  <c r="O277" i="8"/>
  <c r="O278" i="8"/>
  <c r="O279" i="8"/>
  <c r="O280" i="8"/>
  <c r="O281" i="8"/>
  <c r="O108" i="8"/>
  <c r="O109" i="8"/>
  <c r="O110" i="8"/>
  <c r="O111" i="8"/>
  <c r="O112" i="8"/>
  <c r="O113" i="8"/>
  <c r="O114" i="8"/>
  <c r="O115" i="8"/>
  <c r="O116" i="8"/>
  <c r="O117" i="8"/>
  <c r="O118" i="8"/>
  <c r="O119" i="8"/>
  <c r="O120" i="8"/>
  <c r="O121" i="8"/>
  <c r="O122" i="8"/>
  <c r="O123" i="8"/>
  <c r="O124" i="8"/>
  <c r="O125" i="8"/>
  <c r="O126" i="8"/>
  <c r="O127" i="8"/>
  <c r="O128" i="8"/>
  <c r="O129" i="8"/>
  <c r="O130" i="8"/>
  <c r="O131" i="8"/>
  <c r="O132" i="8"/>
  <c r="O133" i="8"/>
  <c r="O134" i="8"/>
  <c r="O135" i="8"/>
  <c r="O136" i="8"/>
  <c r="O137" i="8"/>
  <c r="O138" i="8"/>
  <c r="O139" i="8"/>
  <c r="O140" i="8"/>
  <c r="O141" i="8"/>
  <c r="O142" i="8"/>
  <c r="O143" i="8"/>
  <c r="O144" i="8"/>
  <c r="O145" i="8"/>
  <c r="O146" i="8"/>
  <c r="O147" i="8"/>
  <c r="O148" i="8"/>
  <c r="O149" i="8"/>
  <c r="O150" i="8"/>
  <c r="O151" i="8"/>
  <c r="O152" i="8"/>
  <c r="O153" i="8"/>
  <c r="O154" i="8"/>
  <c r="O155" i="8"/>
  <c r="O156" i="8"/>
  <c r="O282" i="8"/>
  <c r="O283" i="8"/>
  <c r="O284" i="8"/>
  <c r="O285" i="8"/>
  <c r="O286" i="8"/>
  <c r="O287" i="8"/>
  <c r="O157" i="8"/>
  <c r="O158" i="8"/>
  <c r="O159" i="8"/>
  <c r="O160" i="8"/>
  <c r="O161" i="8"/>
  <c r="O162" i="8"/>
  <c r="O163" i="8"/>
  <c r="O164" i="8"/>
  <c r="O165" i="8"/>
  <c r="O166" i="8"/>
  <c r="O167" i="8"/>
  <c r="O168" i="8"/>
  <c r="O169" i="8"/>
  <c r="O170" i="8"/>
  <c r="O171" i="8"/>
  <c r="O172" i="8"/>
  <c r="O173" i="8"/>
  <c r="O174" i="8"/>
  <c r="O175" i="8"/>
  <c r="O176" i="8"/>
  <c r="O177" i="8"/>
  <c r="O178" i="8"/>
  <c r="O179" i="8"/>
  <c r="O180" i="8"/>
  <c r="O181" i="8"/>
  <c r="O182" i="8"/>
  <c r="O183" i="8"/>
  <c r="O184" i="8"/>
  <c r="O185" i="8"/>
  <c r="O186" i="8"/>
  <c r="O187" i="8"/>
  <c r="O188" i="8"/>
  <c r="O189" i="8"/>
  <c r="O190" i="8"/>
  <c r="O191" i="8"/>
  <c r="O192" i="8"/>
  <c r="O193" i="8"/>
  <c r="O194" i="8"/>
  <c r="O195" i="8"/>
  <c r="O288" i="8"/>
  <c r="O289" i="8"/>
  <c r="O290" i="8"/>
  <c r="O291" i="8"/>
  <c r="O292" i="8"/>
  <c r="O293" i="8"/>
  <c r="O196" i="8"/>
  <c r="O197" i="8"/>
  <c r="O198" i="8"/>
  <c r="O199" i="8"/>
  <c r="O200" i="8"/>
  <c r="O201" i="8"/>
  <c r="O202" i="8"/>
  <c r="O203" i="8"/>
  <c r="O204" i="8"/>
  <c r="O205" i="8"/>
  <c r="O206" i="8"/>
  <c r="O207" i="8"/>
  <c r="O208" i="8"/>
  <c r="O209" i="8"/>
  <c r="O210" i="8"/>
  <c r="O211" i="8"/>
  <c r="O212" i="8"/>
  <c r="O213" i="8"/>
  <c r="O214" i="8"/>
  <c r="O215" i="8"/>
  <c r="O216" i="8"/>
  <c r="O217" i="8"/>
  <c r="O218" i="8"/>
  <c r="O219" i="8"/>
  <c r="O220" i="8"/>
  <c r="O221" i="8"/>
  <c r="O222" i="8"/>
  <c r="O223" i="8"/>
  <c r="O224" i="8"/>
  <c r="O225" i="8"/>
  <c r="O294" i="8"/>
  <c r="O295" i="8"/>
  <c r="O296" i="8"/>
  <c r="O297" i="8"/>
  <c r="O298" i="8"/>
  <c r="O299" i="8"/>
  <c r="O226" i="8"/>
  <c r="O227" i="8"/>
  <c r="O228" i="8"/>
  <c r="O229" i="8"/>
  <c r="O230" i="8"/>
  <c r="O231" i="8"/>
  <c r="O232" i="8"/>
  <c r="O233" i="8"/>
  <c r="O234" i="8"/>
  <c r="O235" i="8"/>
  <c r="O236" i="8"/>
  <c r="O237" i="8"/>
  <c r="O238" i="8"/>
  <c r="O239" i="8"/>
  <c r="O240" i="8"/>
  <c r="O241" i="8"/>
  <c r="O242" i="8"/>
  <c r="O243" i="8"/>
  <c r="O244" i="8"/>
  <c r="O245" i="8"/>
  <c r="O246" i="8"/>
  <c r="O247" i="8"/>
  <c r="O300" i="8"/>
  <c r="O301" i="8"/>
  <c r="O302" i="8"/>
  <c r="O303" i="8"/>
  <c r="F328" i="8"/>
  <c r="F300" i="8"/>
  <c r="F333" i="8"/>
  <c r="F329" i="8"/>
  <c r="F312" i="8"/>
  <c r="F188" i="8"/>
  <c r="F121" i="8"/>
  <c r="F199" i="8"/>
  <c r="F226" i="8"/>
  <c r="F174" i="8"/>
  <c r="F104" i="8"/>
  <c r="F315" i="8"/>
  <c r="F330" i="8"/>
  <c r="F230" i="8"/>
  <c r="F198" i="8"/>
  <c r="F208" i="8"/>
  <c r="F318" i="8"/>
  <c r="F309" i="8"/>
  <c r="F299" i="8"/>
  <c r="F114" i="8"/>
  <c r="F195" i="8"/>
  <c r="F313" i="8"/>
  <c r="F326" i="8"/>
  <c r="F331" i="8"/>
  <c r="F143" i="8"/>
  <c r="F282" i="8"/>
  <c r="F267" i="8"/>
  <c r="F325" i="8"/>
  <c r="F176" i="8"/>
  <c r="F308" i="8"/>
  <c r="F243" i="8"/>
  <c r="F196" i="8"/>
  <c r="F113" i="8"/>
  <c r="F68" i="8"/>
  <c r="F263" i="8"/>
  <c r="F148" i="8"/>
  <c r="F223" i="8"/>
  <c r="F159" i="8"/>
  <c r="F97" i="8"/>
  <c r="F322" i="8"/>
  <c r="F192" i="8"/>
  <c r="F189" i="8"/>
  <c r="F70" i="8"/>
  <c r="F332" i="8"/>
  <c r="F59" i="8"/>
  <c r="F240" i="8"/>
  <c r="F227" i="8"/>
  <c r="F297" i="8"/>
  <c r="F110" i="8"/>
  <c r="F145" i="8"/>
  <c r="F169" i="8"/>
  <c r="F249" i="8"/>
  <c r="F294" i="8"/>
  <c r="F53" i="8"/>
  <c r="F175" i="8"/>
  <c r="F98" i="8"/>
  <c r="F82" i="8"/>
  <c r="F265" i="8"/>
  <c r="F151" i="8"/>
  <c r="F87" i="8"/>
  <c r="F270" i="8"/>
  <c r="F281" i="8"/>
  <c r="F156" i="8"/>
  <c r="F123" i="8"/>
  <c r="F295" i="8"/>
  <c r="F319" i="8"/>
  <c r="F275" i="8"/>
  <c r="F245" i="8"/>
  <c r="F304" i="8"/>
  <c r="F311" i="8"/>
  <c r="F306" i="8"/>
  <c r="F232" i="8"/>
  <c r="F228" i="8"/>
  <c r="F284" i="8"/>
  <c r="F178" i="8"/>
  <c r="F234" i="8"/>
  <c r="F273" i="8"/>
  <c r="F277" i="8"/>
  <c r="F279" i="8"/>
  <c r="F307" i="8"/>
  <c r="F233" i="8"/>
  <c r="F305" i="8"/>
  <c r="F260" i="8"/>
  <c r="F111" i="8"/>
  <c r="F244" i="8"/>
  <c r="F327" i="8"/>
  <c r="F85" i="8"/>
  <c r="F268" i="8"/>
  <c r="F139" i="8"/>
  <c r="F177" i="8"/>
  <c r="F49" i="8"/>
  <c r="F207" i="8"/>
  <c r="F290" i="8"/>
  <c r="F324" i="8"/>
  <c r="F179" i="8"/>
  <c r="F266" i="8"/>
  <c r="F194" i="8"/>
  <c r="F76" i="8"/>
  <c r="F274" i="8"/>
  <c r="F262" i="8"/>
  <c r="F213" i="8"/>
  <c r="F214" i="8"/>
  <c r="F215" i="8"/>
  <c r="F276" i="8"/>
  <c r="F258" i="8"/>
  <c r="F256" i="8"/>
  <c r="F252" i="8"/>
  <c r="F128" i="8"/>
  <c r="F163" i="8"/>
  <c r="F126" i="8"/>
  <c r="F130" i="8"/>
  <c r="F272" i="8"/>
  <c r="F99" i="8"/>
  <c r="F291" i="8"/>
  <c r="F314" i="8"/>
  <c r="F193" i="8"/>
  <c r="F180" i="8"/>
  <c r="F80" i="8"/>
  <c r="F283" i="8"/>
  <c r="F287" i="8"/>
  <c r="F165" i="8"/>
  <c r="F288" i="8"/>
  <c r="F164" i="8"/>
  <c r="F286" i="8"/>
  <c r="F246" i="8"/>
  <c r="F280" i="8"/>
  <c r="F96" i="8"/>
  <c r="F146" i="8"/>
  <c r="F231" i="8"/>
  <c r="F238" i="8"/>
  <c r="F184" i="8"/>
  <c r="F239" i="8"/>
  <c r="F181" i="8"/>
  <c r="F296" i="8"/>
  <c r="F310" i="8"/>
  <c r="F94" i="8"/>
  <c r="F86" i="8"/>
  <c r="F221" i="8"/>
  <c r="F101" i="8"/>
  <c r="F250" i="8"/>
  <c r="F109" i="8"/>
  <c r="F158" i="8"/>
  <c r="F303" i="8"/>
  <c r="F191" i="8"/>
  <c r="F140" i="8"/>
  <c r="F254" i="8"/>
  <c r="F202" i="8"/>
  <c r="F61" i="8"/>
  <c r="F127" i="8"/>
  <c r="F83" i="8"/>
  <c r="F84" i="8"/>
  <c r="F182" i="8"/>
  <c r="F144" i="8"/>
  <c r="F302" i="8"/>
  <c r="F205" i="8"/>
  <c r="F166" i="8"/>
  <c r="F102" i="8"/>
  <c r="F259" i="8"/>
  <c r="F197" i="8"/>
  <c r="F142" i="8"/>
  <c r="F57" i="8"/>
  <c r="F54" i="8"/>
  <c r="F170" i="8"/>
  <c r="F107" i="8"/>
  <c r="F131" i="8"/>
  <c r="F173" i="8"/>
  <c r="F292" i="8"/>
  <c r="F62" i="8"/>
  <c r="F69" i="8"/>
  <c r="F58" i="8"/>
  <c r="F162" i="8"/>
  <c r="F211" i="8"/>
  <c r="F122" i="8"/>
  <c r="H122" i="8"/>
  <c r="F150" i="8"/>
  <c r="F293" i="8"/>
  <c r="F289" i="8"/>
  <c r="F203" i="8"/>
  <c r="F103" i="8"/>
  <c r="F200" i="8"/>
  <c r="H200" i="8"/>
  <c r="F261" i="8"/>
  <c r="F278" i="8"/>
  <c r="F124" i="8"/>
  <c r="F190" i="8"/>
  <c r="F73" i="8"/>
  <c r="F225" i="8"/>
  <c r="H225" i="8"/>
  <c r="F224" i="8"/>
  <c r="F235" i="8"/>
  <c r="F206" i="8"/>
  <c r="F88" i="8"/>
  <c r="F210" i="8"/>
  <c r="F187" i="8"/>
  <c r="H187" i="8"/>
  <c r="F129" i="8"/>
  <c r="F183" i="8"/>
  <c r="F112" i="8"/>
  <c r="F100" i="8"/>
  <c r="F106" i="8"/>
  <c r="F116" i="8"/>
  <c r="H116" i="8"/>
  <c r="F253" i="8"/>
  <c r="F135" i="8"/>
  <c r="F161" i="8"/>
  <c r="F56" i="8"/>
  <c r="F141" i="8"/>
  <c r="F209" i="8"/>
  <c r="H209" i="8"/>
  <c r="F155" i="8"/>
  <c r="F248" i="8"/>
  <c r="F204" i="8"/>
  <c r="F186" i="8"/>
  <c r="F125" i="8"/>
  <c r="F320" i="8"/>
  <c r="H320" i="8"/>
  <c r="F108" i="8"/>
  <c r="F171" i="8"/>
  <c r="F95" i="8"/>
  <c r="F316" i="8"/>
  <c r="F137" i="8"/>
  <c r="F133" i="8"/>
  <c r="H133" i="8"/>
  <c r="F317" i="8"/>
  <c r="F321" i="8"/>
  <c r="F172" i="8"/>
  <c r="F157" i="8"/>
  <c r="F118" i="8"/>
  <c r="F220" i="8"/>
  <c r="H220" i="8"/>
  <c r="F185" i="8"/>
  <c r="F257" i="8"/>
  <c r="F120" i="8"/>
  <c r="F147" i="8"/>
  <c r="F160" i="8"/>
  <c r="F138" i="8"/>
  <c r="H138" i="8"/>
  <c r="F117" i="8"/>
  <c r="F77" i="8"/>
  <c r="F153" i="8"/>
  <c r="F89" i="8"/>
  <c r="F132" i="8"/>
  <c r="F285" i="8"/>
  <c r="H285" i="8"/>
  <c r="F301" i="8"/>
  <c r="F63" i="8"/>
  <c r="F79" i="8"/>
  <c r="F51" i="8"/>
  <c r="F67" i="8"/>
  <c r="F60" i="8"/>
  <c r="H60" i="8"/>
  <c r="F212" i="8"/>
  <c r="F75" i="8"/>
  <c r="F229" i="8"/>
  <c r="F74" i="8"/>
  <c r="F217" i="8"/>
  <c r="F323" i="8"/>
  <c r="H323" i="8"/>
  <c r="F271" i="8"/>
  <c r="F298" i="8"/>
  <c r="F167" i="8"/>
  <c r="F78" i="8"/>
  <c r="F154" i="8"/>
  <c r="F236" i="8"/>
  <c r="H236" i="8"/>
  <c r="F264" i="8"/>
  <c r="F93" i="8"/>
  <c r="F269" i="8"/>
  <c r="F255" i="8"/>
  <c r="F216" i="8"/>
  <c r="F149" i="8"/>
  <c r="H149" i="8"/>
  <c r="F119" i="8"/>
  <c r="F251" i="8"/>
  <c r="F247" i="8"/>
  <c r="F242" i="8"/>
  <c r="F241" i="8"/>
  <c r="F50" i="8"/>
  <c r="H50" i="8"/>
  <c r="F219" i="8"/>
  <c r="F66" i="8"/>
  <c r="F72" i="8"/>
  <c r="F65" i="8"/>
  <c r="F152" i="8"/>
  <c r="F134" i="8"/>
  <c r="H134" i="8"/>
  <c r="F168" i="8"/>
  <c r="F237" i="8"/>
  <c r="F64" i="8"/>
  <c r="F136" i="8"/>
  <c r="F222" i="8"/>
  <c r="F71" i="8"/>
  <c r="H71" i="8"/>
  <c r="F90" i="8"/>
  <c r="F91" i="8"/>
  <c r="F92" i="8"/>
  <c r="F115" i="8"/>
  <c r="F218" i="8"/>
  <c r="F105" i="8"/>
  <c r="H105" i="8"/>
  <c r="F81" i="8"/>
  <c r="F201" i="8"/>
  <c r="F52" i="8"/>
  <c r="F55" i="8"/>
  <c r="H55" i="8"/>
  <c r="F48" i="8"/>
  <c r="G328" i="8"/>
  <c r="G300" i="8"/>
  <c r="G333" i="8"/>
  <c r="G329" i="8"/>
  <c r="G312" i="8"/>
  <c r="G188" i="8"/>
  <c r="G121" i="8"/>
  <c r="G199" i="8"/>
  <c r="G226" i="8"/>
  <c r="G174" i="8"/>
  <c r="G104" i="8"/>
  <c r="G315" i="8"/>
  <c r="G330" i="8"/>
  <c r="G230" i="8"/>
  <c r="G198" i="8"/>
  <c r="G208" i="8"/>
  <c r="G318" i="8"/>
  <c r="G309" i="8"/>
  <c r="G299" i="8"/>
  <c r="G114" i="8"/>
  <c r="G195" i="8"/>
  <c r="G313" i="8"/>
  <c r="G326" i="8"/>
  <c r="G331" i="8"/>
  <c r="G143" i="8"/>
  <c r="G282" i="8"/>
  <c r="G267" i="8"/>
  <c r="G325" i="8"/>
  <c r="G176" i="8"/>
  <c r="G308" i="8"/>
  <c r="G243" i="8"/>
  <c r="G196" i="8"/>
  <c r="G113" i="8"/>
  <c r="G68" i="8"/>
  <c r="G263" i="8"/>
  <c r="G148" i="8"/>
  <c r="G223" i="8"/>
  <c r="G159" i="8"/>
  <c r="G97" i="8"/>
  <c r="G322" i="8"/>
  <c r="G192" i="8"/>
  <c r="G189" i="8"/>
  <c r="G70" i="8"/>
  <c r="G332" i="8"/>
  <c r="G59" i="8"/>
  <c r="G240" i="8"/>
  <c r="G227" i="8"/>
  <c r="G297" i="8"/>
  <c r="G110" i="8"/>
  <c r="G145" i="8"/>
  <c r="G169" i="8"/>
  <c r="G249" i="8"/>
  <c r="G294" i="8"/>
  <c r="G53" i="8"/>
  <c r="G175" i="8"/>
  <c r="G98" i="8"/>
  <c r="G82" i="8"/>
  <c r="G265" i="8"/>
  <c r="G151" i="8"/>
  <c r="G87" i="8"/>
  <c r="G270" i="8"/>
  <c r="G281" i="8"/>
  <c r="G156" i="8"/>
  <c r="G123" i="8"/>
  <c r="G295" i="8"/>
  <c r="G319" i="8"/>
  <c r="G275" i="8"/>
  <c r="G245" i="8"/>
  <c r="G304" i="8"/>
  <c r="G311" i="8"/>
  <c r="G306" i="8"/>
  <c r="G232" i="8"/>
  <c r="G228" i="8"/>
  <c r="G284" i="8"/>
  <c r="G178" i="8"/>
  <c r="G234" i="8"/>
  <c r="G273" i="8"/>
  <c r="G277" i="8"/>
  <c r="G279" i="8"/>
  <c r="G307" i="8"/>
  <c r="G233" i="8"/>
  <c r="G305" i="8"/>
  <c r="G260" i="8"/>
  <c r="G111" i="8"/>
  <c r="G244" i="8"/>
  <c r="G327" i="8"/>
  <c r="G85" i="8"/>
  <c r="G268" i="8"/>
  <c r="G139" i="8"/>
  <c r="G177" i="8"/>
  <c r="G49" i="8"/>
  <c r="G207" i="8"/>
  <c r="G290" i="8"/>
  <c r="G324" i="8"/>
  <c r="G179" i="8"/>
  <c r="G266" i="8"/>
  <c r="G194" i="8"/>
  <c r="G76" i="8"/>
  <c r="G274" i="8"/>
  <c r="G262" i="8"/>
  <c r="G213" i="8"/>
  <c r="G214" i="8"/>
  <c r="G215" i="8"/>
  <c r="G276" i="8"/>
  <c r="G258" i="8"/>
  <c r="G256" i="8"/>
  <c r="G252" i="8"/>
  <c r="G128" i="8"/>
  <c r="G163" i="8"/>
  <c r="G126" i="8"/>
  <c r="G130" i="8"/>
  <c r="G272" i="8"/>
  <c r="G99" i="8"/>
  <c r="G291" i="8"/>
  <c r="G314" i="8"/>
  <c r="G193" i="8"/>
  <c r="G180" i="8"/>
  <c r="G80" i="8"/>
  <c r="G283" i="8"/>
  <c r="G287" i="8"/>
  <c r="G165" i="8"/>
  <c r="G288" i="8"/>
  <c r="G164" i="8"/>
  <c r="G286" i="8"/>
  <c r="G246" i="8"/>
  <c r="G280" i="8"/>
  <c r="G96" i="8"/>
  <c r="G146" i="8"/>
  <c r="G231" i="8"/>
  <c r="G238" i="8"/>
  <c r="G184" i="8"/>
  <c r="G239" i="8"/>
  <c r="G181" i="8"/>
  <c r="G296" i="8"/>
  <c r="G310" i="8"/>
  <c r="G94" i="8"/>
  <c r="G86" i="8"/>
  <c r="G221" i="8"/>
  <c r="G101" i="8"/>
  <c r="G250" i="8"/>
  <c r="G109" i="8"/>
  <c r="G158" i="8"/>
  <c r="G303" i="8"/>
  <c r="G191" i="8"/>
  <c r="G140" i="8"/>
  <c r="G254" i="8"/>
  <c r="G202" i="8"/>
  <c r="G61" i="8"/>
  <c r="G127" i="8"/>
  <c r="G83" i="8"/>
  <c r="G84" i="8"/>
  <c r="G182" i="8"/>
  <c r="G144" i="8"/>
  <c r="G302" i="8"/>
  <c r="G205" i="8"/>
  <c r="G166" i="8"/>
  <c r="G102" i="8"/>
  <c r="G259" i="8"/>
  <c r="G197" i="8"/>
  <c r="G142" i="8"/>
  <c r="G57" i="8"/>
  <c r="G54" i="8"/>
  <c r="G170" i="8"/>
  <c r="G107" i="8"/>
  <c r="G131" i="8"/>
  <c r="G173" i="8"/>
  <c r="G292" i="8"/>
  <c r="G62" i="8"/>
  <c r="G69" i="8"/>
  <c r="G58" i="8"/>
  <c r="G162" i="8"/>
  <c r="G211" i="8"/>
  <c r="G122" i="8"/>
  <c r="G150" i="8"/>
  <c r="G293" i="8"/>
  <c r="G289" i="8"/>
  <c r="G203" i="8"/>
  <c r="G103" i="8"/>
  <c r="G200" i="8"/>
  <c r="G261" i="8"/>
  <c r="G278" i="8"/>
  <c r="G124" i="8"/>
  <c r="G190" i="8"/>
  <c r="G73" i="8"/>
  <c r="G225" i="8"/>
  <c r="G224" i="8"/>
  <c r="G235" i="8"/>
  <c r="G206" i="8"/>
  <c r="G88" i="8"/>
  <c r="G210" i="8"/>
  <c r="G187" i="8"/>
  <c r="G129" i="8"/>
  <c r="G183" i="8"/>
  <c r="G112" i="8"/>
  <c r="G100" i="8"/>
  <c r="G106" i="8"/>
  <c r="G116" i="8"/>
  <c r="G253" i="8"/>
  <c r="G135" i="8"/>
  <c r="G161" i="8"/>
  <c r="G56" i="8"/>
  <c r="G141" i="8"/>
  <c r="G209" i="8"/>
  <c r="G155" i="8"/>
  <c r="G248" i="8"/>
  <c r="G204" i="8"/>
  <c r="G186" i="8"/>
  <c r="G125" i="8"/>
  <c r="G320" i="8"/>
  <c r="G108" i="8"/>
  <c r="G171" i="8"/>
  <c r="G95" i="8"/>
  <c r="G316" i="8"/>
  <c r="G137" i="8"/>
  <c r="G133" i="8"/>
  <c r="G317" i="8"/>
  <c r="G321" i="8"/>
  <c r="G172" i="8"/>
  <c r="G157" i="8"/>
  <c r="G118" i="8"/>
  <c r="G220" i="8"/>
  <c r="G185" i="8"/>
  <c r="G257" i="8"/>
  <c r="G120" i="8"/>
  <c r="G147" i="8"/>
  <c r="G160" i="8"/>
  <c r="G138" i="8"/>
  <c r="G117" i="8"/>
  <c r="G77" i="8"/>
  <c r="G153" i="8"/>
  <c r="G89" i="8"/>
  <c r="G132" i="8"/>
  <c r="G285" i="8"/>
  <c r="G301" i="8"/>
  <c r="G63" i="8"/>
  <c r="G79" i="8"/>
  <c r="G51" i="8"/>
  <c r="G67" i="8"/>
  <c r="G60" i="8"/>
  <c r="G212" i="8"/>
  <c r="G75" i="8"/>
  <c r="G229" i="8"/>
  <c r="G74" i="8"/>
  <c r="G217" i="8"/>
  <c r="G323" i="8"/>
  <c r="G271" i="8"/>
  <c r="G298" i="8"/>
  <c r="G167" i="8"/>
  <c r="G78" i="8"/>
  <c r="G154" i="8"/>
  <c r="G236" i="8"/>
  <c r="G264" i="8"/>
  <c r="G93" i="8"/>
  <c r="G269" i="8"/>
  <c r="G255" i="8"/>
  <c r="G216" i="8"/>
  <c r="G149" i="8"/>
  <c r="G119" i="8"/>
  <c r="G251" i="8"/>
  <c r="G247" i="8"/>
  <c r="G242" i="8"/>
  <c r="G241" i="8"/>
  <c r="G50" i="8"/>
  <c r="G219" i="8"/>
  <c r="G66" i="8"/>
  <c r="G72" i="8"/>
  <c r="G65" i="8"/>
  <c r="G152" i="8"/>
  <c r="G134" i="8"/>
  <c r="G168" i="8"/>
  <c r="G237" i="8"/>
  <c r="G64" i="8"/>
  <c r="G136" i="8"/>
  <c r="G222" i="8"/>
  <c r="G71" i="8"/>
  <c r="G90" i="8"/>
  <c r="G91" i="8"/>
  <c r="G92" i="8"/>
  <c r="G115" i="8"/>
  <c r="G218" i="8"/>
  <c r="G105" i="8"/>
  <c r="G81" i="8"/>
  <c r="G201" i="8"/>
  <c r="G52" i="8"/>
  <c r="G55" i="8"/>
  <c r="G48" i="8"/>
  <c r="E300" i="8"/>
  <c r="E333" i="8"/>
  <c r="E329" i="8"/>
  <c r="E312" i="8"/>
  <c r="E188" i="8"/>
  <c r="E121" i="8"/>
  <c r="E199" i="8"/>
  <c r="E226" i="8"/>
  <c r="E174" i="8"/>
  <c r="E104" i="8"/>
  <c r="E315" i="8"/>
  <c r="E330" i="8"/>
  <c r="E230" i="8"/>
  <c r="E198" i="8"/>
  <c r="E208" i="8"/>
  <c r="E318" i="8"/>
  <c r="E309" i="8"/>
  <c r="E299" i="8"/>
  <c r="E114" i="8"/>
  <c r="E195" i="8"/>
  <c r="E313" i="8"/>
  <c r="E326" i="8"/>
  <c r="E331" i="8"/>
  <c r="E143" i="8"/>
  <c r="E282" i="8"/>
  <c r="E267" i="8"/>
  <c r="E325" i="8"/>
  <c r="E176" i="8"/>
  <c r="E308" i="8"/>
  <c r="E243" i="8"/>
  <c r="E196" i="8"/>
  <c r="E113" i="8"/>
  <c r="E68" i="8"/>
  <c r="E263" i="8"/>
  <c r="E148" i="8"/>
  <c r="E223" i="8"/>
  <c r="E159" i="8"/>
  <c r="E97" i="8"/>
  <c r="E322" i="8"/>
  <c r="E192" i="8"/>
  <c r="E189" i="8"/>
  <c r="E70" i="8"/>
  <c r="E332" i="8"/>
  <c r="E59" i="8"/>
  <c r="E240" i="8"/>
  <c r="E227" i="8"/>
  <c r="E297" i="8"/>
  <c r="E110" i="8"/>
  <c r="E145" i="8"/>
  <c r="E169" i="8"/>
  <c r="E249" i="8"/>
  <c r="E294" i="8"/>
  <c r="E53" i="8"/>
  <c r="E175" i="8"/>
  <c r="E98" i="8"/>
  <c r="E82" i="8"/>
  <c r="E265" i="8"/>
  <c r="E151" i="8"/>
  <c r="E87" i="8"/>
  <c r="E270" i="8"/>
  <c r="E281" i="8"/>
  <c r="E156" i="8"/>
  <c r="E123" i="8"/>
  <c r="E295" i="8"/>
  <c r="E319" i="8"/>
  <c r="E275" i="8"/>
  <c r="E245" i="8"/>
  <c r="E304" i="8"/>
  <c r="E311" i="8"/>
  <c r="E306" i="8"/>
  <c r="E232" i="8"/>
  <c r="E228" i="8"/>
  <c r="E284" i="8"/>
  <c r="E178" i="8"/>
  <c r="E234" i="8"/>
  <c r="E273" i="8"/>
  <c r="E277" i="8"/>
  <c r="E279" i="8"/>
  <c r="E307" i="8"/>
  <c r="E233" i="8"/>
  <c r="E305" i="8"/>
  <c r="E260" i="8"/>
  <c r="E111" i="8"/>
  <c r="E244" i="8"/>
  <c r="E327" i="8"/>
  <c r="E85" i="8"/>
  <c r="E268" i="8"/>
  <c r="E139" i="8"/>
  <c r="E177" i="8"/>
  <c r="E49" i="8"/>
  <c r="E207" i="8"/>
  <c r="E290" i="8"/>
  <c r="E324" i="8"/>
  <c r="E179" i="8"/>
  <c r="E266" i="8"/>
  <c r="E194" i="8"/>
  <c r="E76" i="8"/>
  <c r="E274" i="8"/>
  <c r="E262" i="8"/>
  <c r="E213" i="8"/>
  <c r="E214" i="8"/>
  <c r="E215" i="8"/>
  <c r="E276" i="8"/>
  <c r="E258" i="8"/>
  <c r="E256" i="8"/>
  <c r="E252" i="8"/>
  <c r="E128" i="8"/>
  <c r="E163" i="8"/>
  <c r="E126" i="8"/>
  <c r="E130" i="8"/>
  <c r="E272" i="8"/>
  <c r="E99" i="8"/>
  <c r="E291" i="8"/>
  <c r="E314" i="8"/>
  <c r="E193" i="8"/>
  <c r="E180" i="8"/>
  <c r="E80" i="8"/>
  <c r="E283" i="8"/>
  <c r="E287" i="8"/>
  <c r="E165" i="8"/>
  <c r="E288" i="8"/>
  <c r="E164" i="8"/>
  <c r="E286" i="8"/>
  <c r="E246" i="8"/>
  <c r="E280" i="8"/>
  <c r="E96" i="8"/>
  <c r="E146" i="8"/>
  <c r="E231" i="8"/>
  <c r="E238" i="8"/>
  <c r="E184" i="8"/>
  <c r="E239" i="8"/>
  <c r="E181" i="8"/>
  <c r="E296" i="8"/>
  <c r="E310" i="8"/>
  <c r="E94" i="8"/>
  <c r="E86" i="8"/>
  <c r="E221" i="8"/>
  <c r="E101" i="8"/>
  <c r="E250" i="8"/>
  <c r="E109" i="8"/>
  <c r="E158" i="8"/>
  <c r="E303" i="8"/>
  <c r="E191" i="8"/>
  <c r="E140" i="8"/>
  <c r="E254" i="8"/>
  <c r="E202" i="8"/>
  <c r="E61" i="8"/>
  <c r="E127" i="8"/>
  <c r="E83" i="8"/>
  <c r="E84" i="8"/>
  <c r="E182" i="8"/>
  <c r="E144" i="8"/>
  <c r="E302" i="8"/>
  <c r="E205" i="8"/>
  <c r="E166" i="8"/>
  <c r="E102" i="8"/>
  <c r="E259" i="8"/>
  <c r="E197" i="8"/>
  <c r="E142" i="8"/>
  <c r="E57" i="8"/>
  <c r="E54" i="8"/>
  <c r="E170" i="8"/>
  <c r="E107" i="8"/>
  <c r="E131" i="8"/>
  <c r="E173" i="8"/>
  <c r="E292" i="8"/>
  <c r="E62" i="8"/>
  <c r="E69" i="8"/>
  <c r="E58" i="8"/>
  <c r="E162" i="8"/>
  <c r="E211" i="8"/>
  <c r="E122" i="8"/>
  <c r="E150" i="8"/>
  <c r="E293" i="8"/>
  <c r="E289" i="8"/>
  <c r="E203" i="8"/>
  <c r="E103" i="8"/>
  <c r="E200" i="8"/>
  <c r="E261" i="8"/>
  <c r="E278" i="8"/>
  <c r="E124" i="8"/>
  <c r="E190" i="8"/>
  <c r="E73" i="8"/>
  <c r="E225" i="8"/>
  <c r="E224" i="8"/>
  <c r="E235" i="8"/>
  <c r="E206" i="8"/>
  <c r="E88" i="8"/>
  <c r="E210" i="8"/>
  <c r="E187" i="8"/>
  <c r="E129" i="8"/>
  <c r="E183" i="8"/>
  <c r="E112" i="8"/>
  <c r="E100" i="8"/>
  <c r="E106" i="8"/>
  <c r="E116" i="8"/>
  <c r="E253" i="8"/>
  <c r="E135" i="8"/>
  <c r="E161" i="8"/>
  <c r="E56" i="8"/>
  <c r="E141" i="8"/>
  <c r="E209" i="8"/>
  <c r="E155" i="8"/>
  <c r="E248" i="8"/>
  <c r="E204" i="8"/>
  <c r="E186" i="8"/>
  <c r="E125" i="8"/>
  <c r="E320" i="8"/>
  <c r="E108" i="8"/>
  <c r="E171" i="8"/>
  <c r="E95" i="8"/>
  <c r="E316" i="8"/>
  <c r="E137" i="8"/>
  <c r="E133" i="8"/>
  <c r="E317" i="8"/>
  <c r="E321" i="8"/>
  <c r="E172" i="8"/>
  <c r="E157" i="8"/>
  <c r="E118" i="8"/>
  <c r="E220" i="8"/>
  <c r="E185" i="8"/>
  <c r="E257" i="8"/>
  <c r="E120" i="8"/>
  <c r="E147" i="8"/>
  <c r="E160" i="8"/>
  <c r="E138" i="8"/>
  <c r="E117" i="8"/>
  <c r="E77" i="8"/>
  <c r="E153" i="8"/>
  <c r="E89" i="8"/>
  <c r="E132" i="8"/>
  <c r="E285" i="8"/>
  <c r="E301" i="8"/>
  <c r="E63" i="8"/>
  <c r="E79" i="8"/>
  <c r="E51" i="8"/>
  <c r="E67" i="8"/>
  <c r="E60" i="8"/>
  <c r="E212" i="8"/>
  <c r="E75" i="8"/>
  <c r="E229" i="8"/>
  <c r="E74" i="8"/>
  <c r="E217" i="8"/>
  <c r="E323" i="8"/>
  <c r="E271" i="8"/>
  <c r="E298" i="8"/>
  <c r="E167" i="8"/>
  <c r="E78" i="8"/>
  <c r="E154" i="8"/>
  <c r="E236" i="8"/>
  <c r="E264" i="8"/>
  <c r="E93" i="8"/>
  <c r="E269" i="8"/>
  <c r="E255" i="8"/>
  <c r="E216" i="8"/>
  <c r="E149" i="8"/>
  <c r="E119" i="8"/>
  <c r="E251" i="8"/>
  <c r="E247" i="8"/>
  <c r="E242" i="8"/>
  <c r="E241" i="8"/>
  <c r="E50" i="8"/>
  <c r="E219" i="8"/>
  <c r="E66" i="8"/>
  <c r="E72" i="8"/>
  <c r="E65" i="8"/>
  <c r="E152" i="8"/>
  <c r="E134" i="8"/>
  <c r="E168" i="8"/>
  <c r="E237" i="8"/>
  <c r="E64" i="8"/>
  <c r="E136" i="8"/>
  <c r="E222" i="8"/>
  <c r="E71" i="8"/>
  <c r="E90" i="8"/>
  <c r="E91" i="8"/>
  <c r="E92" i="8"/>
  <c r="E115" i="8"/>
  <c r="E218" i="8"/>
  <c r="E105" i="8"/>
  <c r="E81" i="8"/>
  <c r="E201" i="8"/>
  <c r="E52" i="8"/>
  <c r="E55" i="8"/>
  <c r="E48" i="8"/>
  <c r="E328" i="8"/>
  <c r="H115" i="8"/>
  <c r="H136" i="8"/>
  <c r="H65" i="8"/>
  <c r="H242" i="8"/>
  <c r="H255" i="8"/>
  <c r="H78" i="8"/>
  <c r="H74" i="8"/>
  <c r="H51" i="8"/>
  <c r="H89" i="8"/>
  <c r="H147" i="8"/>
  <c r="H157" i="8"/>
  <c r="H316" i="8"/>
  <c r="H186" i="8"/>
  <c r="H56" i="8"/>
  <c r="H100" i="8"/>
  <c r="H88" i="8"/>
  <c r="H190" i="8"/>
  <c r="H203" i="8"/>
  <c r="H162" i="8"/>
  <c r="H131" i="8"/>
  <c r="H197" i="8"/>
  <c r="H292" i="8"/>
  <c r="H57" i="8"/>
  <c r="H205" i="8"/>
  <c r="H127" i="8"/>
  <c r="H303" i="8"/>
  <c r="H86" i="8"/>
  <c r="H184" i="8"/>
  <c r="H246" i="8"/>
  <c r="H283" i="8"/>
  <c r="H99" i="8"/>
  <c r="H252" i="8"/>
  <c r="H213" i="8"/>
  <c r="H179" i="8"/>
  <c r="H139" i="8"/>
  <c r="H260" i="8"/>
  <c r="H273" i="8"/>
  <c r="H306" i="8"/>
  <c r="H295" i="8"/>
  <c r="H151" i="8"/>
  <c r="H294" i="8"/>
  <c r="H227" i="8"/>
  <c r="H192" i="8"/>
  <c r="H263" i="8"/>
  <c r="H176" i="8"/>
  <c r="H326" i="8"/>
  <c r="H318" i="8"/>
  <c r="H104" i="8"/>
  <c r="H312" i="8"/>
  <c r="H48" i="8"/>
  <c r="H218" i="8"/>
  <c r="H222" i="8"/>
  <c r="H152" i="8"/>
  <c r="H241" i="8"/>
  <c r="H216" i="8"/>
  <c r="H154" i="8"/>
  <c r="H217" i="8"/>
  <c r="H67" i="8"/>
  <c r="H132" i="8"/>
  <c r="H160" i="8"/>
  <c r="H118" i="8"/>
  <c r="H137" i="8"/>
  <c r="H125" i="8"/>
  <c r="H141" i="8"/>
  <c r="H106" i="8"/>
  <c r="H210" i="8"/>
  <c r="H73" i="8"/>
  <c r="H103" i="8"/>
  <c r="H211" i="8"/>
  <c r="H173" i="8"/>
  <c r="H142" i="8"/>
  <c r="H302" i="8"/>
  <c r="H61" i="8"/>
  <c r="H158" i="8"/>
  <c r="H94" i="8"/>
  <c r="H238" i="8"/>
  <c r="H286" i="8"/>
  <c r="H80" i="8"/>
  <c r="H272" i="8"/>
  <c r="H256" i="8"/>
  <c r="H262" i="8"/>
  <c r="H324" i="8"/>
  <c r="H268" i="8"/>
  <c r="H305" i="8"/>
  <c r="H234" i="8"/>
  <c r="H311" i="8"/>
  <c r="H123" i="8"/>
  <c r="H265" i="8"/>
  <c r="H249" i="8"/>
  <c r="H240" i="8"/>
  <c r="H322" i="8"/>
  <c r="H68" i="8"/>
  <c r="H325" i="8"/>
  <c r="H313" i="8"/>
  <c r="H208" i="8"/>
  <c r="H174" i="8"/>
  <c r="H329" i="8"/>
  <c r="H144" i="8"/>
  <c r="H109" i="8"/>
  <c r="H231" i="8"/>
  <c r="H180" i="8"/>
  <c r="H130" i="8"/>
  <c r="H274" i="8"/>
  <c r="H290" i="8"/>
  <c r="H85" i="8"/>
  <c r="H233" i="8"/>
  <c r="H178" i="8"/>
  <c r="H304" i="8"/>
  <c r="H156" i="8"/>
  <c r="H82" i="8"/>
  <c r="H169" i="8"/>
  <c r="H59" i="8"/>
  <c r="H97" i="8"/>
  <c r="H113" i="8"/>
  <c r="H267" i="8"/>
  <c r="H195" i="8"/>
  <c r="H198" i="8"/>
  <c r="H226" i="8"/>
  <c r="H333" i="8"/>
  <c r="H202" i="8"/>
  <c r="H310" i="8"/>
  <c r="H164" i="8"/>
  <c r="H258" i="8"/>
  <c r="H52" i="8"/>
  <c r="H92" i="8"/>
  <c r="H64" i="8"/>
  <c r="H72" i="8"/>
  <c r="H247" i="8"/>
  <c r="H269" i="8"/>
  <c r="H167" i="8"/>
  <c r="H229" i="8"/>
  <c r="H79" i="8"/>
  <c r="H153" i="8"/>
  <c r="H120" i="8"/>
  <c r="H172" i="8"/>
  <c r="H95" i="8"/>
  <c r="H204" i="8"/>
  <c r="H161" i="8"/>
  <c r="H112" i="8"/>
  <c r="H206" i="8"/>
  <c r="H124" i="8"/>
  <c r="H289" i="8"/>
  <c r="H58" i="8"/>
  <c r="H107" i="8"/>
  <c r="H259" i="8"/>
  <c r="H182" i="8"/>
  <c r="H254" i="8"/>
  <c r="H250" i="8"/>
  <c r="H296" i="8"/>
  <c r="H146" i="8"/>
  <c r="H288" i="8"/>
  <c r="H193" i="8"/>
  <c r="H126" i="8"/>
  <c r="H276" i="8"/>
  <c r="H76" i="8"/>
  <c r="H207" i="8"/>
  <c r="H327" i="8"/>
  <c r="H307" i="8"/>
  <c r="H284" i="8"/>
  <c r="H245" i="8"/>
  <c r="H281" i="8"/>
  <c r="H98" i="8"/>
  <c r="H145" i="8"/>
  <c r="H332" i="8"/>
  <c r="H159" i="8"/>
  <c r="H196" i="8"/>
  <c r="H282" i="8"/>
  <c r="H114" i="8"/>
  <c r="H230" i="8"/>
  <c r="H199" i="8"/>
  <c r="H300" i="8"/>
  <c r="H201" i="8"/>
  <c r="H251" i="8"/>
  <c r="H93" i="8"/>
  <c r="H298" i="8"/>
  <c r="H75" i="8"/>
  <c r="H63" i="8"/>
  <c r="H77" i="8"/>
  <c r="H257" i="8"/>
  <c r="H321" i="8"/>
  <c r="H171" i="8"/>
  <c r="H248" i="8"/>
  <c r="H135" i="8"/>
  <c r="H183" i="8"/>
  <c r="H235" i="8"/>
  <c r="H278" i="8"/>
  <c r="H293" i="8"/>
  <c r="H69" i="8"/>
  <c r="H170" i="8"/>
  <c r="H102" i="8"/>
  <c r="H84" i="8"/>
  <c r="H140" i="8"/>
  <c r="H101" i="8"/>
  <c r="H181" i="8"/>
  <c r="H96" i="8"/>
  <c r="H165" i="8"/>
  <c r="H314" i="8"/>
  <c r="H163" i="8"/>
  <c r="H215" i="8"/>
  <c r="H194" i="8"/>
  <c r="H49" i="8"/>
  <c r="H244" i="8"/>
  <c r="H279" i="8"/>
  <c r="H228" i="8"/>
  <c r="H275" i="8"/>
  <c r="H270" i="8"/>
  <c r="H175" i="8"/>
  <c r="H110" i="8"/>
  <c r="H70" i="8"/>
  <c r="H223" i="8"/>
  <c r="H243" i="8"/>
  <c r="H143" i="8"/>
  <c r="H299" i="8"/>
  <c r="H330" i="8"/>
  <c r="H121" i="8"/>
  <c r="H328" i="8"/>
  <c r="H91" i="8"/>
  <c r="H237" i="8"/>
  <c r="H66" i="8"/>
  <c r="H81" i="8"/>
  <c r="H90" i="8"/>
  <c r="H168" i="8"/>
  <c r="H219" i="8"/>
  <c r="H119" i="8"/>
  <c r="H264" i="8"/>
  <c r="H271" i="8"/>
  <c r="H212" i="8"/>
  <c r="H301" i="8"/>
  <c r="H117" i="8"/>
  <c r="H185" i="8"/>
  <c r="H317" i="8"/>
  <c r="H108" i="8"/>
  <c r="H155" i="8"/>
  <c r="H253" i="8"/>
  <c r="H129" i="8"/>
  <c r="H224" i="8"/>
  <c r="H261" i="8"/>
  <c r="H150" i="8"/>
  <c r="H62" i="8"/>
  <c r="H54" i="8"/>
  <c r="H166" i="8"/>
  <c r="H83" i="8"/>
  <c r="H191" i="8"/>
  <c r="H221" i="8"/>
  <c r="H239" i="8"/>
  <c r="H280" i="8"/>
  <c r="H287" i="8"/>
  <c r="H291" i="8"/>
  <c r="H128" i="8"/>
  <c r="H214" i="8"/>
  <c r="H266" i="8"/>
  <c r="H177" i="8"/>
  <c r="H111" i="8"/>
  <c r="H277" i="8"/>
  <c r="H232" i="8"/>
  <c r="H319" i="8"/>
  <c r="H87" i="8"/>
  <c r="H53" i="8"/>
  <c r="H297" i="8"/>
  <c r="H189" i="8"/>
  <c r="H148" i="8"/>
  <c r="H308" i="8"/>
  <c r="H331" i="8"/>
  <c r="H309" i="8"/>
  <c r="H315" i="8"/>
  <c r="H188" i="8"/>
  <c r="A19" i="65"/>
  <c r="A18" i="65"/>
  <c r="C19" i="65" a="1"/>
  <c r="C19" i="65"/>
  <c r="I20" i="65" a="1"/>
  <c r="I20" i="65"/>
  <c r="J6" i="65"/>
  <c r="K6" i="65" s="1"/>
  <c r="J7" i="65"/>
  <c r="K7" i="65"/>
  <c r="J8" i="65"/>
  <c r="K8" i="65"/>
  <c r="J9" i="65"/>
  <c r="K9" i="65" s="1"/>
  <c r="J10" i="65"/>
  <c r="K10" i="65" s="1"/>
  <c r="J11" i="65"/>
  <c r="K11" i="65" s="1"/>
  <c r="J12" i="65"/>
  <c r="K12" i="65" s="1"/>
  <c r="J13" i="65"/>
  <c r="K13" i="65" s="1"/>
  <c r="J14" i="65"/>
  <c r="K14" i="65"/>
  <c r="J15" i="65"/>
  <c r="K15" i="65" s="1"/>
  <c r="I6" i="65"/>
  <c r="C29" i="64"/>
  <c r="C30" i="64"/>
  <c r="D30" i="64" s="1"/>
  <c r="C31" i="64"/>
  <c r="C15" i="63"/>
  <c r="C16" i="63"/>
  <c r="C17" i="63"/>
  <c r="D17" i="63"/>
  <c r="B23" i="63"/>
  <c r="D15" i="63"/>
  <c r="B21" i="63"/>
  <c r="C21" i="63"/>
  <c r="C23" i="63"/>
  <c r="D16" i="63"/>
  <c r="B22" i="63"/>
  <c r="C22" i="63"/>
  <c r="A26" i="63"/>
  <c r="B26" i="63"/>
  <c r="J2" i="11" a="1"/>
  <c r="J2" i="11"/>
  <c r="F25" i="9"/>
  <c r="F26" i="9"/>
  <c r="F27" i="9"/>
  <c r="F28" i="9"/>
  <c r="F24" i="9"/>
  <c r="B22" i="9"/>
  <c r="B23" i="9"/>
  <c r="B21" i="9"/>
  <c r="G6" i="2"/>
  <c r="H6" i="2"/>
  <c r="G7" i="2"/>
  <c r="H7" i="2"/>
  <c r="G8" i="2"/>
  <c r="H8" i="2"/>
  <c r="I8" i="2"/>
  <c r="G9" i="2"/>
  <c r="I9" i="2"/>
  <c r="H9" i="2"/>
  <c r="I10" i="2"/>
  <c r="H10" i="2"/>
  <c r="G10" i="2"/>
  <c r="G11" i="2"/>
  <c r="H11" i="2"/>
  <c r="I11" i="2"/>
  <c r="H12" i="2"/>
  <c r="G12" i="2"/>
  <c r="I12" i="2"/>
  <c r="G13" i="2"/>
  <c r="H13" i="2"/>
  <c r="I13" i="2"/>
  <c r="G14" i="2"/>
  <c r="H14" i="2"/>
  <c r="I14" i="2"/>
  <c r="H17" i="7"/>
  <c r="H18" i="7"/>
  <c r="H19" i="7"/>
  <c r="H20" i="7"/>
  <c r="H21" i="7"/>
  <c r="H22" i="7"/>
  <c r="H23" i="7"/>
  <c r="H24" i="7"/>
  <c r="H25" i="7"/>
  <c r="H26" i="7"/>
  <c r="H27" i="7"/>
  <c r="H28" i="7"/>
  <c r="H29" i="7"/>
  <c r="H30" i="7"/>
  <c r="H31" i="7"/>
  <c r="H32" i="7"/>
  <c r="H33" i="7"/>
  <c r="H34" i="7"/>
  <c r="H35" i="7"/>
  <c r="H36" i="7"/>
  <c r="H37" i="7"/>
  <c r="H38" i="7"/>
  <c r="H39" i="7"/>
  <c r="H40" i="7"/>
  <c r="H41" i="7"/>
  <c r="H42" i="7"/>
  <c r="H43" i="7"/>
  <c r="H44" i="7"/>
  <c r="H45" i="7"/>
  <c r="H46" i="7"/>
  <c r="H47" i="7"/>
  <c r="H48" i="7"/>
  <c r="H49" i="7"/>
  <c r="H50" i="7"/>
  <c r="H51" i="7"/>
  <c r="H52" i="7"/>
  <c r="H53" i="7"/>
  <c r="H54" i="7"/>
  <c r="H55" i="7"/>
  <c r="H56" i="7"/>
  <c r="H57" i="7"/>
  <c r="H58" i="7"/>
  <c r="H59" i="7"/>
  <c r="H60" i="7"/>
  <c r="H61" i="7"/>
  <c r="H62" i="7"/>
  <c r="H63" i="7"/>
  <c r="H64" i="7"/>
  <c r="H65" i="7"/>
  <c r="H66" i="7"/>
  <c r="H67" i="7"/>
  <c r="H68" i="7"/>
  <c r="H69" i="7"/>
  <c r="H70" i="7"/>
  <c r="H71" i="7"/>
  <c r="H72" i="7"/>
  <c r="H73" i="7"/>
  <c r="H74" i="7"/>
  <c r="H75" i="7"/>
  <c r="H76" i="7"/>
  <c r="H77" i="7"/>
  <c r="H78" i="7"/>
  <c r="H79" i="7"/>
  <c r="H80" i="7"/>
  <c r="H81" i="7"/>
  <c r="H82" i="7"/>
  <c r="H83" i="7"/>
  <c r="H84" i="7"/>
  <c r="H85" i="7"/>
  <c r="H86" i="7"/>
  <c r="H87" i="7"/>
  <c r="H88" i="7"/>
  <c r="H89" i="7"/>
  <c r="H90" i="7"/>
  <c r="H91" i="7"/>
  <c r="H92" i="7"/>
  <c r="H93" i="7"/>
  <c r="H94" i="7"/>
  <c r="H95" i="7"/>
  <c r="H96" i="7"/>
  <c r="B6" i="62"/>
  <c r="B12" i="57"/>
  <c r="B13" i="57"/>
  <c r="B14" i="57"/>
  <c r="B15" i="57"/>
  <c r="B16" i="57"/>
  <c r="B17" i="57"/>
  <c r="B18" i="57"/>
  <c r="B19" i="57"/>
  <c r="B20" i="57"/>
  <c r="B21" i="57"/>
  <c r="B22" i="57"/>
  <c r="B23" i="57"/>
  <c r="B24" i="57"/>
  <c r="B25" i="57"/>
  <c r="B26" i="57"/>
  <c r="B27" i="57"/>
  <c r="B28" i="57"/>
  <c r="B29" i="57"/>
  <c r="B30" i="57"/>
  <c r="B31" i="57"/>
  <c r="T18" i="7"/>
  <c r="D24" i="7"/>
  <c r="T19" i="7"/>
  <c r="D32" i="7"/>
  <c r="T20" i="7"/>
  <c r="D40" i="7"/>
  <c r="T21" i="7"/>
  <c r="D48" i="7"/>
  <c r="T22" i="7"/>
  <c r="D56" i="7"/>
  <c r="T23" i="7"/>
  <c r="D64" i="7"/>
  <c r="T24" i="7"/>
  <c r="D72" i="7"/>
  <c r="T25" i="7"/>
  <c r="D80" i="7"/>
  <c r="T26" i="7"/>
  <c r="D88" i="7"/>
  <c r="T27" i="7"/>
  <c r="D96" i="7"/>
  <c r="S18" i="7"/>
  <c r="S19" i="7"/>
  <c r="D30" i="7"/>
  <c r="S20" i="7"/>
  <c r="D39" i="7"/>
  <c r="S21" i="7"/>
  <c r="S22" i="7"/>
  <c r="D55" i="7"/>
  <c r="S23" i="7"/>
  <c r="D61" i="7"/>
  <c r="S24" i="7"/>
  <c r="S25" i="7"/>
  <c r="D79" i="7"/>
  <c r="S26" i="7"/>
  <c r="D87" i="7"/>
  <c r="S27" i="7"/>
  <c r="R18" i="7"/>
  <c r="D19" i="7"/>
  <c r="R19" i="7"/>
  <c r="D28" i="7"/>
  <c r="R20" i="7"/>
  <c r="D34" i="7"/>
  <c r="R21" i="7"/>
  <c r="D42" i="7"/>
  <c r="R22" i="7"/>
  <c r="D50" i="7"/>
  <c r="R23" i="7"/>
  <c r="D60" i="7"/>
  <c r="R24" i="7"/>
  <c r="D66" i="7"/>
  <c r="R25" i="7"/>
  <c r="D76" i="7"/>
  <c r="R26" i="7"/>
  <c r="D82" i="7"/>
  <c r="R27" i="7"/>
  <c r="D90" i="7"/>
  <c r="M33" i="7"/>
  <c r="M34" i="7"/>
  <c r="M35" i="7"/>
  <c r="B4" i="12"/>
  <c r="B7" i="12"/>
  <c r="H5" i="2"/>
  <c r="I7" i="2"/>
  <c r="D10" i="29"/>
  <c r="D9" i="29"/>
  <c r="B11" i="29"/>
  <c r="C11" i="4"/>
  <c r="D11" i="4"/>
  <c r="E11" i="4"/>
  <c r="F11" i="4"/>
  <c r="G11" i="4"/>
  <c r="H11" i="4"/>
  <c r="I11" i="4"/>
  <c r="J11" i="4"/>
  <c r="K11" i="4"/>
  <c r="B11" i="4"/>
  <c r="B16" i="22"/>
  <c r="B15" i="22"/>
  <c r="B14" i="22"/>
  <c r="B13" i="22"/>
  <c r="B12" i="22"/>
  <c r="B11" i="22"/>
  <c r="G26" i="16"/>
  <c r="H23" i="16"/>
  <c r="D19" i="16"/>
  <c r="D20" i="16"/>
  <c r="D21" i="16"/>
  <c r="D22" i="16"/>
  <c r="D23" i="16"/>
  <c r="D24" i="16"/>
  <c r="B26" i="16"/>
  <c r="C31" i="16"/>
  <c r="B15" i="15"/>
  <c r="B14" i="15"/>
  <c r="B13" i="15"/>
  <c r="B12" i="15"/>
  <c r="B11" i="15"/>
  <c r="B10" i="15"/>
  <c r="B9" i="15"/>
  <c r="B8" i="15"/>
  <c r="B7" i="15"/>
  <c r="B6" i="15"/>
  <c r="B31" i="11"/>
  <c r="B30" i="11"/>
  <c r="B29" i="11"/>
  <c r="B28" i="11"/>
  <c r="B27" i="11"/>
  <c r="B26" i="11"/>
  <c r="B25" i="11"/>
  <c r="B24" i="11"/>
  <c r="B23" i="11"/>
  <c r="B22" i="11"/>
  <c r="C4" i="12"/>
  <c r="D4" i="12"/>
  <c r="E4" i="12"/>
  <c r="F4" i="12"/>
  <c r="G4" i="12"/>
  <c r="H4" i="12"/>
  <c r="I4" i="12"/>
  <c r="J4" i="12"/>
  <c r="K4" i="12"/>
  <c r="L4" i="12"/>
  <c r="M4" i="12"/>
  <c r="N4" i="12"/>
  <c r="O4" i="12"/>
  <c r="P4" i="12"/>
  <c r="Q4" i="12"/>
  <c r="R4" i="12"/>
  <c r="S4" i="12"/>
  <c r="T4" i="12"/>
  <c r="U4" i="12"/>
  <c r="C5" i="12"/>
  <c r="D5" i="12"/>
  <c r="E5" i="12"/>
  <c r="F5" i="12"/>
  <c r="G5" i="12"/>
  <c r="H5" i="12"/>
  <c r="I5" i="12"/>
  <c r="J5" i="12"/>
  <c r="K5" i="12"/>
  <c r="L5" i="12"/>
  <c r="M5" i="12"/>
  <c r="N5" i="12"/>
  <c r="O5" i="12"/>
  <c r="P5" i="12"/>
  <c r="Q5" i="12"/>
  <c r="R5" i="12"/>
  <c r="S5" i="12"/>
  <c r="T5" i="12"/>
  <c r="U5" i="12"/>
  <c r="C6" i="12"/>
  <c r="D6" i="12"/>
  <c r="E6" i="12"/>
  <c r="F6" i="12"/>
  <c r="G6" i="12"/>
  <c r="H6" i="12"/>
  <c r="I6" i="12"/>
  <c r="J6" i="12"/>
  <c r="K6" i="12"/>
  <c r="L6" i="12"/>
  <c r="M6" i="12"/>
  <c r="N6" i="12"/>
  <c r="O6" i="12"/>
  <c r="P6" i="12"/>
  <c r="Q6" i="12"/>
  <c r="R6" i="12"/>
  <c r="S6" i="12"/>
  <c r="T6" i="12"/>
  <c r="U6" i="12"/>
  <c r="C7" i="12"/>
  <c r="D7" i="12"/>
  <c r="E7" i="12"/>
  <c r="F7" i="12"/>
  <c r="G7" i="12"/>
  <c r="H7" i="12"/>
  <c r="I7" i="12"/>
  <c r="J7" i="12"/>
  <c r="K7" i="12"/>
  <c r="L7" i="12"/>
  <c r="M7" i="12"/>
  <c r="N7" i="12"/>
  <c r="O7" i="12"/>
  <c r="P7" i="12"/>
  <c r="Q7" i="12"/>
  <c r="R7" i="12"/>
  <c r="S7" i="12"/>
  <c r="T7" i="12"/>
  <c r="U7" i="12"/>
  <c r="C8" i="12"/>
  <c r="D8" i="12"/>
  <c r="E8" i="12"/>
  <c r="F8" i="12"/>
  <c r="G8" i="12"/>
  <c r="H8" i="12"/>
  <c r="I8" i="12"/>
  <c r="J8" i="12"/>
  <c r="K8" i="12"/>
  <c r="L8" i="12"/>
  <c r="M8" i="12"/>
  <c r="N8" i="12"/>
  <c r="O8" i="12"/>
  <c r="P8" i="12"/>
  <c r="Q8" i="12"/>
  <c r="R8" i="12"/>
  <c r="S8" i="12"/>
  <c r="T8" i="12"/>
  <c r="U8" i="12"/>
  <c r="C9" i="12"/>
  <c r="D9" i="12"/>
  <c r="E9" i="12"/>
  <c r="F9" i="12"/>
  <c r="G9" i="12"/>
  <c r="H9" i="12"/>
  <c r="I9" i="12"/>
  <c r="J9" i="12"/>
  <c r="K9" i="12"/>
  <c r="L9" i="12"/>
  <c r="M9" i="12"/>
  <c r="N9" i="12"/>
  <c r="O9" i="12"/>
  <c r="P9" i="12"/>
  <c r="Q9" i="12"/>
  <c r="R9" i="12"/>
  <c r="S9" i="12"/>
  <c r="T9" i="12"/>
  <c r="U9" i="12"/>
  <c r="C10" i="12"/>
  <c r="D10" i="12"/>
  <c r="E10" i="12"/>
  <c r="F10" i="12"/>
  <c r="G10" i="12"/>
  <c r="H10" i="12"/>
  <c r="I10" i="12"/>
  <c r="J10" i="12"/>
  <c r="K10" i="12"/>
  <c r="L10" i="12"/>
  <c r="M10" i="12"/>
  <c r="N10" i="12"/>
  <c r="O10" i="12"/>
  <c r="P10" i="12"/>
  <c r="Q10" i="12"/>
  <c r="R10" i="12"/>
  <c r="S10" i="12"/>
  <c r="T10" i="12"/>
  <c r="U10" i="12"/>
  <c r="C11" i="12"/>
  <c r="D11" i="12"/>
  <c r="E11" i="12"/>
  <c r="F11" i="12"/>
  <c r="G11" i="12"/>
  <c r="H11" i="12"/>
  <c r="I11" i="12"/>
  <c r="J11" i="12"/>
  <c r="K11" i="12"/>
  <c r="L11" i="12"/>
  <c r="M11" i="12"/>
  <c r="N11" i="12"/>
  <c r="O11" i="12"/>
  <c r="P11" i="12"/>
  <c r="Q11" i="12"/>
  <c r="R11" i="12"/>
  <c r="S11" i="12"/>
  <c r="T11" i="12"/>
  <c r="U11" i="12"/>
  <c r="C12" i="12"/>
  <c r="D12" i="12"/>
  <c r="E12" i="12"/>
  <c r="F12" i="12"/>
  <c r="G12" i="12"/>
  <c r="H12" i="12"/>
  <c r="I12" i="12"/>
  <c r="J12" i="12"/>
  <c r="K12" i="12"/>
  <c r="L12" i="12"/>
  <c r="M12" i="12"/>
  <c r="N12" i="12"/>
  <c r="O12" i="12"/>
  <c r="P12" i="12"/>
  <c r="Q12" i="12"/>
  <c r="R12" i="12"/>
  <c r="S12" i="12"/>
  <c r="T12" i="12"/>
  <c r="U12" i="12"/>
  <c r="C13" i="12"/>
  <c r="D13" i="12"/>
  <c r="E13" i="12"/>
  <c r="F13" i="12"/>
  <c r="G13" i="12"/>
  <c r="H13" i="12"/>
  <c r="I13" i="12"/>
  <c r="J13" i="12"/>
  <c r="K13" i="12"/>
  <c r="L13" i="12"/>
  <c r="M13" i="12"/>
  <c r="N13" i="12"/>
  <c r="O13" i="12"/>
  <c r="P13" i="12"/>
  <c r="Q13" i="12"/>
  <c r="R13" i="12"/>
  <c r="S13" i="12"/>
  <c r="T13" i="12"/>
  <c r="U13" i="12"/>
  <c r="B5" i="12"/>
  <c r="B6" i="12"/>
  <c r="B8" i="12"/>
  <c r="B9" i="12"/>
  <c r="B10" i="12"/>
  <c r="B11" i="12"/>
  <c r="B12" i="12"/>
  <c r="B13" i="12"/>
  <c r="B18" i="11"/>
  <c r="B17" i="11"/>
  <c r="B16" i="11"/>
  <c r="B15" i="11"/>
  <c r="B14" i="11"/>
  <c r="B13" i="11"/>
  <c r="B12" i="11"/>
  <c r="B11" i="11"/>
  <c r="B10" i="11"/>
  <c r="B9" i="11"/>
  <c r="A33" i="12"/>
  <c r="B14" i="8"/>
  <c r="B17" i="8"/>
  <c r="B18" i="8"/>
  <c r="B19" i="8"/>
  <c r="B20" i="8"/>
  <c r="B21" i="8"/>
  <c r="B22" i="8"/>
  <c r="B23" i="8"/>
  <c r="B24" i="8"/>
  <c r="B25" i="8"/>
  <c r="B26" i="8"/>
  <c r="C17" i="8"/>
  <c r="C18" i="8"/>
  <c r="C19" i="8"/>
  <c r="C20" i="8"/>
  <c r="C21" i="8"/>
  <c r="C22" i="8"/>
  <c r="C23" i="8"/>
  <c r="C24" i="8"/>
  <c r="C25" i="8"/>
  <c r="C26" i="8"/>
  <c r="C9" i="8"/>
  <c r="C10" i="8"/>
  <c r="C11" i="8"/>
  <c r="C12" i="8"/>
  <c r="C13" i="8"/>
  <c r="C14" i="8"/>
  <c r="C15" i="8"/>
  <c r="C16" i="8"/>
  <c r="B10" i="8"/>
  <c r="B11" i="8"/>
  <c r="B12" i="8"/>
  <c r="B13" i="8"/>
  <c r="B15" i="8"/>
  <c r="B16" i="8"/>
  <c r="B9" i="8"/>
  <c r="B7" i="7"/>
  <c r="B8" i="7"/>
  <c r="B9" i="7"/>
  <c r="D86" i="7"/>
  <c r="D85" i="7"/>
  <c r="D63" i="7"/>
  <c r="D17" i="7"/>
  <c r="D54" i="7"/>
  <c r="D53" i="7"/>
  <c r="D62" i="7"/>
  <c r="H20" i="16"/>
  <c r="D43" i="7"/>
  <c r="D44" i="7"/>
  <c r="D41" i="7"/>
  <c r="D67" i="7"/>
  <c r="D75" i="7"/>
  <c r="C29" i="16"/>
  <c r="D68" i="7"/>
  <c r="D74" i="7"/>
  <c r="D77" i="7"/>
  <c r="D78" i="7"/>
  <c r="D65" i="7"/>
  <c r="D38" i="7"/>
  <c r="B13" i="7"/>
  <c r="C13" i="7"/>
  <c r="B6" i="8"/>
  <c r="F13" i="8" s="1"/>
  <c r="D26" i="7"/>
  <c r="D27" i="7"/>
  <c r="D37" i="7"/>
  <c r="D52" i="7"/>
  <c r="D20" i="7"/>
  <c r="D91" i="7"/>
  <c r="D92" i="7"/>
  <c r="D89" i="7"/>
  <c r="D18" i="7"/>
  <c r="D29" i="7"/>
  <c r="D31" i="7"/>
  <c r="D49" i="7"/>
  <c r="Q27" i="12"/>
  <c r="P23" i="12"/>
  <c r="F24" i="12"/>
  <c r="U21" i="12"/>
  <c r="E20" i="12"/>
  <c r="S22" i="12"/>
  <c r="Q24" i="11"/>
  <c r="H29" i="12"/>
  <c r="U28" i="12"/>
  <c r="V27" i="12"/>
  <c r="W26" i="12"/>
  <c r="U28" i="11"/>
  <c r="V26" i="12"/>
  <c r="T28" i="11"/>
  <c r="X25" i="12"/>
  <c r="R25" i="12"/>
  <c r="S24" i="12"/>
  <c r="E24" i="12"/>
  <c r="T23" i="12"/>
  <c r="F23" i="12"/>
  <c r="V21" i="12"/>
  <c r="H21" i="12"/>
  <c r="Q20" i="12"/>
  <c r="C30" i="16"/>
  <c r="B14" i="7"/>
  <c r="C14" i="7"/>
  <c r="C6" i="8"/>
  <c r="B12" i="7"/>
  <c r="C12" i="7"/>
  <c r="A6" i="8"/>
  <c r="Q23" i="12"/>
  <c r="O25" i="11"/>
  <c r="I24" i="12"/>
  <c r="S25" i="12"/>
  <c r="G25" i="12"/>
  <c r="N24" i="12"/>
  <c r="O23" i="12"/>
  <c r="J22" i="12"/>
  <c r="K21" i="12"/>
  <c r="T20" i="12"/>
  <c r="V29" i="12"/>
  <c r="W29" i="12"/>
  <c r="K29" i="12"/>
  <c r="R29" i="12"/>
  <c r="U29" i="12"/>
  <c r="I29" i="12"/>
  <c r="P29" i="12"/>
  <c r="S29" i="12"/>
  <c r="G29" i="12"/>
  <c r="L29" i="12"/>
  <c r="E29" i="12"/>
  <c r="O29" i="12"/>
  <c r="T29" i="12"/>
  <c r="P27" i="12"/>
  <c r="J27" i="12"/>
  <c r="N27" i="12"/>
  <c r="S27" i="12"/>
  <c r="G27" i="12"/>
  <c r="X27" i="12"/>
  <c r="L25" i="12"/>
  <c r="E25" i="12"/>
  <c r="T25" i="12"/>
  <c r="R27" i="11"/>
  <c r="F25" i="12"/>
  <c r="O25" i="12"/>
  <c r="P25" i="12"/>
  <c r="V25" i="12"/>
  <c r="T27" i="11"/>
  <c r="W25" i="12"/>
  <c r="M25" i="12"/>
  <c r="H25" i="12"/>
  <c r="I25" i="12"/>
  <c r="N25" i="12"/>
  <c r="M24" i="12"/>
  <c r="G24" i="12"/>
  <c r="W24" i="12"/>
  <c r="U26" i="11"/>
  <c r="H24" i="12"/>
  <c r="N23" i="12"/>
  <c r="H23" i="12"/>
  <c r="I23" i="12"/>
  <c r="O22" i="12"/>
  <c r="M24" i="11"/>
  <c r="P21" i="12"/>
  <c r="J21" i="12"/>
  <c r="F21" i="12"/>
  <c r="W21" i="12"/>
  <c r="U23" i="11"/>
  <c r="O21" i="12"/>
  <c r="W20" i="12"/>
  <c r="I20" i="12"/>
  <c r="S20" i="12"/>
  <c r="Q22" i="11"/>
  <c r="X20" i="12"/>
  <c r="P20" i="12"/>
  <c r="K20" i="12"/>
  <c r="P22" i="12"/>
  <c r="K22" i="12"/>
  <c r="R22" i="12"/>
  <c r="W22" i="12"/>
  <c r="G22" i="12"/>
  <c r="F22" i="12"/>
  <c r="Q22" i="12"/>
  <c r="E22" i="12"/>
  <c r="X22" i="12"/>
  <c r="L22" i="12"/>
  <c r="N29" i="12"/>
  <c r="O28" i="12"/>
  <c r="I28" i="12"/>
  <c r="L28" i="12"/>
  <c r="Q26" i="12"/>
  <c r="K26" i="12"/>
  <c r="P26" i="12"/>
  <c r="U26" i="12"/>
  <c r="E26" i="12"/>
  <c r="U22" i="12"/>
  <c r="S24" i="11"/>
  <c r="I22" i="12"/>
  <c r="N22" i="12"/>
  <c r="Q24" i="12"/>
  <c r="R24" i="12"/>
  <c r="J28" i="12"/>
  <c r="Q28" i="12"/>
  <c r="X21" i="12"/>
  <c r="M29" i="12"/>
  <c r="T28" i="12"/>
  <c r="N28" i="12"/>
  <c r="H28" i="12"/>
  <c r="U27" i="12"/>
  <c r="O27" i="12"/>
  <c r="I27" i="12"/>
  <c r="J26" i="12"/>
  <c r="Q25" i="12"/>
  <c r="X24" i="12"/>
  <c r="L24" i="12"/>
  <c r="V24" i="12"/>
  <c r="S23" i="12"/>
  <c r="M23" i="12"/>
  <c r="J23" i="12"/>
  <c r="T22" i="12"/>
  <c r="H22" i="12"/>
  <c r="I21" i="12"/>
  <c r="G20" i="12"/>
  <c r="H20" i="12"/>
  <c r="V22" i="12"/>
  <c r="K25" i="12"/>
  <c r="V28" i="12"/>
  <c r="F27" i="12"/>
  <c r="L27" i="12"/>
  <c r="X29" i="12"/>
  <c r="F29" i="12"/>
  <c r="S28" i="12"/>
  <c r="M28" i="12"/>
  <c r="G28" i="12"/>
  <c r="H27" i="12"/>
  <c r="O26" i="12"/>
  <c r="I26" i="12"/>
  <c r="J25" i="12"/>
  <c r="K24" i="12"/>
  <c r="X23" i="12"/>
  <c r="R23" i="12"/>
  <c r="P25" i="11"/>
  <c r="L23" i="12"/>
  <c r="E23" i="12"/>
  <c r="M22" i="12"/>
  <c r="T21" i="12"/>
  <c r="N21" i="12"/>
  <c r="O20" i="12"/>
  <c r="M22" i="11"/>
  <c r="F20" i="12"/>
  <c r="U20" i="12"/>
  <c r="S22" i="11"/>
  <c r="S26" i="12"/>
  <c r="U25" i="12"/>
  <c r="Q29" i="12"/>
  <c r="J29" i="12"/>
  <c r="R28" i="12"/>
  <c r="F28" i="12"/>
  <c r="M27" i="12"/>
  <c r="T26" i="12"/>
  <c r="V20" i="12"/>
  <c r="T27" i="12"/>
  <c r="G23" i="12"/>
  <c r="N26" i="12"/>
  <c r="X26" i="12"/>
  <c r="N20" i="12"/>
  <c r="M21" i="12"/>
  <c r="R21" i="12"/>
  <c r="P23" i="11"/>
  <c r="M26" i="12"/>
  <c r="W28" i="12"/>
  <c r="E27" i="12"/>
  <c r="W23" i="12"/>
  <c r="U25" i="11"/>
  <c r="P24" i="12"/>
  <c r="L26" i="12"/>
  <c r="O24" i="12"/>
  <c r="J20" i="12"/>
  <c r="R20" i="12"/>
  <c r="G21" i="12"/>
  <c r="Q21" i="12"/>
  <c r="O23" i="11"/>
  <c r="U24" i="12"/>
  <c r="E28" i="12"/>
  <c r="R27" i="12"/>
  <c r="K23" i="12"/>
  <c r="J24" i="12"/>
  <c r="T24" i="12"/>
  <c r="R26" i="11"/>
  <c r="F26" i="12"/>
  <c r="R26" i="12"/>
  <c r="E21" i="12"/>
  <c r="H24" i="16"/>
  <c r="H22" i="16"/>
  <c r="H19" i="16"/>
  <c r="H21" i="16"/>
  <c r="D11" i="29"/>
  <c r="D59" i="7"/>
  <c r="D57" i="7"/>
  <c r="D58" i="7"/>
  <c r="D70" i="7"/>
  <c r="D69" i="7"/>
  <c r="D71" i="7"/>
  <c r="L20" i="12"/>
  <c r="M20" i="12"/>
  <c r="K22" i="11"/>
  <c r="G26" i="12"/>
  <c r="L21" i="12"/>
  <c r="U23" i="12"/>
  <c r="H26" i="12"/>
  <c r="K27" i="12"/>
  <c r="W27" i="12"/>
  <c r="P28" i="12"/>
  <c r="K28" i="12"/>
  <c r="X28" i="12"/>
  <c r="S21" i="12"/>
  <c r="V23" i="12"/>
  <c r="T25" i="11"/>
  <c r="D81" i="7"/>
  <c r="D83" i="7"/>
  <c r="D84" i="7"/>
  <c r="D93" i="7"/>
  <c r="D95" i="7"/>
  <c r="D94" i="7"/>
  <c r="D21" i="7"/>
  <c r="D22" i="7"/>
  <c r="D23" i="7"/>
  <c r="D33" i="7"/>
  <c r="D36" i="7"/>
  <c r="D35" i="7"/>
  <c r="D46" i="7"/>
  <c r="D47" i="7"/>
  <c r="D45" i="7"/>
  <c r="D73" i="7"/>
  <c r="D51" i="7"/>
  <c r="D25" i="7"/>
  <c r="B7" i="62"/>
  <c r="B8" i="62"/>
  <c r="B9" i="62"/>
  <c r="B10" i="62"/>
  <c r="B11" i="62"/>
  <c r="D19" i="65"/>
  <c r="I36" i="65"/>
  <c r="I30" i="65"/>
  <c r="H36" i="65"/>
  <c r="H30" i="65"/>
  <c r="H51" i="65"/>
  <c r="H29" i="65"/>
  <c r="H31" i="65"/>
  <c r="I50" i="65"/>
  <c r="H40" i="65"/>
  <c r="H45" i="65"/>
  <c r="J20" i="65"/>
  <c r="J37" i="65"/>
  <c r="J51" i="65"/>
  <c r="J23" i="65"/>
  <c r="J35" i="65"/>
  <c r="J43" i="65"/>
  <c r="J49" i="65"/>
  <c r="J26" i="65"/>
  <c r="J32" i="65"/>
  <c r="J39" i="65"/>
  <c r="L20" i="65"/>
  <c r="N20" i="65" a="1"/>
  <c r="J47" i="65"/>
  <c r="H26" i="66"/>
  <c r="H34" i="65"/>
  <c r="H23" i="66"/>
  <c r="H22" i="66"/>
  <c r="H12" i="66"/>
  <c r="N20" i="65"/>
  <c r="O20" i="65"/>
  <c r="I33" i="65"/>
  <c r="J29" i="65"/>
  <c r="J41" i="65"/>
  <c r="J22" i="65"/>
  <c r="J44" i="65"/>
  <c r="H38" i="65"/>
  <c r="I49" i="65"/>
  <c r="I26" i="65"/>
  <c r="I48" i="65"/>
  <c r="I45" i="65"/>
  <c r="I40" i="65"/>
  <c r="H23" i="65"/>
  <c r="H46" i="65"/>
  <c r="H27" i="65"/>
  <c r="I29" i="65"/>
  <c r="I34" i="65"/>
  <c r="I47" i="65"/>
  <c r="J36" i="65"/>
  <c r="J28" i="65"/>
  <c r="J50" i="65"/>
  <c r="J24" i="65"/>
  <c r="J46" i="65"/>
  <c r="J25" i="65"/>
  <c r="I41" i="65"/>
  <c r="I46" i="65"/>
  <c r="H43" i="65"/>
  <c r="I31" i="65"/>
  <c r="I44" i="65"/>
  <c r="H26" i="65"/>
  <c r="H33" i="65"/>
  <c r="I32" i="65"/>
  <c r="I39" i="65"/>
  <c r="J38" i="65"/>
  <c r="J48" i="65"/>
  <c r="J34" i="65"/>
  <c r="J27" i="65"/>
  <c r="J30" i="65"/>
  <c r="J31" i="65"/>
  <c r="H24" i="65"/>
  <c r="H39" i="65"/>
  <c r="I24" i="65"/>
  <c r="H49" i="65"/>
  <c r="I27" i="65"/>
  <c r="H25" i="65"/>
  <c r="I42" i="65"/>
  <c r="H37" i="65"/>
  <c r="J45" i="65"/>
  <c r="H35" i="65"/>
  <c r="I25" i="65"/>
  <c r="I22" i="65"/>
  <c r="J40" i="65"/>
  <c r="J33" i="65"/>
  <c r="J42" i="65"/>
  <c r="I28" i="65"/>
  <c r="I43" i="65"/>
  <c r="H41" i="65"/>
  <c r="I35" i="65"/>
  <c r="I23" i="65"/>
  <c r="H44" i="65"/>
  <c r="H48" i="65"/>
  <c r="H47" i="65"/>
  <c r="H28" i="65"/>
  <c r="H32" i="65"/>
  <c r="I37" i="65"/>
  <c r="I38" i="65"/>
  <c r="H42" i="65"/>
  <c r="H22" i="65"/>
  <c r="H50" i="65"/>
  <c r="I51" i="65"/>
  <c r="I14" i="65"/>
  <c r="C47" i="65" s="1"/>
  <c r="D47" i="65" s="1"/>
  <c r="I10" i="65"/>
  <c r="C32" i="65"/>
  <c r="I12" i="65"/>
  <c r="C39" i="65" s="1"/>
  <c r="D39" i="65" s="1"/>
  <c r="I8" i="65"/>
  <c r="C26" i="65"/>
  <c r="I15" i="65"/>
  <c r="C51" i="65"/>
  <c r="I13" i="65"/>
  <c r="I9" i="65"/>
  <c r="C29" i="65"/>
  <c r="I7" i="65"/>
  <c r="I11" i="65"/>
  <c r="C35" i="65"/>
  <c r="D35" i="65" s="1"/>
  <c r="L35" i="65"/>
  <c r="M35" i="65"/>
  <c r="L50" i="65"/>
  <c r="M50" i="65"/>
  <c r="L22" i="65"/>
  <c r="M22" i="65"/>
  <c r="L31" i="65"/>
  <c r="M31" i="65"/>
  <c r="L34" i="65"/>
  <c r="M34" i="65"/>
  <c r="P34" i="65"/>
  <c r="L26" i="65"/>
  <c r="M26" i="65"/>
  <c r="L47" i="65"/>
  <c r="M47" i="65"/>
  <c r="L39" i="65"/>
  <c r="M39" i="65"/>
  <c r="L30" i="65"/>
  <c r="M30" i="65"/>
  <c r="P30" i="65"/>
  <c r="L43" i="65"/>
  <c r="M43" i="65"/>
  <c r="L51" i="65"/>
  <c r="M51" i="65"/>
  <c r="L28" i="65"/>
  <c r="M28" i="65"/>
  <c r="P28" i="65"/>
  <c r="L24" i="65"/>
  <c r="M24" i="65"/>
  <c r="L45" i="65"/>
  <c r="M45" i="65"/>
  <c r="L48" i="65"/>
  <c r="M48" i="65"/>
  <c r="L40" i="65"/>
  <c r="M40" i="65"/>
  <c r="P40" i="65"/>
  <c r="L32" i="65"/>
  <c r="M32" i="65"/>
  <c r="L42" i="65"/>
  <c r="M42" i="65"/>
  <c r="L37" i="65"/>
  <c r="M37" i="65"/>
  <c r="L23" i="65"/>
  <c r="M23" i="65"/>
  <c r="L44" i="65"/>
  <c r="M44" i="65"/>
  <c r="L49" i="65"/>
  <c r="M49" i="65"/>
  <c r="L46" i="65"/>
  <c r="M46" i="65"/>
  <c r="L38" i="65"/>
  <c r="M38" i="65"/>
  <c r="L41" i="65"/>
  <c r="M41" i="65"/>
  <c r="P41" i="65"/>
  <c r="L33" i="65"/>
  <c r="M33" i="65"/>
  <c r="P33" i="65"/>
  <c r="L25" i="65"/>
  <c r="M25" i="65"/>
  <c r="L29" i="65"/>
  <c r="M29" i="65"/>
  <c r="L36" i="65"/>
  <c r="M36" i="65"/>
  <c r="L27" i="65"/>
  <c r="M27" i="65"/>
  <c r="Q30" i="65"/>
  <c r="R30" i="65"/>
  <c r="R41" i="65"/>
  <c r="Q41" i="65"/>
  <c r="Q31" i="65"/>
  <c r="Q51" i="65"/>
  <c r="Q35" i="65"/>
  <c r="Q38" i="65"/>
  <c r="Q50" i="65"/>
  <c r="Q36" i="65"/>
  <c r="Q37" i="65"/>
  <c r="Q42" i="65"/>
  <c r="Q49" i="65"/>
  <c r="Q28" i="65"/>
  <c r="Q25" i="65"/>
  <c r="Q45" i="65"/>
  <c r="Q43" i="65"/>
  <c r="Q32" i="65"/>
  <c r="Q47" i="65"/>
  <c r="Q27" i="65"/>
  <c r="Q39" i="65"/>
  <c r="Q48" i="65"/>
  <c r="Q46" i="65"/>
  <c r="Q44" i="65"/>
  <c r="R28" i="65"/>
  <c r="Q22" i="65"/>
  <c r="Q24" i="65"/>
  <c r="Q29" i="65"/>
  <c r="Q26" i="65"/>
  <c r="Q23" i="65"/>
  <c r="E50" i="65"/>
  <c r="Q33" i="65"/>
  <c r="R33" i="65"/>
  <c r="R34" i="65"/>
  <c r="Q34" i="65"/>
  <c r="Q40" i="65"/>
  <c r="R40" i="65"/>
  <c r="E22" i="65"/>
  <c r="F22" i="65" s="1"/>
  <c r="E47" i="65"/>
  <c r="E24" i="65"/>
  <c r="E46" i="65"/>
  <c r="E43" i="65"/>
  <c r="E51" i="65"/>
  <c r="H34" i="66"/>
  <c r="H21" i="66"/>
  <c r="H19" i="66"/>
  <c r="H28" i="66"/>
  <c r="H35" i="66"/>
  <c r="H20" i="66"/>
  <c r="H36" i="66"/>
  <c r="H11" i="66"/>
  <c r="H17" i="66"/>
  <c r="H27" i="66"/>
  <c r="H10" i="66"/>
  <c r="H9" i="66"/>
  <c r="H18" i="66"/>
  <c r="H14" i="66"/>
  <c r="H32" i="66"/>
  <c r="H13" i="66"/>
  <c r="H33" i="66"/>
  <c r="H29" i="66"/>
  <c r="H24" i="66"/>
  <c r="H16" i="66"/>
  <c r="H31" i="66"/>
  <c r="H15" i="66"/>
  <c r="E48" i="65"/>
  <c r="F48" i="65" s="1"/>
  <c r="E49" i="65"/>
  <c r="E32" i="65"/>
  <c r="E42" i="65"/>
  <c r="L3" i="32" a="1"/>
  <c r="L3" i="32"/>
  <c r="D30" i="32" a="1"/>
  <c r="E30" i="32" s="1"/>
  <c r="D30" i="32"/>
  <c r="K30" i="32" s="1"/>
  <c r="M3" i="32"/>
  <c r="C19" i="32"/>
  <c r="K2" i="11"/>
  <c r="DZ5" i="11"/>
  <c r="H18" i="11"/>
  <c r="H31" i="11"/>
  <c r="DL5" i="11"/>
  <c r="N17" i="11"/>
  <c r="N30" i="11"/>
  <c r="BT5" i="11"/>
  <c r="E15" i="11"/>
  <c r="E28" i="11"/>
  <c r="DV5" i="11"/>
  <c r="D18" i="11"/>
  <c r="CD5" i="11"/>
  <c r="O15" i="11"/>
  <c r="O28" i="11"/>
  <c r="CJ5" i="11"/>
  <c r="F16" i="11"/>
  <c r="F29" i="11"/>
  <c r="W5" i="11"/>
  <c r="F11" i="11"/>
  <c r="F24" i="11"/>
  <c r="DS5" i="11"/>
  <c r="U17" i="11"/>
  <c r="U30" i="11"/>
  <c r="CR5" i="11"/>
  <c r="N16" i="11"/>
  <c r="N29" i="11"/>
  <c r="AO5" i="11"/>
  <c r="D13" i="11"/>
  <c r="D26" i="11"/>
  <c r="O5" i="11"/>
  <c r="H10" i="11"/>
  <c r="H23" i="11"/>
  <c r="B5" i="11"/>
  <c r="C9" i="11"/>
  <c r="C22" i="11"/>
  <c r="DP5" i="11"/>
  <c r="R17" i="11"/>
  <c r="R30" i="11"/>
  <c r="AJ5" i="11"/>
  <c r="I12" i="11"/>
  <c r="I25" i="11"/>
  <c r="AV5" i="11"/>
  <c r="K13" i="11"/>
  <c r="K26" i="11"/>
  <c r="AA5" i="11"/>
  <c r="J11" i="11"/>
  <c r="J24" i="11"/>
  <c r="DW5" i="11"/>
  <c r="E18" i="11"/>
  <c r="E31" i="11"/>
  <c r="DI5" i="11"/>
  <c r="K17" i="11"/>
  <c r="K30" i="11"/>
  <c r="CG5" i="11"/>
  <c r="C16" i="11"/>
  <c r="C29" i="11"/>
  <c r="CH5" i="11"/>
  <c r="D16" i="11"/>
  <c r="D29" i="11"/>
  <c r="AF5" i="11"/>
  <c r="E12" i="11"/>
  <c r="E25" i="11"/>
  <c r="DG5" i="11"/>
  <c r="I17" i="11"/>
  <c r="I30" i="11"/>
  <c r="DQ5" i="11"/>
  <c r="S17" i="11"/>
  <c r="S30" i="11"/>
  <c r="AT5" i="11"/>
  <c r="I13" i="11"/>
  <c r="I26" i="11"/>
  <c r="I5" i="11"/>
  <c r="J9" i="11"/>
  <c r="J22" i="11"/>
  <c r="CE5" i="11"/>
  <c r="P15" i="11"/>
  <c r="P28" i="11"/>
  <c r="BV5" i="11"/>
  <c r="G15" i="11"/>
  <c r="G28" i="11"/>
  <c r="AQ5" i="11"/>
  <c r="F13" i="11"/>
  <c r="F26" i="11"/>
  <c r="AW5" i="11"/>
  <c r="L13" i="11"/>
  <c r="L26" i="11"/>
  <c r="BZ5" i="11"/>
  <c r="K15" i="11"/>
  <c r="K28" i="11"/>
  <c r="CO5" i="11"/>
  <c r="K16" i="11"/>
  <c r="K29" i="11"/>
  <c r="ED5" i="11"/>
  <c r="L18" i="11"/>
  <c r="L31" i="11"/>
  <c r="BN5" i="11"/>
  <c r="N14" i="11"/>
  <c r="N27" i="11"/>
  <c r="BA5" i="11"/>
  <c r="P13" i="11"/>
  <c r="P26" i="11"/>
  <c r="CY5" i="11"/>
  <c r="U16" i="11"/>
  <c r="U29" i="11"/>
  <c r="EJ5" i="11"/>
  <c r="R18" i="11"/>
  <c r="R31" i="11"/>
  <c r="EA5" i="11"/>
  <c r="I18" i="11"/>
  <c r="I31" i="11"/>
  <c r="D5" i="11"/>
  <c r="E9" i="11"/>
  <c r="E22" i="11"/>
  <c r="BY5" i="11"/>
  <c r="J15" i="11"/>
  <c r="J28" i="11"/>
  <c r="CC5" i="11"/>
  <c r="N15" i="11"/>
  <c r="N28" i="11"/>
  <c r="CS5" i="11"/>
  <c r="O16" i="11"/>
  <c r="O29" i="11"/>
  <c r="AR5" i="11"/>
  <c r="G13" i="11"/>
  <c r="G26" i="11"/>
  <c r="C5" i="11"/>
  <c r="D9" i="11"/>
  <c r="D22" i="11"/>
  <c r="DF5" i="11"/>
  <c r="H17" i="11"/>
  <c r="H30" i="11"/>
  <c r="P5" i="11"/>
  <c r="I10" i="11"/>
  <c r="I23" i="11"/>
  <c r="BG5" i="11"/>
  <c r="G14" i="11"/>
  <c r="G27" i="11"/>
  <c r="H5" i="11"/>
  <c r="I9" i="11"/>
  <c r="I22" i="11"/>
  <c r="EC5" i="11"/>
  <c r="K18" i="11"/>
  <c r="K31" i="11"/>
  <c r="AN5" i="11"/>
  <c r="C13" i="11"/>
  <c r="C26" i="11"/>
  <c r="DE5" i="11"/>
  <c r="G17" i="11"/>
  <c r="G30" i="11"/>
  <c r="Q5" i="11"/>
  <c r="J10" i="11"/>
  <c r="J23" i="11"/>
  <c r="AM5" i="11"/>
  <c r="L12" i="11"/>
  <c r="L25" i="11"/>
  <c r="AS5" i="11"/>
  <c r="H13" i="11"/>
  <c r="H26" i="11"/>
  <c r="CP5" i="11"/>
  <c r="L16" i="11"/>
  <c r="L29" i="11"/>
  <c r="AC5" i="11"/>
  <c r="L11" i="11"/>
  <c r="L24" i="11"/>
  <c r="EI5" i="11"/>
  <c r="Q18" i="11"/>
  <c r="Q31" i="11"/>
  <c r="BQ5" i="11"/>
  <c r="Q14" i="11"/>
  <c r="Q27" i="11"/>
  <c r="BI5" i="11"/>
  <c r="I14" i="11"/>
  <c r="I27" i="11"/>
  <c r="CB5" i="11"/>
  <c r="M15" i="11"/>
  <c r="M28" i="11"/>
  <c r="EB5" i="11"/>
  <c r="J18" i="11"/>
  <c r="J31" i="11"/>
  <c r="EN5" i="11"/>
  <c r="V18" i="11"/>
  <c r="V31" i="11"/>
  <c r="AZ5" i="11"/>
  <c r="O13" i="11"/>
  <c r="O26" i="11"/>
  <c r="J5" i="11"/>
  <c r="C10" i="11"/>
  <c r="C23" i="11"/>
  <c r="EF5" i="11"/>
  <c r="N18" i="11"/>
  <c r="N31" i="11"/>
  <c r="DO5" i="11"/>
  <c r="Q17" i="11"/>
  <c r="Q30" i="11"/>
  <c r="BJ5" i="11"/>
  <c r="J14" i="11"/>
  <c r="J27" i="11"/>
  <c r="CZ5" i="11"/>
  <c r="V16" i="11"/>
  <c r="V29" i="11"/>
  <c r="DM5" i="11"/>
  <c r="O17" i="11"/>
  <c r="O30" i="11"/>
  <c r="K5" i="11"/>
  <c r="D10" i="11"/>
  <c r="D23" i="11"/>
  <c r="DJ5" i="11"/>
  <c r="L17" i="11"/>
  <c r="L30" i="11"/>
  <c r="DD5" i="11"/>
  <c r="F17" i="11"/>
  <c r="F30" i="11"/>
  <c r="DB5" i="11"/>
  <c r="D17" i="11"/>
  <c r="D30" i="11"/>
  <c r="DN5" i="11"/>
  <c r="P17" i="11"/>
  <c r="P30" i="11"/>
  <c r="AB5" i="11"/>
  <c r="K11" i="11"/>
  <c r="K24" i="11"/>
  <c r="BX5" i="11"/>
  <c r="I15" i="11"/>
  <c r="I28" i="11"/>
  <c r="BL5" i="11"/>
  <c r="L14" i="11"/>
  <c r="L27" i="11"/>
  <c r="AG5" i="11"/>
  <c r="F12" i="11"/>
  <c r="F25" i="11"/>
  <c r="AP5" i="11"/>
  <c r="E13" i="11"/>
  <c r="E26" i="11"/>
  <c r="BE5" i="11"/>
  <c r="E14" i="11"/>
  <c r="E27" i="11"/>
  <c r="DR5" i="11"/>
  <c r="T17" i="11"/>
  <c r="T30" i="11"/>
  <c r="AK5" i="11"/>
  <c r="J12" i="11"/>
  <c r="J25" i="11"/>
  <c r="CK5" i="11"/>
  <c r="G16" i="11"/>
  <c r="G29" i="11"/>
  <c r="CW5" i="11"/>
  <c r="S16" i="11"/>
  <c r="S29" i="11"/>
  <c r="BP5" i="11"/>
  <c r="P14" i="11"/>
  <c r="P27" i="11"/>
  <c r="AU5" i="11"/>
  <c r="J13" i="11"/>
  <c r="J26" i="11"/>
  <c r="R5" i="11"/>
  <c r="K10" i="11"/>
  <c r="K23" i="11"/>
  <c r="AY5" i="11"/>
  <c r="N13" i="11"/>
  <c r="N26" i="11"/>
  <c r="BF5" i="11"/>
  <c r="F14" i="11"/>
  <c r="F27" i="11"/>
  <c r="EG5" i="11"/>
  <c r="O18" i="11"/>
  <c r="O31" i="11"/>
  <c r="CL5" i="11"/>
  <c r="H16" i="11"/>
  <c r="H29" i="11"/>
  <c r="AH5" i="11"/>
  <c r="G12" i="11"/>
  <c r="G25" i="11"/>
  <c r="BM5" i="11"/>
  <c r="M14" i="11"/>
  <c r="M27" i="11"/>
  <c r="BO5" i="11"/>
  <c r="O14" i="11"/>
  <c r="O27" i="11"/>
  <c r="EL5" i="11"/>
  <c r="T18" i="11"/>
  <c r="T31" i="11"/>
  <c r="BD5" i="11"/>
  <c r="D14" i="11"/>
  <c r="D27" i="11"/>
  <c r="Z5" i="11"/>
  <c r="I11" i="11"/>
  <c r="I24" i="11"/>
  <c r="AL5" i="11"/>
  <c r="K12" i="11"/>
  <c r="K25" i="11"/>
  <c r="BU5" i="11"/>
  <c r="F15" i="11"/>
  <c r="F28" i="11"/>
  <c r="CM5" i="11"/>
  <c r="I16" i="11"/>
  <c r="I29" i="11"/>
  <c r="CQ5" i="11"/>
  <c r="M16" i="11"/>
  <c r="M29" i="11"/>
  <c r="BW5" i="11"/>
  <c r="H15" i="11"/>
  <c r="H28" i="11"/>
  <c r="CA5" i="11"/>
  <c r="L15" i="11"/>
  <c r="L28" i="11"/>
  <c r="D31" i="11"/>
  <c r="AD5" i="11"/>
  <c r="C12" i="11"/>
  <c r="DK5" i="11"/>
  <c r="M17" i="11"/>
  <c r="M30" i="11"/>
  <c r="AX5" i="11"/>
  <c r="M13" i="11"/>
  <c r="M26" i="11"/>
  <c r="DY5" i="11"/>
  <c r="G18" i="11"/>
  <c r="G31" i="11"/>
  <c r="G5" i="11"/>
  <c r="H9" i="11"/>
  <c r="H22" i="11"/>
  <c r="BH5" i="11"/>
  <c r="H14" i="11"/>
  <c r="H27" i="11"/>
  <c r="CX5" i="11"/>
  <c r="T16" i="11"/>
  <c r="T29" i="11"/>
  <c r="L5" i="11"/>
  <c r="E10" i="11"/>
  <c r="BS5" i="11"/>
  <c r="D15" i="11"/>
  <c r="D28" i="11"/>
  <c r="CF5" i="11"/>
  <c r="Q15" i="11"/>
  <c r="Q28" i="11"/>
  <c r="E5" i="11"/>
  <c r="F9" i="11"/>
  <c r="F22" i="11"/>
  <c r="AE5" i="11"/>
  <c r="D12" i="11"/>
  <c r="D25" i="11"/>
  <c r="CU5" i="11"/>
  <c r="Q16" i="11"/>
  <c r="Q29" i="11"/>
  <c r="AI5" i="11"/>
  <c r="H12" i="11"/>
  <c r="H25" i="11"/>
  <c r="DH5" i="11"/>
  <c r="J17" i="11"/>
  <c r="J30" i="11"/>
  <c r="U5" i="11"/>
  <c r="D11" i="11"/>
  <c r="D24" i="11"/>
  <c r="CV5" i="11"/>
  <c r="R16" i="11"/>
  <c r="R29" i="11"/>
  <c r="X5" i="11"/>
  <c r="G11" i="11"/>
  <c r="G24" i="11"/>
  <c r="EE5" i="11"/>
  <c r="M18" i="11"/>
  <c r="M31" i="11"/>
  <c r="S5" i="11"/>
  <c r="L10" i="11"/>
  <c r="L23" i="11"/>
  <c r="N5" i="11"/>
  <c r="G10" i="11"/>
  <c r="G23" i="11"/>
  <c r="T5" i="11"/>
  <c r="C11" i="11"/>
  <c r="DT5" i="11"/>
  <c r="V17" i="11"/>
  <c r="V30" i="11"/>
  <c r="EK5" i="11"/>
  <c r="S18" i="11"/>
  <c r="S31" i="11"/>
  <c r="M5" i="11"/>
  <c r="F10" i="11"/>
  <c r="F23" i="11"/>
  <c r="F5" i="11"/>
  <c r="G9" i="11"/>
  <c r="G22" i="11"/>
  <c r="EM5" i="11"/>
  <c r="U18" i="11"/>
  <c r="U31" i="11"/>
  <c r="V5" i="11"/>
  <c r="E11" i="11"/>
  <c r="E24" i="11"/>
  <c r="BC5" i="11"/>
  <c r="C14" i="11"/>
  <c r="BK5" i="11"/>
  <c r="K14" i="11"/>
  <c r="K27" i="11"/>
  <c r="CN5" i="11"/>
  <c r="J16" i="11"/>
  <c r="J29" i="11"/>
  <c r="C13" i="32"/>
  <c r="C18" i="32"/>
  <c r="C17" i="32"/>
  <c r="C16" i="32"/>
  <c r="C15" i="32"/>
  <c r="C12" i="32"/>
  <c r="C14" i="32"/>
  <c r="DX5" i="11"/>
  <c r="F18" i="11"/>
  <c r="F31" i="11"/>
  <c r="CI5" i="11"/>
  <c r="E16" i="11"/>
  <c r="E29" i="11"/>
  <c r="CT5" i="11"/>
  <c r="P16" i="11"/>
  <c r="P29" i="11"/>
  <c r="EH5" i="11"/>
  <c r="P18" i="11"/>
  <c r="P31" i="11"/>
  <c r="DC5" i="11"/>
  <c r="E17" i="11"/>
  <c r="E30" i="11"/>
  <c r="DA5" i="11"/>
  <c r="C17" i="11"/>
  <c r="C30" i="11"/>
  <c r="DU5" i="11"/>
  <c r="C18" i="11"/>
  <c r="C31" i="11"/>
  <c r="BB5" i="11"/>
  <c r="Q13" i="11"/>
  <c r="Q26" i="11"/>
  <c r="BR5" i="11"/>
  <c r="C15" i="11"/>
  <c r="C28" i="11"/>
  <c r="Y5" i="11"/>
  <c r="H11" i="11"/>
  <c r="H24" i="11"/>
  <c r="E23" i="11"/>
  <c r="C25" i="11"/>
  <c r="C27" i="11"/>
  <c r="C24" i="11"/>
  <c r="D30" i="68"/>
  <c r="C53" i="68" s="1"/>
  <c r="D18" i="68"/>
  <c r="C41" i="68" s="1"/>
  <c r="D28" i="68"/>
  <c r="C51" i="68" s="1"/>
  <c r="D24" i="68"/>
  <c r="C47" i="68" s="1"/>
  <c r="D21" i="68"/>
  <c r="C44" i="68" s="1"/>
  <c r="D15" i="68"/>
  <c r="C38" i="68"/>
  <c r="D27" i="68"/>
  <c r="C50" i="68" s="1"/>
  <c r="D22" i="68"/>
  <c r="C45" i="68" s="1"/>
  <c r="D23" i="68"/>
  <c r="C46" i="68" s="1"/>
  <c r="D12" i="68"/>
  <c r="C35" i="68" s="1"/>
  <c r="D11" i="68"/>
  <c r="C34" i="68" s="1"/>
  <c r="D17" i="68"/>
  <c r="C40" i="68" s="1"/>
  <c r="D29" i="68"/>
  <c r="C52" i="68" s="1"/>
  <c r="D19" i="68"/>
  <c r="C42" i="68"/>
  <c r="D14" i="68"/>
  <c r="C37" i="68"/>
  <c r="D25" i="68"/>
  <c r="C48" i="68" s="1"/>
  <c r="D16" i="68"/>
  <c r="C39" i="68" s="1"/>
  <c r="D26" i="68"/>
  <c r="C49" i="68" s="1"/>
  <c r="D20" i="68"/>
  <c r="C43" i="68" s="1"/>
  <c r="J14" i="68"/>
  <c r="I37" i="68" s="1"/>
  <c r="J30" i="68"/>
  <c r="I53" i="68" s="1"/>
  <c r="J21" i="68"/>
  <c r="I44" i="68" s="1"/>
  <c r="J22" i="68"/>
  <c r="I45" i="68" s="1"/>
  <c r="J11" i="68"/>
  <c r="I34" i="68" s="1"/>
  <c r="J24" i="68"/>
  <c r="I47" i="68" s="1"/>
  <c r="J26" i="68"/>
  <c r="I49" i="68"/>
  <c r="J29" i="68"/>
  <c r="I52" i="68" s="1"/>
  <c r="J27" i="68"/>
  <c r="I50" i="68" s="1"/>
  <c r="J23" i="68"/>
  <c r="I46" i="68" s="1"/>
  <c r="J15" i="68"/>
  <c r="I38" i="68" s="1"/>
  <c r="J12" i="68"/>
  <c r="I35" i="68" s="1"/>
  <c r="J13" i="68"/>
  <c r="I36" i="68" s="1"/>
  <c r="J16" i="68"/>
  <c r="I39" i="68" s="1"/>
  <c r="J20" i="68"/>
  <c r="I43" i="68" s="1"/>
  <c r="J19" i="68"/>
  <c r="I42" i="68" s="1"/>
  <c r="J25" i="68"/>
  <c r="I48" i="68" s="1"/>
  <c r="J18" i="68"/>
  <c r="I41" i="68" s="1"/>
  <c r="J28" i="68"/>
  <c r="I51" i="68" s="1"/>
  <c r="G20" i="68"/>
  <c r="F43" i="68" s="1"/>
  <c r="G23" i="68"/>
  <c r="F46" i="68" s="1"/>
  <c r="G24" i="68"/>
  <c r="F47" i="68" s="1"/>
  <c r="G16" i="68"/>
  <c r="F39" i="68" s="1"/>
  <c r="G22" i="68"/>
  <c r="F45" i="68" s="1"/>
  <c r="G12" i="68"/>
  <c r="F35" i="68" s="1"/>
  <c r="G29" i="68"/>
  <c r="F52" i="68" s="1"/>
  <c r="G14" i="68"/>
  <c r="F37" i="68"/>
  <c r="G11" i="68"/>
  <c r="F34" i="68" s="1"/>
  <c r="G19" i="68"/>
  <c r="F42" i="68" s="1"/>
  <c r="G21" i="68"/>
  <c r="F44" i="68" s="1"/>
  <c r="F38" i="68"/>
  <c r="G25" i="68"/>
  <c r="F48" i="68" s="1"/>
  <c r="G27" i="68"/>
  <c r="F50" i="68" s="1"/>
  <c r="G28" i="68"/>
  <c r="F51" i="68" s="1"/>
  <c r="G17" i="68"/>
  <c r="F40" i="68" s="1"/>
  <c r="G30" i="68"/>
  <c r="F53" i="68" s="1"/>
  <c r="G18" i="68"/>
  <c r="F41" i="68" s="1"/>
  <c r="G13" i="68"/>
  <c r="F36" i="68" s="1"/>
  <c r="G26" i="68"/>
  <c r="F49" i="68" s="1"/>
  <c r="H24" i="68"/>
  <c r="G47" i="68" s="1"/>
  <c r="H22" i="68"/>
  <c r="G45" i="68" s="1"/>
  <c r="H21" i="68"/>
  <c r="G44" i="68" s="1"/>
  <c r="H13" i="68"/>
  <c r="G36" i="68" s="1"/>
  <c r="H29" i="68"/>
  <c r="G52" i="68" s="1"/>
  <c r="H28" i="68"/>
  <c r="G51" i="68"/>
  <c r="G38" i="68"/>
  <c r="H19" i="68"/>
  <c r="G42" i="68" s="1"/>
  <c r="H17" i="68"/>
  <c r="G40" i="68" s="1"/>
  <c r="H14" i="68"/>
  <c r="G37" i="68" s="1"/>
  <c r="H18" i="68"/>
  <c r="G41" i="68" s="1"/>
  <c r="H11" i="68"/>
  <c r="G34" i="68" s="1"/>
  <c r="H20" i="68"/>
  <c r="G43" i="68" s="1"/>
  <c r="H25" i="68"/>
  <c r="G48" i="68" s="1"/>
  <c r="H27" i="68"/>
  <c r="G50" i="68" s="1"/>
  <c r="H23" i="68"/>
  <c r="G46" i="68" s="1"/>
  <c r="H26" i="68"/>
  <c r="G49" i="68" s="1"/>
  <c r="H30" i="68"/>
  <c r="G53" i="68"/>
  <c r="H12" i="68"/>
  <c r="G35" i="68" s="1"/>
  <c r="K13" i="68"/>
  <c r="J36" i="68" s="1"/>
  <c r="K24" i="68"/>
  <c r="J47" i="68" s="1"/>
  <c r="K14" i="68"/>
  <c r="J37" i="68" s="1"/>
  <c r="K12" i="68"/>
  <c r="J35" i="68" s="1"/>
  <c r="K28" i="68"/>
  <c r="J51" i="68" s="1"/>
  <c r="K30" i="68"/>
  <c r="J53" i="68" s="1"/>
  <c r="K22" i="68"/>
  <c r="J45" i="68" s="1"/>
  <c r="K20" i="68"/>
  <c r="J43" i="68" s="1"/>
  <c r="K23" i="68"/>
  <c r="J46" i="68" s="1"/>
  <c r="K25" i="68"/>
  <c r="J48" i="68" s="1"/>
  <c r="K21" i="68"/>
  <c r="J44" i="68" s="1"/>
  <c r="K15" i="68"/>
  <c r="J38" i="68" s="1"/>
  <c r="K16" i="68"/>
  <c r="J39" i="68" s="1"/>
  <c r="K19" i="68"/>
  <c r="J42" i="68" s="1"/>
  <c r="K11" i="68"/>
  <c r="J34" i="68" s="1"/>
  <c r="K29" i="68"/>
  <c r="J52" i="68" s="1"/>
  <c r="K27" i="68"/>
  <c r="J50" i="68" s="1"/>
  <c r="K26" i="68"/>
  <c r="J49" i="68" s="1"/>
  <c r="E15" i="68"/>
  <c r="D38" i="68" s="1"/>
  <c r="E25" i="68"/>
  <c r="D48" i="68" s="1"/>
  <c r="E16" i="68"/>
  <c r="D39" i="68" s="1"/>
  <c r="E26" i="68"/>
  <c r="D49" i="68" s="1"/>
  <c r="D37" i="68"/>
  <c r="E27" i="68"/>
  <c r="D50" i="68" s="1"/>
  <c r="E23" i="68"/>
  <c r="D46" i="68" s="1"/>
  <c r="E21" i="68"/>
  <c r="D44" i="68" s="1"/>
  <c r="E29" i="68"/>
  <c r="D52" i="68" s="1"/>
  <c r="E28" i="68"/>
  <c r="D51" i="68" s="1"/>
  <c r="E19" i="68"/>
  <c r="D42" i="68" s="1"/>
  <c r="E12" i="68"/>
  <c r="D35" i="68" s="1"/>
  <c r="E24" i="68"/>
  <c r="D47" i="68" s="1"/>
  <c r="E30" i="68"/>
  <c r="D53" i="68" s="1"/>
  <c r="E11" i="68"/>
  <c r="D34" i="68" s="1"/>
  <c r="E22" i="68"/>
  <c r="D45" i="68" s="1"/>
  <c r="E18" i="68"/>
  <c r="D41" i="68" s="1"/>
  <c r="E17" i="68"/>
  <c r="D40" i="68" s="1"/>
  <c r="E20" i="68"/>
  <c r="D43" i="68" s="1"/>
  <c r="C16" i="13" l="1"/>
  <c r="L17" i="68" s="1"/>
  <c r="K40" i="68" s="1"/>
  <c r="C11" i="13"/>
  <c r="E15" i="32" s="1"/>
  <c r="C12" i="13"/>
  <c r="E16" i="32" s="1"/>
  <c r="C17" i="13"/>
  <c r="E21" i="32" s="1"/>
  <c r="C18" i="13"/>
  <c r="E22" i="32" s="1"/>
  <c r="C7" i="13"/>
  <c r="C14" i="13"/>
  <c r="E18" i="32" s="1"/>
  <c r="C8" i="13"/>
  <c r="E12" i="32" s="1"/>
  <c r="C13" i="13"/>
  <c r="I22" i="68" s="1"/>
  <c r="H45" i="68" s="1"/>
  <c r="C9" i="13"/>
  <c r="E13" i="32" s="1"/>
  <c r="C15" i="13"/>
  <c r="E19" i="32" s="1"/>
  <c r="C10" i="13"/>
  <c r="F23" i="68" s="1"/>
  <c r="E46" i="68" s="1"/>
  <c r="D44" i="32" a="1"/>
  <c r="D32" i="32" a="1"/>
  <c r="D38" i="32" a="1"/>
  <c r="D38" i="32" s="1"/>
  <c r="D48" i="32" a="1"/>
  <c r="E48" i="32" s="1"/>
  <c r="D36" i="32" a="1"/>
  <c r="E36" i="32" s="1"/>
  <c r="D36" i="32"/>
  <c r="D34" i="32" a="1"/>
  <c r="E34" i="32" s="1"/>
  <c r="D42" i="32" a="1"/>
  <c r="D42" i="32" s="1"/>
  <c r="F34" i="65"/>
  <c r="F35" i="65" s="1"/>
  <c r="I20" i="68"/>
  <c r="H43" i="68" s="1"/>
  <c r="I27" i="68"/>
  <c r="H50" i="68" s="1"/>
  <c r="I24" i="68"/>
  <c r="H47" i="68" s="1"/>
  <c r="L27" i="68"/>
  <c r="K50" i="68" s="1"/>
  <c r="C14" i="68"/>
  <c r="B37" i="68" s="1"/>
  <c r="L29" i="68"/>
  <c r="K52" i="68" s="1"/>
  <c r="L15" i="68"/>
  <c r="K38" i="68" s="1"/>
  <c r="I16" i="68"/>
  <c r="H39" i="68" s="1"/>
  <c r="I13" i="68"/>
  <c r="H36" i="68" s="1"/>
  <c r="E11" i="32"/>
  <c r="C11" i="68"/>
  <c r="B34" i="68" s="1"/>
  <c r="C16" i="68"/>
  <c r="B39" i="68" s="1"/>
  <c r="L26" i="68"/>
  <c r="K49" i="68" s="1"/>
  <c r="L24" i="68"/>
  <c r="K47" i="68" s="1"/>
  <c r="L21" i="68"/>
  <c r="K44" i="68" s="1"/>
  <c r="C22" i="68"/>
  <c r="B45" i="68" s="1"/>
  <c r="C27" i="68"/>
  <c r="B50" i="68" s="1"/>
  <c r="C26" i="68"/>
  <c r="B49" i="68" s="1"/>
  <c r="C29" i="68"/>
  <c r="B52" i="68" s="1"/>
  <c r="C17" i="68"/>
  <c r="B40" i="68" s="1"/>
  <c r="F25" i="68"/>
  <c r="E48" i="68" s="1"/>
  <c r="C21" i="68"/>
  <c r="B44" i="68" s="1"/>
  <c r="L13" i="68"/>
  <c r="K36" i="68" s="1"/>
  <c r="L22" i="68"/>
  <c r="K45" i="68" s="1"/>
  <c r="C20" i="68"/>
  <c r="B43" i="68" s="1"/>
  <c r="L20" i="68"/>
  <c r="K43" i="68" s="1"/>
  <c r="C18" i="68"/>
  <c r="B41" i="68" s="1"/>
  <c r="C25" i="68"/>
  <c r="B48" i="68" s="1"/>
  <c r="C23" i="68"/>
  <c r="B46" i="68" s="1"/>
  <c r="C15" i="68"/>
  <c r="B38" i="68" s="1"/>
  <c r="L25" i="68"/>
  <c r="K48" i="68" s="1"/>
  <c r="L19" i="68"/>
  <c r="K42" i="68" s="1"/>
  <c r="L16" i="68"/>
  <c r="K39" i="68" s="1"/>
  <c r="L18" i="68"/>
  <c r="K41" i="68" s="1"/>
  <c r="L28" i="68"/>
  <c r="K51" i="68" s="1"/>
  <c r="L14" i="68"/>
  <c r="K37" i="68" s="1"/>
  <c r="L30" i="68"/>
  <c r="K53" i="68" s="1"/>
  <c r="F26" i="65"/>
  <c r="F28" i="65"/>
  <c r="F29" i="65" s="1"/>
  <c r="F37" i="65"/>
  <c r="F38" i="65" s="1"/>
  <c r="F39" i="65" s="1"/>
  <c r="F45" i="65"/>
  <c r="F46" i="65" s="1"/>
  <c r="F47" i="65" s="1"/>
  <c r="F41" i="65"/>
  <c r="F42" i="65" s="1"/>
  <c r="F43" i="65" s="1"/>
  <c r="F31" i="65"/>
  <c r="F32" i="65" s="1"/>
  <c r="F49" i="65"/>
  <c r="F50" i="65" s="1"/>
  <c r="F51" i="65" s="1"/>
  <c r="F24" i="65"/>
  <c r="D46" i="32" a="1"/>
  <c r="E46" i="32" s="1"/>
  <c r="D40" i="32"/>
  <c r="E40" i="32"/>
  <c r="G38" i="32"/>
  <c r="E44" i="32"/>
  <c r="D44" i="32"/>
  <c r="D32" i="32"/>
  <c r="E32" i="32"/>
  <c r="G30" i="32"/>
  <c r="C56" i="32" s="1"/>
  <c r="E38" i="32"/>
  <c r="M38" i="32" s="1"/>
  <c r="F30" i="32"/>
  <c r="B56" i="32" s="1"/>
  <c r="L30" i="32"/>
  <c r="H30" i="32"/>
  <c r="I30" i="32"/>
  <c r="J30" i="32"/>
  <c r="G8" i="65"/>
  <c r="H8" i="65" s="1"/>
  <c r="G11" i="65"/>
  <c r="C33" i="65" s="1"/>
  <c r="D33" i="65" s="1"/>
  <c r="G14" i="65"/>
  <c r="H14" i="65" s="1"/>
  <c r="G6" i="65"/>
  <c r="H6" i="65" s="1"/>
  <c r="G10" i="65"/>
  <c r="D29" i="65"/>
  <c r="D32" i="65"/>
  <c r="D26" i="65"/>
  <c r="D51" i="65"/>
  <c r="C23" i="65"/>
  <c r="D23" i="65" s="1"/>
  <c r="C40" i="65"/>
  <c r="D40" i="65" s="1"/>
  <c r="B32" i="9"/>
  <c r="D29" i="64"/>
  <c r="F30" i="64" s="1"/>
  <c r="F29" i="64"/>
  <c r="A42" i="64"/>
  <c r="D31" i="64"/>
  <c r="E31" i="64" s="1"/>
  <c r="D40" i="15"/>
  <c r="D41" i="15"/>
  <c r="D43" i="15"/>
  <c r="D44" i="15"/>
  <c r="D45" i="15"/>
  <c r="D42" i="15"/>
  <c r="B26" i="9"/>
  <c r="F35" i="9"/>
  <c r="B28" i="9"/>
  <c r="B27" i="9"/>
  <c r="F31" i="9"/>
  <c r="F32" i="9"/>
  <c r="F33" i="9"/>
  <c r="F34" i="9"/>
  <c r="C48" i="65"/>
  <c r="D48" i="65" s="1"/>
  <c r="H15" i="65"/>
  <c r="C24" i="65"/>
  <c r="D24" i="65" s="1"/>
  <c r="G12" i="65"/>
  <c r="H12" i="65" s="1"/>
  <c r="J9" i="4"/>
  <c r="D9" i="4"/>
  <c r="C43" i="65"/>
  <c r="D43" i="65" s="1"/>
  <c r="G9" i="65"/>
  <c r="L9" i="4"/>
  <c r="C90" i="15"/>
  <c r="C62" i="15"/>
  <c r="D62" i="15" s="1"/>
  <c r="C63" i="15"/>
  <c r="D63" i="15" s="1"/>
  <c r="C61" i="15"/>
  <c r="D61" i="15" s="1"/>
  <c r="C64" i="15"/>
  <c r="D64" i="15" s="1"/>
  <c r="C94" i="15"/>
  <c r="D91" i="15"/>
  <c r="E12" i="4"/>
  <c r="I12" i="4"/>
  <c r="D12" i="4"/>
  <c r="F12" i="4"/>
  <c r="K12" i="4"/>
  <c r="C12" i="4"/>
  <c r="J12" i="4"/>
  <c r="E9" i="29"/>
  <c r="E11" i="29"/>
  <c r="L12" i="4"/>
  <c r="B12" i="4"/>
  <c r="G12" i="4"/>
  <c r="E10" i="29"/>
  <c r="D89" i="15"/>
  <c r="E12" i="29"/>
  <c r="H12" i="4"/>
  <c r="C93" i="15"/>
  <c r="D90" i="15"/>
  <c r="F14" i="68" l="1"/>
  <c r="E37" i="68" s="1"/>
  <c r="F19" i="68"/>
  <c r="E42" i="68" s="1"/>
  <c r="F24" i="68"/>
  <c r="E47" i="68" s="1"/>
  <c r="F13" i="68"/>
  <c r="E36" i="68" s="1"/>
  <c r="I26" i="68"/>
  <c r="H49" i="68" s="1"/>
  <c r="I29" i="68"/>
  <c r="H52" i="68" s="1"/>
  <c r="I25" i="68"/>
  <c r="H48" i="68" s="1"/>
  <c r="I19" i="68"/>
  <c r="H42" i="68" s="1"/>
  <c r="L11" i="68"/>
  <c r="K34" i="68" s="1"/>
  <c r="E17" i="32"/>
  <c r="I15" i="68"/>
  <c r="H38" i="68" s="1"/>
  <c r="C30" i="68"/>
  <c r="B53" i="68" s="1"/>
  <c r="C13" i="68"/>
  <c r="B36" i="68" s="1"/>
  <c r="C24" i="68"/>
  <c r="B47" i="68" s="1"/>
  <c r="C19" i="68"/>
  <c r="B42" i="68" s="1"/>
  <c r="C28" i="68"/>
  <c r="B51" i="68" s="1"/>
  <c r="C12" i="68"/>
  <c r="B35" i="68" s="1"/>
  <c r="I11" i="68"/>
  <c r="H34" i="68" s="1"/>
  <c r="F20" i="68"/>
  <c r="E43" i="68" s="1"/>
  <c r="I17" i="68"/>
  <c r="H40" i="68" s="1"/>
  <c r="E14" i="32"/>
  <c r="F27" i="68"/>
  <c r="E50" i="68" s="1"/>
  <c r="F12" i="68"/>
  <c r="E35" i="68" s="1"/>
  <c r="F26" i="68"/>
  <c r="E49" i="68" s="1"/>
  <c r="F22" i="68"/>
  <c r="E45" i="68" s="1"/>
  <c r="I18" i="68"/>
  <c r="H41" i="68" s="1"/>
  <c r="F30" i="68"/>
  <c r="E53" i="68" s="1"/>
  <c r="F18" i="68"/>
  <c r="E41" i="68" s="1"/>
  <c r="I12" i="68"/>
  <c r="H35" i="68" s="1"/>
  <c r="F17" i="68"/>
  <c r="E40" i="68" s="1"/>
  <c r="F29" i="68"/>
  <c r="E52" i="68" s="1"/>
  <c r="F16" i="68"/>
  <c r="E39" i="68" s="1"/>
  <c r="F15" i="68"/>
  <c r="E38" i="68" s="1"/>
  <c r="I21" i="68"/>
  <c r="H44" i="68" s="1"/>
  <c r="I23" i="68"/>
  <c r="H46" i="68" s="1"/>
  <c r="I14" i="68"/>
  <c r="H37" i="68" s="1"/>
  <c r="F11" i="68"/>
  <c r="E34" i="68" s="1"/>
  <c r="F21" i="68"/>
  <c r="E44" i="68" s="1"/>
  <c r="I28" i="68"/>
  <c r="H51" i="68" s="1"/>
  <c r="F28" i="68"/>
  <c r="E51" i="68" s="1"/>
  <c r="L23" i="68"/>
  <c r="K46" i="68" s="1"/>
  <c r="I30" i="68"/>
  <c r="H53" i="68" s="1"/>
  <c r="E20" i="32"/>
  <c r="L12" i="68"/>
  <c r="K35" i="68" s="1"/>
  <c r="D48" i="32"/>
  <c r="H48" i="32" s="1"/>
  <c r="D34" i="32"/>
  <c r="I36" i="32"/>
  <c r="F36" i="32"/>
  <c r="B59" i="32" s="1"/>
  <c r="G36" i="32"/>
  <c r="C59" i="32" s="1"/>
  <c r="K36" i="32"/>
  <c r="N36" i="32"/>
  <c r="L36" i="32"/>
  <c r="J36" i="32"/>
  <c r="H36" i="32"/>
  <c r="D59" i="32" s="1"/>
  <c r="F48" i="32"/>
  <c r="B65" i="32" s="1"/>
  <c r="D46" i="32"/>
  <c r="V46" i="32" s="1"/>
  <c r="V48" i="32"/>
  <c r="E42" i="32"/>
  <c r="S42" i="32" s="1"/>
  <c r="T48" i="32"/>
  <c r="M36" i="32"/>
  <c r="S48" i="32"/>
  <c r="N48" i="32"/>
  <c r="I48" i="32"/>
  <c r="K48" i="32"/>
  <c r="Q48" i="32"/>
  <c r="M48" i="32"/>
  <c r="L48" i="32"/>
  <c r="E59" i="32"/>
  <c r="U48" i="32"/>
  <c r="R48" i="32"/>
  <c r="P48" i="32"/>
  <c r="W48" i="32"/>
  <c r="O48" i="32"/>
  <c r="J48" i="32"/>
  <c r="X48" i="32"/>
  <c r="G48" i="32"/>
  <c r="H38" i="32"/>
  <c r="F38" i="32"/>
  <c r="B60" i="32" s="1"/>
  <c r="N34" i="32"/>
  <c r="L34" i="32"/>
  <c r="J34" i="32"/>
  <c r="F34" i="32"/>
  <c r="B58" i="32" s="1"/>
  <c r="M34" i="32"/>
  <c r="I34" i="32"/>
  <c r="K34" i="32"/>
  <c r="G34" i="32"/>
  <c r="H34" i="32"/>
  <c r="K38" i="32"/>
  <c r="F56" i="32"/>
  <c r="O38" i="32"/>
  <c r="S38" i="32"/>
  <c r="Q38" i="32"/>
  <c r="D56" i="32"/>
  <c r="P38" i="32"/>
  <c r="R38" i="32"/>
  <c r="E56" i="32"/>
  <c r="G22" i="65" s="1"/>
  <c r="H32" i="32"/>
  <c r="J32" i="32"/>
  <c r="K32" i="32"/>
  <c r="G32" i="32"/>
  <c r="L32" i="32"/>
  <c r="N32" i="32"/>
  <c r="M32" i="32"/>
  <c r="I32" i="32"/>
  <c r="F32" i="32"/>
  <c r="B57" i="32" s="1"/>
  <c r="J38" i="32"/>
  <c r="N38" i="32"/>
  <c r="L38" i="32"/>
  <c r="M44" i="32"/>
  <c r="J44" i="32"/>
  <c r="K44" i="32"/>
  <c r="I44" i="32"/>
  <c r="H44" i="32"/>
  <c r="S44" i="32"/>
  <c r="T44" i="32"/>
  <c r="Q44" i="32"/>
  <c r="O44" i="32"/>
  <c r="R44" i="32"/>
  <c r="V44" i="32"/>
  <c r="N44" i="32"/>
  <c r="F44" i="32"/>
  <c r="B63" i="32" s="1"/>
  <c r="W44" i="32"/>
  <c r="X44" i="32"/>
  <c r="P44" i="32"/>
  <c r="L44" i="32"/>
  <c r="U44" i="32"/>
  <c r="G44" i="32"/>
  <c r="I38" i="32"/>
  <c r="P40" i="32"/>
  <c r="I40" i="32"/>
  <c r="F40" i="32"/>
  <c r="B61" i="32" s="1"/>
  <c r="M40" i="32"/>
  <c r="O40" i="32"/>
  <c r="Q40" i="32"/>
  <c r="G40" i="32"/>
  <c r="N40" i="32"/>
  <c r="K40" i="32"/>
  <c r="L40" i="32"/>
  <c r="R40" i="32"/>
  <c r="S40" i="32"/>
  <c r="J40" i="32"/>
  <c r="H40" i="32"/>
  <c r="H56" i="32"/>
  <c r="G56" i="32"/>
  <c r="C44" i="65"/>
  <c r="C45" i="65" s="1"/>
  <c r="C25" i="65"/>
  <c r="D25" i="65" s="1"/>
  <c r="C22" i="65"/>
  <c r="D22" i="65" s="1"/>
  <c r="H11" i="65"/>
  <c r="C34" i="65" s="1"/>
  <c r="D34" i="65" s="1"/>
  <c r="C36" i="65"/>
  <c r="D36" i="65" s="1"/>
  <c r="H10" i="65"/>
  <c r="C30" i="65"/>
  <c r="C41" i="65"/>
  <c r="D41" i="65" s="1"/>
  <c r="C49" i="65"/>
  <c r="A43" i="64"/>
  <c r="B42" i="64"/>
  <c r="E29" i="64"/>
  <c r="F31" i="64"/>
  <c r="B40" i="64"/>
  <c r="B41" i="64"/>
  <c r="E30" i="64"/>
  <c r="C27" i="65"/>
  <c r="H9" i="65"/>
  <c r="C96" i="15"/>
  <c r="B98" i="15" s="1"/>
  <c r="D92" i="15"/>
  <c r="D93" i="15"/>
  <c r="D94" i="15"/>
  <c r="I46" i="32" l="1"/>
  <c r="P42" i="32"/>
  <c r="S46" i="32"/>
  <c r="N46" i="32"/>
  <c r="H59" i="32"/>
  <c r="O46" i="32"/>
  <c r="K42" i="32"/>
  <c r="T46" i="32"/>
  <c r="K46" i="32"/>
  <c r="F59" i="32"/>
  <c r="E60" i="32"/>
  <c r="G30" i="65" s="1"/>
  <c r="H46" i="32"/>
  <c r="F64" i="32" s="1"/>
  <c r="L46" i="32"/>
  <c r="R46" i="32"/>
  <c r="Q42" i="32"/>
  <c r="O42" i="32"/>
  <c r="C65" i="32"/>
  <c r="M46" i="32"/>
  <c r="G42" i="32"/>
  <c r="C62" i="32" s="1"/>
  <c r="G59" i="32"/>
  <c r="G28" i="65" s="1"/>
  <c r="W46" i="32"/>
  <c r="M42" i="32"/>
  <c r="I42" i="32"/>
  <c r="E62" i="32" s="1"/>
  <c r="P46" i="32"/>
  <c r="N42" i="32"/>
  <c r="I59" i="32"/>
  <c r="F42" i="32"/>
  <c r="B62" i="32" s="1"/>
  <c r="G46" i="32"/>
  <c r="F46" i="32"/>
  <c r="B64" i="32" s="1"/>
  <c r="J59" i="32"/>
  <c r="G29" i="65" s="1"/>
  <c r="Q46" i="32"/>
  <c r="R42" i="32"/>
  <c r="J42" i="32"/>
  <c r="X46" i="32"/>
  <c r="H42" i="32"/>
  <c r="M62" i="32" s="1"/>
  <c r="G39" i="65" s="1"/>
  <c r="U46" i="32"/>
  <c r="L42" i="32"/>
  <c r="J46" i="32"/>
  <c r="S65" i="32"/>
  <c r="K65" i="32"/>
  <c r="F65" i="32"/>
  <c r="I65" i="32"/>
  <c r="G49" i="65" s="1"/>
  <c r="H63" i="32"/>
  <c r="D63" i="32"/>
  <c r="M65" i="32"/>
  <c r="G50" i="65" s="1"/>
  <c r="D65" i="32"/>
  <c r="N65" i="32"/>
  <c r="C61" i="32"/>
  <c r="G60" i="32"/>
  <c r="L65" i="32"/>
  <c r="Q65" i="32"/>
  <c r="G51" i="65" s="1"/>
  <c r="C60" i="32"/>
  <c r="J57" i="32"/>
  <c r="H57" i="32"/>
  <c r="J65" i="32"/>
  <c r="C57" i="32"/>
  <c r="H65" i="32"/>
  <c r="G65" i="32"/>
  <c r="R65" i="32"/>
  <c r="T65" i="32"/>
  <c r="P65" i="32"/>
  <c r="O65" i="32"/>
  <c r="J60" i="32"/>
  <c r="D60" i="32"/>
  <c r="F60" i="32"/>
  <c r="E65" i="32"/>
  <c r="G48" i="65" s="1"/>
  <c r="G27" i="65"/>
  <c r="N60" i="32"/>
  <c r="F58" i="32"/>
  <c r="I61" i="32"/>
  <c r="G34" i="65" s="1"/>
  <c r="G57" i="32"/>
  <c r="G24" i="65" s="1"/>
  <c r="L60" i="32"/>
  <c r="J58" i="32"/>
  <c r="I63" i="32"/>
  <c r="G41" i="65" s="1"/>
  <c r="F57" i="32"/>
  <c r="L63" i="32"/>
  <c r="K61" i="32"/>
  <c r="F61" i="32"/>
  <c r="L61" i="32"/>
  <c r="R63" i="32"/>
  <c r="O61" i="32"/>
  <c r="N63" i="32"/>
  <c r="H60" i="32"/>
  <c r="M60" i="32"/>
  <c r="G32" i="65" s="1"/>
  <c r="D58" i="32"/>
  <c r="G25" i="65" s="1"/>
  <c r="E63" i="32"/>
  <c r="G40" i="65" s="1"/>
  <c r="T63" i="32"/>
  <c r="J63" i="32"/>
  <c r="D57" i="32"/>
  <c r="G23" i="65" s="1"/>
  <c r="N61" i="32"/>
  <c r="C58" i="32"/>
  <c r="H61" i="32"/>
  <c r="M63" i="32"/>
  <c r="G42" i="65" s="1"/>
  <c r="G58" i="32"/>
  <c r="G26" i="65" s="1"/>
  <c r="M61" i="32"/>
  <c r="G35" i="65" s="1"/>
  <c r="H58" i="32"/>
  <c r="S63" i="32"/>
  <c r="D61" i="32"/>
  <c r="K63" i="32"/>
  <c r="I60" i="32"/>
  <c r="G31" i="65" s="1"/>
  <c r="G61" i="32"/>
  <c r="C63" i="32"/>
  <c r="P63" i="32"/>
  <c r="E57" i="32"/>
  <c r="K60" i="32"/>
  <c r="E58" i="32"/>
  <c r="G63" i="32"/>
  <c r="F63" i="32"/>
  <c r="E61" i="32"/>
  <c r="G33" i="65" s="1"/>
  <c r="O60" i="32"/>
  <c r="J61" i="32"/>
  <c r="Q63" i="32"/>
  <c r="G43" i="65" s="1"/>
  <c r="O63" i="32"/>
  <c r="I57" i="32"/>
  <c r="I58" i="32"/>
  <c r="C71" i="32"/>
  <c r="D44" i="65"/>
  <c r="C42" i="65"/>
  <c r="D42" i="65" s="1"/>
  <c r="C37" i="65"/>
  <c r="C38" i="65" s="1"/>
  <c r="D38" i="65" s="1"/>
  <c r="D30" i="65"/>
  <c r="C31" i="65"/>
  <c r="D31" i="65" s="1"/>
  <c r="D49" i="65"/>
  <c r="C50" i="65"/>
  <c r="D50" i="65" s="1"/>
  <c r="B43" i="64"/>
  <c r="A44" i="64"/>
  <c r="D45" i="65"/>
  <c r="C46" i="65"/>
  <c r="D46" i="65" s="1"/>
  <c r="D27" i="65"/>
  <c r="C28" i="65"/>
  <c r="D28" i="65" s="1"/>
  <c r="D96" i="15"/>
  <c r="C74" i="32" l="1"/>
  <c r="S64" i="32"/>
  <c r="K64" i="32"/>
  <c r="G64" i="32"/>
  <c r="O64" i="32"/>
  <c r="I62" i="32"/>
  <c r="F62" i="32"/>
  <c r="M64" i="32"/>
  <c r="G46" i="65" s="1"/>
  <c r="L64" i="32"/>
  <c r="O62" i="32"/>
  <c r="N62" i="32"/>
  <c r="I64" i="32"/>
  <c r="G45" i="65" s="1"/>
  <c r="T64" i="32"/>
  <c r="K62" i="32"/>
  <c r="N64" i="32"/>
  <c r="L62" i="32"/>
  <c r="C64" i="32"/>
  <c r="R64" i="32"/>
  <c r="P64" i="32"/>
  <c r="G62" i="32"/>
  <c r="G37" i="65" s="1"/>
  <c r="Q64" i="32"/>
  <c r="G47" i="65" s="1"/>
  <c r="J64" i="32"/>
  <c r="H64" i="32"/>
  <c r="D62" i="32"/>
  <c r="G36" i="65" s="1"/>
  <c r="E64" i="32"/>
  <c r="G44" i="65" s="1"/>
  <c r="H62" i="32"/>
  <c r="J62" i="32"/>
  <c r="G38" i="65" s="1"/>
  <c r="D64" i="32"/>
  <c r="C80" i="32"/>
  <c r="C72" i="32"/>
  <c r="C73" i="32"/>
  <c r="C76" i="32"/>
  <c r="C78" i="32"/>
  <c r="C75" i="32"/>
  <c r="D37" i="65"/>
  <c r="A45" i="64"/>
  <c r="B44" i="64"/>
  <c r="C77" i="32" l="1"/>
  <c r="C79" i="32"/>
  <c r="A46" i="64"/>
  <c r="B45" i="64"/>
  <c r="C84" i="32" l="1"/>
  <c r="A47" i="64"/>
  <c r="B46" i="64"/>
  <c r="A48" i="64" l="1"/>
  <c r="B47" i="64"/>
  <c r="A49" i="64" l="1"/>
  <c r="B48" i="64"/>
  <c r="B49" i="64" l="1"/>
  <c r="A50" i="64"/>
  <c r="A51" i="64" l="1"/>
  <c r="B50" i="64"/>
  <c r="A52" i="64" l="1"/>
  <c r="B51" i="64"/>
  <c r="A53" i="64" l="1"/>
  <c r="B52" i="64"/>
  <c r="B53" i="64" l="1"/>
  <c r="A54" i="64"/>
  <c r="B54" i="64" l="1"/>
  <c r="A55" i="64"/>
  <c r="B55" i="64" l="1"/>
  <c r="A56" i="64"/>
  <c r="B56" i="64" l="1"/>
  <c r="A57" i="64"/>
  <c r="A58" i="64" l="1"/>
  <c r="B57" i="64"/>
  <c r="A59" i="64" l="1"/>
  <c r="B58" i="64"/>
  <c r="A60" i="64" l="1"/>
  <c r="B59" i="64"/>
  <c r="B60" i="64" l="1"/>
  <c r="A61" i="64"/>
  <c r="B61" i="64" l="1"/>
  <c r="A62" i="64"/>
  <c r="B62" i="64" l="1"/>
  <c r="A63" i="64"/>
  <c r="A64" i="64" l="1"/>
  <c r="B63" i="64"/>
  <c r="A65" i="64" l="1"/>
  <c r="B64" i="64"/>
  <c r="A66" i="64" l="1"/>
  <c r="B65" i="64"/>
  <c r="A67" i="64" l="1"/>
  <c r="B66" i="64"/>
  <c r="B67" i="64" l="1"/>
  <c r="A68" i="64"/>
  <c r="B68" i="64" l="1"/>
  <c r="A69" i="64"/>
  <c r="A70" i="64" l="1"/>
  <c r="B69" i="64"/>
  <c r="A71" i="64" l="1"/>
  <c r="B70" i="64"/>
  <c r="B71" i="64" l="1"/>
  <c r="A72" i="64"/>
  <c r="A73" i="64" l="1"/>
  <c r="B72" i="64"/>
  <c r="B73" i="64" l="1"/>
  <c r="A74" i="64"/>
  <c r="B74" i="64" l="1"/>
  <c r="A75" i="64"/>
  <c r="A76" i="64" l="1"/>
  <c r="B75" i="64"/>
  <c r="A77" i="64" l="1"/>
  <c r="B76" i="64"/>
  <c r="A78" i="64" l="1"/>
  <c r="B77" i="64"/>
  <c r="A79" i="64" l="1"/>
  <c r="B78" i="64"/>
  <c r="B79" i="64" l="1"/>
  <c r="A80" i="64"/>
  <c r="B80" i="64" l="1"/>
  <c r="A81" i="64"/>
  <c r="A82" i="64" l="1"/>
  <c r="B81" i="64"/>
  <c r="A83" i="64" l="1"/>
  <c r="B82" i="64"/>
  <c r="A84" i="64" l="1"/>
  <c r="B83" i="64"/>
  <c r="A85" i="64" l="1"/>
  <c r="B84" i="64"/>
  <c r="B85" i="64" l="1"/>
  <c r="A86" i="64"/>
  <c r="B86" i="64" l="1"/>
  <c r="A87" i="64"/>
  <c r="A88" i="64" l="1"/>
  <c r="B87" i="64"/>
  <c r="A89" i="64" l="1"/>
  <c r="B88" i="64"/>
  <c r="A90" i="64" l="1"/>
  <c r="B89" i="64"/>
  <c r="A91" i="64" l="1"/>
  <c r="B90" i="64"/>
  <c r="B91" i="64" l="1"/>
  <c r="A92" i="64"/>
  <c r="B92" i="64" l="1"/>
  <c r="A93" i="64"/>
  <c r="A94" i="64" l="1"/>
  <c r="B93" i="64"/>
  <c r="A95" i="64" l="1"/>
  <c r="B94" i="64"/>
  <c r="B95" i="64" l="1"/>
  <c r="A96" i="64"/>
  <c r="A97" i="64" l="1"/>
  <c r="B96" i="64"/>
  <c r="B97" i="64" l="1"/>
  <c r="A98" i="64"/>
  <c r="B98" i="64" l="1"/>
  <c r="A99" i="64"/>
  <c r="A100" i="64" l="1"/>
  <c r="B99" i="64"/>
  <c r="A101" i="64" l="1"/>
  <c r="B100" i="64"/>
  <c r="A102" i="64" l="1"/>
  <c r="B101" i="64"/>
  <c r="A103" i="64" l="1"/>
  <c r="B102" i="64"/>
  <c r="B103" i="64" l="1"/>
  <c r="A104" i="64"/>
  <c r="B104" i="64" l="1"/>
  <c r="A105" i="64"/>
  <c r="A106" i="64" l="1"/>
  <c r="B105" i="64"/>
  <c r="A107" i="64" l="1"/>
  <c r="B106" i="64"/>
  <c r="A108" i="64" l="1"/>
  <c r="B107" i="64"/>
  <c r="A109" i="64" l="1"/>
  <c r="B108" i="64"/>
  <c r="B109" i="64" l="1"/>
  <c r="A110" i="64"/>
  <c r="B110" i="64" l="1"/>
  <c r="A111" i="64"/>
  <c r="A112" i="64" l="1"/>
  <c r="B111" i="64"/>
  <c r="A113" i="64" l="1"/>
  <c r="B112" i="64"/>
  <c r="B113" i="64" l="1"/>
  <c r="A114" i="64"/>
  <c r="A115" i="64" l="1"/>
  <c r="B114" i="64"/>
  <c r="B115" i="64" l="1"/>
  <c r="A116" i="64"/>
  <c r="B116" i="64" l="1"/>
  <c r="A117" i="64"/>
  <c r="A118" i="64" l="1"/>
  <c r="B117" i="64"/>
  <c r="A119" i="64" l="1"/>
  <c r="B118" i="64"/>
  <c r="A120" i="64" l="1"/>
  <c r="B119" i="64"/>
  <c r="A121" i="64" l="1"/>
  <c r="B120" i="64"/>
  <c r="B121" i="64" l="1"/>
  <c r="A122" i="64"/>
  <c r="B122" i="64" l="1"/>
  <c r="A123" i="64"/>
  <c r="A124" i="64" l="1"/>
  <c r="B123" i="64"/>
  <c r="A125" i="64" l="1"/>
  <c r="B124" i="64"/>
  <c r="B125" i="64" l="1"/>
  <c r="A37" i="64"/>
  <c r="B35" i="64" l="1" a="1"/>
  <c r="D35" i="64" a="1"/>
  <c r="D35" i="64" l="1"/>
  <c r="E35" i="64"/>
  <c r="C35" i="64"/>
  <c r="B35" i="64"/>
  <c r="D68" i="64" l="1"/>
  <c r="D66" i="64"/>
  <c r="D125" i="64"/>
  <c r="D102" i="64"/>
  <c r="D104" i="64"/>
  <c r="D56" i="64"/>
  <c r="D109" i="64"/>
  <c r="D81" i="64"/>
  <c r="D91" i="64"/>
  <c r="D72" i="64"/>
  <c r="D51" i="64"/>
  <c r="D55" i="64"/>
  <c r="D113" i="64"/>
  <c r="D76" i="64"/>
  <c r="D121" i="64"/>
  <c r="D115" i="64"/>
  <c r="D90" i="64"/>
  <c r="D110" i="64"/>
  <c r="D116" i="64"/>
  <c r="D71" i="64"/>
  <c r="D73" i="64"/>
  <c r="D74" i="64"/>
  <c r="D54" i="64"/>
  <c r="D62" i="64"/>
  <c r="D88" i="64"/>
  <c r="D98" i="64"/>
  <c r="D92" i="64"/>
  <c r="D111" i="64"/>
  <c r="D114" i="64"/>
  <c r="D103" i="64"/>
  <c r="D46" i="64"/>
  <c r="D89" i="64"/>
  <c r="D123" i="64"/>
  <c r="D105" i="64"/>
  <c r="D42" i="64"/>
  <c r="D101" i="64"/>
  <c r="D117" i="64"/>
  <c r="D95" i="64"/>
  <c r="D59" i="64"/>
  <c r="D93" i="64"/>
  <c r="D79" i="64"/>
  <c r="D100" i="64"/>
  <c r="D84" i="64"/>
  <c r="D124" i="64"/>
  <c r="D108" i="64"/>
  <c r="D40" i="64"/>
  <c r="D67" i="64"/>
  <c r="D63" i="64"/>
  <c r="D77" i="64"/>
  <c r="D50" i="64"/>
  <c r="D58" i="64"/>
  <c r="D99" i="64"/>
  <c r="D41" i="64"/>
  <c r="D82" i="64"/>
  <c r="D120" i="64"/>
  <c r="D47" i="64"/>
  <c r="D83" i="64"/>
  <c r="D45" i="64"/>
  <c r="D86" i="64"/>
  <c r="D112" i="64"/>
  <c r="D107" i="64"/>
  <c r="D96" i="64"/>
  <c r="D48" i="64"/>
  <c r="D122" i="64"/>
  <c r="D119" i="64"/>
  <c r="D69" i="64"/>
  <c r="D78" i="64"/>
  <c r="D52" i="64"/>
  <c r="D64" i="64"/>
  <c r="D85" i="64"/>
  <c r="D97" i="64"/>
  <c r="D118" i="64"/>
  <c r="D94" i="64"/>
  <c r="D87" i="64"/>
  <c r="D61" i="64"/>
  <c r="D57" i="64"/>
  <c r="D53" i="64"/>
  <c r="D80" i="64"/>
  <c r="D70" i="64"/>
  <c r="D106" i="64"/>
  <c r="D44" i="64"/>
  <c r="D43" i="64"/>
  <c r="D49" i="64"/>
  <c r="D60" i="64"/>
  <c r="D75" i="64"/>
  <c r="D65" i="64"/>
  <c r="E56" i="64"/>
  <c r="E118" i="64"/>
  <c r="E107" i="64"/>
  <c r="E104" i="64"/>
  <c r="E83" i="64"/>
  <c r="E73" i="64"/>
  <c r="E105" i="64"/>
  <c r="E74" i="64"/>
  <c r="E81" i="64"/>
  <c r="E41" i="64"/>
  <c r="E57" i="64"/>
  <c r="E121" i="64"/>
  <c r="E64" i="64"/>
  <c r="E67" i="64"/>
  <c r="E72" i="64"/>
  <c r="E42" i="64"/>
  <c r="E114" i="64"/>
  <c r="E84" i="64"/>
  <c r="E106" i="64"/>
  <c r="E50" i="64"/>
  <c r="E111" i="64"/>
  <c r="E88" i="64"/>
  <c r="E55" i="64"/>
  <c r="E101" i="64"/>
  <c r="E70" i="64"/>
  <c r="E110" i="64"/>
  <c r="E102" i="64"/>
  <c r="E62" i="64"/>
  <c r="E40" i="64"/>
  <c r="E115" i="64"/>
  <c r="E78" i="64"/>
  <c r="E108" i="64"/>
  <c r="E79" i="64"/>
  <c r="E53" i="64"/>
  <c r="E76" i="64"/>
  <c r="E65" i="64"/>
  <c r="E61" i="64"/>
  <c r="E90" i="64"/>
  <c r="E117" i="64"/>
  <c r="E98" i="64"/>
  <c r="E99" i="64"/>
  <c r="E89" i="64"/>
  <c r="E43" i="64"/>
  <c r="E94" i="64"/>
  <c r="E58" i="64"/>
  <c r="E80" i="64"/>
  <c r="E59" i="64"/>
  <c r="E85" i="64"/>
  <c r="E87" i="64"/>
  <c r="E109" i="64"/>
  <c r="E124" i="64"/>
  <c r="E69" i="64"/>
  <c r="E82" i="64"/>
  <c r="E112" i="64"/>
  <c r="E68" i="64"/>
  <c r="E120" i="64"/>
  <c r="E116" i="64"/>
  <c r="E113" i="64"/>
  <c r="E103" i="64"/>
  <c r="E119" i="64"/>
  <c r="E91" i="64"/>
  <c r="E54" i="64"/>
  <c r="E51" i="64"/>
  <c r="E48" i="64"/>
  <c r="E66" i="64"/>
  <c r="E95" i="64"/>
  <c r="E92" i="64"/>
  <c r="E93" i="64"/>
  <c r="E100" i="64"/>
  <c r="E123" i="64"/>
  <c r="E75" i="64"/>
  <c r="E60" i="64"/>
  <c r="E46" i="64"/>
  <c r="E97" i="64"/>
  <c r="E86" i="64"/>
  <c r="E63" i="64"/>
  <c r="E77" i="64"/>
  <c r="E52" i="64"/>
  <c r="E45" i="64"/>
  <c r="E71" i="64"/>
  <c r="E125" i="64"/>
  <c r="E44" i="64"/>
  <c r="E96" i="64"/>
  <c r="E47" i="64"/>
  <c r="E49" i="64"/>
  <c r="E122" i="64"/>
  <c r="C25" i="64" l="1"/>
  <c r="C23" i="64"/>
  <c r="C24" i="64"/>
  <c r="D24" i="64"/>
  <c r="D25" i="64"/>
  <c r="D23" i="64"/>
</calcChain>
</file>

<file path=xl/connections.xml><?xml version="1.0" encoding="utf-8"?>
<connections xmlns="http://schemas.openxmlformats.org/spreadsheetml/2006/main">
  <connection id="1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AVGHoursGameplay" type="102" refreshedVersion="6" minRefreshableVersion="5">
    <extLst>
      <ext xmlns:x15="http://schemas.microsoft.com/office/spreadsheetml/2010/11/main" uri="{DE250136-89BD-433C-8126-D09CA5730AF9}">
        <x15:connection id="AVGHoursGameplay" autoDelete="1" usedByAddin="1">
          <x15:rangePr sourceName="_xlcn.WorksheetConnection_AVGHoursGameplay1"/>
        </x15:connection>
      </ext>
    </extLst>
  </connection>
  <connection id="3" name="WorksheetConnection_Database" type="102" refreshedVersion="6" minRefreshableVersion="5">
    <extLst>
      <ext xmlns:x15="http://schemas.microsoft.com/office/spreadsheetml/2010/11/main" uri="{DE250136-89BD-433C-8126-D09CA5730AF9}">
        <x15:connection id="Database-ec9109f5-9d7e-4cae-863d-f777441dd1a1" usedByAddin="1">
          <x15:rangePr sourceName="_xlcn.WorksheetConnection_Database1"/>
        </x15:connection>
      </ext>
    </extLst>
  </connection>
  <connection id="4" name="WorksheetConnection_FGOLDatas" type="102" refreshedVersion="6" minRefreshableVersion="5">
    <extLst>
      <ext xmlns:x15="http://schemas.microsoft.com/office/spreadsheetml/2010/11/main" uri="{DE250136-89BD-433C-8126-D09CA5730AF9}">
        <x15:connection id="FGOLDatas" autoDelete="1" usedByAddin="1">
          <x15:rangePr sourceName="_xlcn.WorksheetConnection_FGOLDatas1"/>
        </x15:connection>
      </ext>
    </extLst>
  </connection>
  <connection id="5" name="WorksheetConnection_hoursGameplay" type="102" refreshedVersion="6" minRefreshableVersion="5">
    <extLst>
      <ext xmlns:x15="http://schemas.microsoft.com/office/spreadsheetml/2010/11/main" uri="{DE250136-89BD-433C-8126-D09CA5730AF9}">
        <x15:connection id="hoursGameplay" usedByAddin="1">
          <x15:rangePr sourceName="_xlcn.WorksheetConnection_hoursGameplay1"/>
        </x15:connection>
      </ext>
    </extLst>
  </connection>
  <connection id="6" name="WorksheetConnection_Hungry Dragons - preProdSpreadsheet 1.4 - Direct Purchase .xlsm!Table50" type="102" refreshedVersion="5" minRefreshableVersion="5">
    <extLst>
      <ext xmlns:x15="http://schemas.microsoft.com/office/spreadsheetml/2010/11/main" uri="{DE250136-89BD-433C-8126-D09CA5730AF9}">
        <x15:connection id="Table50-8388b9f9-7355-4cf3-999c-55abe31f06ae">
          <x15:rangePr sourceName="_xlcn.WorksheetConnection_HungryDragonspreProdSpreadsheet1.4DirectPurchase.xlsmTable501"/>
        </x15:connection>
      </ext>
    </extLst>
  </connection>
  <connection id="7" name="WorksheetConnection_Hungry Dragons - preProdSpreadsheet 2.7 - Gacha .xlsm!Table73" type="102" refreshedVersion="6" minRefreshableVersion="5">
    <extLst>
      <ext xmlns:x15="http://schemas.microsoft.com/office/spreadsheetml/2010/11/main" uri="{DE250136-89BD-433C-8126-D09CA5730AF9}">
        <x15:connection id="Table73-e4b9d051-026f-4e85-9386-51852f9a8f0a" autoDelete="1">
          <x15:rangePr sourceName="_xlcn.WorksheetConnection_HungryDragonspreProdSpreadsheet2.7Gacha.xlsmTable731"/>
        </x15:connection>
      </ext>
    </extLst>
  </connection>
  <connection id="8" name="WorksheetConnection_PlayerProfiles" type="102" refreshedVersion="6" minRefreshableVersion="5">
    <extLst>
      <ext xmlns:x15="http://schemas.microsoft.com/office/spreadsheetml/2010/11/main" uri="{DE250136-89BD-433C-8126-D09CA5730AF9}">
        <x15:connection id="PlayerProfiles" usedByAddin="1">
          <x15:rangePr sourceName="_xlcn.WorksheetConnection_PlayerProfiles1"/>
        </x15:connection>
      </ext>
    </extLst>
  </connection>
  <connection id="9" name="WorksheetConnection_Table78" type="102" refreshedVersion="6" minRefreshableVersion="5">
    <extLst>
      <ext xmlns:x15="http://schemas.microsoft.com/office/spreadsheetml/2010/11/main" uri="{DE250136-89BD-433C-8126-D09CA5730AF9}">
        <x15:connection id="Table78" autoDelete="1" usedByAddin="1">
          <x15:rangePr sourceName="_xlcn.WorksheetConnection_Table781"/>
        </x15:connection>
      </ext>
    </extLst>
  </connection>
</connections>
</file>

<file path=xl/sharedStrings.xml><?xml version="1.0" encoding="utf-8"?>
<sst xmlns="http://schemas.openxmlformats.org/spreadsheetml/2006/main" count="2541" uniqueCount="562">
  <si>
    <t>Kill</t>
  </si>
  <si>
    <t>Score</t>
  </si>
  <si>
    <t>Burn</t>
  </si>
  <si>
    <t>Mission Level</t>
  </si>
  <si>
    <t>Dragon</t>
  </si>
  <si>
    <t>Dragons</t>
  </si>
  <si>
    <t>Dragon 1</t>
  </si>
  <si>
    <t>Dragon 2</t>
  </si>
  <si>
    <t>Dragon 3</t>
  </si>
  <si>
    <t>Dragon 4</t>
  </si>
  <si>
    <t>Dragon 5</t>
  </si>
  <si>
    <t>Dragon 6</t>
  </si>
  <si>
    <t>Dragon 7</t>
  </si>
  <si>
    <t>Dragon 8</t>
  </si>
  <si>
    <t>Dragon 9</t>
  </si>
  <si>
    <t>Dragon 10</t>
  </si>
  <si>
    <t>Dragon ID</t>
  </si>
  <si>
    <t>Category</t>
  </si>
  <si>
    <t>Cost to buy (SC)</t>
  </si>
  <si>
    <t>A</t>
  </si>
  <si>
    <t>B</t>
  </si>
  <si>
    <t>Pets</t>
  </si>
  <si>
    <t>Special Dragons</t>
  </si>
  <si>
    <t>Count</t>
  </si>
  <si>
    <t>Step</t>
  </si>
  <si>
    <t xml:space="preserve"> </t>
  </si>
  <si>
    <t>Item</t>
  </si>
  <si>
    <t>Quality</t>
  </si>
  <si>
    <t>Common</t>
  </si>
  <si>
    <t>Rare</t>
  </si>
  <si>
    <t>Epic</t>
  </si>
  <si>
    <t>Uncommon</t>
  </si>
  <si>
    <t>Suits per dragon</t>
  </si>
  <si>
    <t>Caclulation</t>
  </si>
  <si>
    <t>Reparition</t>
  </si>
  <si>
    <t>Number of properties</t>
  </si>
  <si>
    <t>Max number of suits Rare</t>
  </si>
  <si>
    <t>Max number of suits Epic</t>
  </si>
  <si>
    <t>Max</t>
  </si>
  <si>
    <t>Unique properties per item quality</t>
  </si>
  <si>
    <t>Total suits</t>
  </si>
  <si>
    <t>Rare / Uncomon</t>
  </si>
  <si>
    <t>Min number of properties</t>
  </si>
  <si>
    <t>Suits quality per dragon</t>
  </si>
  <si>
    <t>Combination simulator</t>
  </si>
  <si>
    <t>Gacha - Reward</t>
  </si>
  <si>
    <t>Pet</t>
  </si>
  <si>
    <t>Pet 1</t>
  </si>
  <si>
    <t>Pet 2</t>
  </si>
  <si>
    <t>Pet 3</t>
  </si>
  <si>
    <t>Pet 4</t>
  </si>
  <si>
    <t>Pet 5</t>
  </si>
  <si>
    <t>Pet 6</t>
  </si>
  <si>
    <t>Pet 7</t>
  </si>
  <si>
    <t>Pet 8</t>
  </si>
  <si>
    <t>Pet 9</t>
  </si>
  <si>
    <t>Pet 10</t>
  </si>
  <si>
    <t>Specials</t>
  </si>
  <si>
    <t>Special 1</t>
  </si>
  <si>
    <t>Special 2</t>
  </si>
  <si>
    <t>Special 3</t>
  </si>
  <si>
    <t>Common Suits</t>
  </si>
  <si>
    <t>Rare Suits</t>
  </si>
  <si>
    <t>Epic Suits</t>
  </si>
  <si>
    <t>Rare Pets</t>
  </si>
  <si>
    <t>Epic Pets</t>
  </si>
  <si>
    <t>Special dragons</t>
  </si>
  <si>
    <t>Gacha - Chests</t>
  </si>
  <si>
    <t>Simulation</t>
  </si>
  <si>
    <t>Chests opened</t>
  </si>
  <si>
    <t>Gacha repartition</t>
  </si>
  <si>
    <t>Calculation</t>
  </si>
  <si>
    <t>Adjustement variable</t>
  </si>
  <si>
    <t>Formula</t>
  </si>
  <si>
    <t>Drop rate</t>
  </si>
  <si>
    <t>Random!</t>
  </si>
  <si>
    <t>Gold rate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</si>
  <si>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</si>
  <si>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</si>
  <si>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</si>
  <si>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</si>
  <si>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</si>
  <si>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</si>
  <si>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</si>
  <si>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</si>
  <si>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</si>
  <si>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</si>
  <si>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</si>
  <si>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</si>
  <si>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</si>
  <si>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</si>
  <si>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</si>
  <si>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</si>
  <si>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</si>
  <si>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</si>
  <si>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</si>
  <si>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</si>
  <si>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Gold per minute</t>
  </si>
  <si>
    <t>Dragon ID / Level</t>
  </si>
  <si>
    <t>Growth rate</t>
  </si>
  <si>
    <t>Time to up (mn)</t>
  </si>
  <si>
    <t>Expected Time</t>
  </si>
  <si>
    <t>Max level</t>
  </si>
  <si>
    <t>Growth variable</t>
  </si>
  <si>
    <t>Levels</t>
  </si>
  <si>
    <t>Gamplay time (h)</t>
  </si>
  <si>
    <t>Level</t>
  </si>
  <si>
    <t>Dragon/Level ID</t>
  </si>
  <si>
    <t>Link table</t>
  </si>
  <si>
    <t>Hard currency</t>
  </si>
  <si>
    <t>HC</t>
  </si>
  <si>
    <t>HC per minute</t>
  </si>
  <si>
    <t>Cost HC</t>
  </si>
  <si>
    <t>Some metrics</t>
  </si>
  <si>
    <t>Metrics</t>
  </si>
  <si>
    <t>$ to get all epic skin using epic chest</t>
  </si>
  <si>
    <t>$ to get all epic skin using rare chest</t>
  </si>
  <si>
    <t>$ to get all epic skin using normal chest</t>
  </si>
  <si>
    <t>$ to get all skins</t>
  </si>
  <si>
    <t>Max Reward</t>
  </si>
  <si>
    <t>Price</t>
  </si>
  <si>
    <t>Benchmark stores</t>
  </si>
  <si>
    <t>Spider-man Unlimited</t>
  </si>
  <si>
    <t>Discount</t>
  </si>
  <si>
    <t>Gacha</t>
  </si>
  <si>
    <t>HC Try</t>
  </si>
  <si>
    <t>Equivalence</t>
  </si>
  <si>
    <t>HC per $</t>
  </si>
  <si>
    <t>HC try Event 1</t>
  </si>
  <si>
    <t>HC try Event 2</t>
  </si>
  <si>
    <t>Gacha tries</t>
  </si>
  <si>
    <t>Store pricing</t>
  </si>
  <si>
    <t>HC earned</t>
  </si>
  <si>
    <t>Gacha Tries</t>
  </si>
  <si>
    <t>Soft Currency</t>
  </si>
  <si>
    <t>Minion Rush (HC to SC)</t>
  </si>
  <si>
    <t>Price (HC)</t>
  </si>
  <si>
    <t>SC per HC</t>
  </si>
  <si>
    <t>SC earned</t>
  </si>
  <si>
    <t>Cost to buy (HC)</t>
  </si>
  <si>
    <t>Equivalence Base</t>
  </si>
  <si>
    <t>Equivalence better</t>
  </si>
  <si>
    <t>per $</t>
  </si>
  <si>
    <t>$ to Buy (Base)</t>
  </si>
  <si>
    <t>$ to Buy (Best)</t>
  </si>
  <si>
    <t>Dragons - Unlock</t>
  </si>
  <si>
    <t>Min</t>
  </si>
  <si>
    <t>Run - Duration</t>
  </si>
  <si>
    <t>Run duration Bonus</t>
  </si>
  <si>
    <t>Egg</t>
  </si>
  <si>
    <t>Chest</t>
  </si>
  <si>
    <t>Egg cost HC</t>
  </si>
  <si>
    <t>Drop rate in worlds</t>
  </si>
  <si>
    <t>Incubating Timer</t>
  </si>
  <si>
    <t>Unit</t>
  </si>
  <si>
    <t>Hours</t>
  </si>
  <si>
    <t>Timers</t>
  </si>
  <si>
    <t>$ min</t>
  </si>
  <si>
    <t>$ max</t>
  </si>
  <si>
    <t>Equivalence (mn)</t>
  </si>
  <si>
    <t>Coef A</t>
  </si>
  <si>
    <t>Coef B</t>
  </si>
  <si>
    <t>Progression - XP points</t>
  </si>
  <si>
    <t>ID</t>
  </si>
  <si>
    <t>Coef</t>
  </si>
  <si>
    <t>Desired Gold per minute</t>
  </si>
  <si>
    <t>Desired Gold per level (AVG)</t>
  </si>
  <si>
    <t>Expected AVG time (mn)</t>
  </si>
  <si>
    <t>Max. Nb. Missions</t>
  </si>
  <si>
    <t>Easy</t>
  </si>
  <si>
    <t>Medium</t>
  </si>
  <si>
    <t>Hard</t>
  </si>
  <si>
    <t>Easy Mission Reward</t>
  </si>
  <si>
    <t>Medium Mission Reward</t>
  </si>
  <si>
    <t>Hard Mission Reward</t>
  </si>
  <si>
    <t>Chest Rewards</t>
  </si>
  <si>
    <t>#</t>
  </si>
  <si>
    <t>Time</t>
  </si>
  <si>
    <t>Difficulty</t>
  </si>
  <si>
    <t>Balance - Score multiplier</t>
  </si>
  <si>
    <t>Wanted score per run</t>
  </si>
  <si>
    <t>Rank</t>
  </si>
  <si>
    <t>Rank impact</t>
  </si>
  <si>
    <t>Gold Impact</t>
  </si>
  <si>
    <t>Rewards in case of duplicates and when disguise is max rank</t>
  </si>
  <si>
    <t>Dragon egg / Disguise quality</t>
  </si>
  <si>
    <t>Duplicate SC reward</t>
  </si>
  <si>
    <t>Run - Survival Bonus</t>
  </si>
  <si>
    <t>Time (min)</t>
  </si>
  <si>
    <t>Survival Bonus (%)</t>
  </si>
  <si>
    <t>Global Level</t>
  </si>
  <si>
    <t>XP per run per dragon</t>
  </si>
  <si>
    <t>Balance - Global LVL</t>
  </si>
  <si>
    <t>SC Bonus</t>
  </si>
  <si>
    <t>Duration Bonus</t>
  </si>
  <si>
    <t>Skipping HC</t>
  </si>
  <si>
    <t>Cost</t>
  </si>
  <si>
    <t>MAP</t>
  </si>
  <si>
    <t>Cost SC</t>
  </si>
  <si>
    <t>Run SC Bonus</t>
  </si>
  <si>
    <t>Run - Revives</t>
  </si>
  <si>
    <t>Revive in a row</t>
  </si>
  <si>
    <t>Test2</t>
  </si>
  <si>
    <t>Mission % Bonus</t>
  </si>
  <si>
    <t>Dragon Tier</t>
  </si>
  <si>
    <t>Reward type</t>
  </si>
  <si>
    <t>SC</t>
  </si>
  <si>
    <t>Chest streak</t>
  </si>
  <si>
    <t>Amount</t>
  </si>
  <si>
    <t>Chest found</t>
  </si>
  <si>
    <t>Proba</t>
  </si>
  <si>
    <t>LINEST 1</t>
  </si>
  <si>
    <t>LINEST 2</t>
  </si>
  <si>
    <t>MIN AND MAX GOLD/MIN</t>
  </si>
  <si>
    <t>Gatcha - Cost to burn</t>
  </si>
  <si>
    <t>Given Variable</t>
  </si>
  <si>
    <t>Wanted Proba</t>
  </si>
  <si>
    <t>Variable</t>
  </si>
  <si>
    <t>Total Items</t>
  </si>
  <si>
    <t>Given drop table</t>
  </si>
  <si>
    <t>Try price</t>
  </si>
  <si>
    <t>AVG tries</t>
  </si>
  <si>
    <t># of items</t>
  </si>
  <si>
    <t>SUM</t>
  </si>
  <si>
    <t>$ Total</t>
  </si>
  <si>
    <t>calculation Step</t>
  </si>
  <si>
    <t>Adjustement # items</t>
  </si>
  <si>
    <t>Gatcha - Pets</t>
  </si>
  <si>
    <t>Calculation Coef</t>
  </si>
  <si>
    <t>Number of pet</t>
  </si>
  <si>
    <t>Pet ID</t>
  </si>
  <si>
    <t>Gatcha - Skins</t>
  </si>
  <si>
    <t>Number of skin</t>
  </si>
  <si>
    <t>Proportionate skins %</t>
  </si>
  <si>
    <t>SKIN Cost</t>
  </si>
  <si>
    <t>Skin ID</t>
  </si>
  <si>
    <t>Associated Dragon</t>
  </si>
  <si>
    <t>First Skin</t>
  </si>
  <si>
    <t>Last Skin</t>
  </si>
  <si>
    <t>XP between unlocks</t>
  </si>
  <si>
    <t>SC total for Skins</t>
  </si>
  <si>
    <t>% SC (Unlock next Dragon) used for skin</t>
  </si>
  <si>
    <t># HC Skin</t>
  </si>
  <si>
    <t>ID of HC Skin</t>
  </si>
  <si>
    <t>% HC (Buy dragon) used for skin</t>
  </si>
  <si>
    <t>HC total for Skins</t>
  </si>
  <si>
    <t>$ to buy</t>
  </si>
  <si>
    <t>SC bonus</t>
  </si>
  <si>
    <t>Run Duration Bonus</t>
  </si>
  <si>
    <t>SKINS MAX /MIN</t>
  </si>
  <si>
    <t>BONUS MAX MIN</t>
  </si>
  <si>
    <t>Mission Completion Bonus</t>
  </si>
  <si>
    <t>BONUS MAX MIN (Missions)</t>
  </si>
  <si>
    <t>EGG ONLY DROP PETS</t>
  </si>
  <si>
    <t>Bonus SC</t>
  </si>
  <si>
    <t>Power</t>
  </si>
  <si>
    <t>Last ID</t>
  </si>
  <si>
    <t>Bonus Run Duration</t>
  </si>
  <si>
    <t>First ID</t>
  </si>
  <si>
    <t>Max nb of pets</t>
  </si>
  <si>
    <t>SKIN ID MAX /MIN</t>
  </si>
  <si>
    <t>BONUS SC</t>
  </si>
  <si>
    <t>BONUS SC MIN / MAX</t>
  </si>
  <si>
    <t>BONUS DURATION MIN / MAX</t>
  </si>
  <si>
    <t>Level to unlock</t>
  </si>
  <si>
    <t>XP associated</t>
  </si>
  <si>
    <t>Powerups</t>
  </si>
  <si>
    <t>Powerups are attached to skins and pets. They are divided in categories. They will help the player get better runs and more SC for them.</t>
  </si>
  <si>
    <t>For Pets?</t>
  </si>
  <si>
    <t>For skins?</t>
  </si>
  <si>
    <t>Details</t>
  </si>
  <si>
    <t>HP +</t>
  </si>
  <si>
    <t>Life Drain Reduced</t>
  </si>
  <si>
    <t>Speed +</t>
  </si>
  <si>
    <t>Boost +</t>
  </si>
  <si>
    <t>Fire (size) +</t>
  </si>
  <si>
    <t>Fire Rush Time +</t>
  </si>
  <si>
    <t>SC +</t>
  </si>
  <si>
    <t>Score +</t>
  </si>
  <si>
    <t>Stats</t>
  </si>
  <si>
    <t>Increase HP of current dragon by [25%]</t>
  </si>
  <si>
    <t>Reduce global drain by [10%]</t>
  </si>
  <si>
    <t>Increase Speed of current dragon by [15%]</t>
  </si>
  <si>
    <t>Increase boost bar of current dragon by [10%]</t>
  </si>
  <si>
    <t>Increase fire global size of current dragon by [10%]</t>
  </si>
  <si>
    <t>Increase fire rush time of current dragon by [20%]</t>
  </si>
  <si>
    <t>Increase SC chance for all preys by [5%]</t>
  </si>
  <si>
    <t>Increase score given by any prey by [5%]</t>
  </si>
  <si>
    <t>Food +</t>
  </si>
  <si>
    <t>Reward</t>
  </si>
  <si>
    <t>Increase food given by any prey by [5%]</t>
  </si>
  <si>
    <t>Swim better</t>
  </si>
  <si>
    <t>Utility</t>
  </si>
  <si>
    <t xml:space="preserve">Lantern </t>
  </si>
  <si>
    <t xml:space="preserve">Lower damage from mines </t>
  </si>
  <si>
    <t xml:space="preserve">Lower damage from ghosts </t>
  </si>
  <si>
    <t xml:space="preserve">Lower damage from arrows </t>
  </si>
  <si>
    <t>Avoid first ghost hit</t>
  </si>
  <si>
    <t>Avoid first mine hit</t>
  </si>
  <si>
    <t xml:space="preserve">Lower damage from poison </t>
  </si>
  <si>
    <t>Decrease blockers tier limitation</t>
  </si>
  <si>
    <t>Eat all ghost</t>
  </si>
  <si>
    <t>Eat mines</t>
  </si>
  <si>
    <t>Explose mines</t>
  </si>
  <si>
    <t>Fire Rush Pet</t>
  </si>
  <si>
    <t>Shoot Fireballs</t>
  </si>
  <si>
    <t>Throw mines</t>
  </si>
  <si>
    <t>Free revive</t>
  </si>
  <si>
    <t>Freeze aura</t>
  </si>
  <si>
    <t>Attack</t>
  </si>
  <si>
    <t>Special</t>
  </si>
  <si>
    <t>Give player total control inside the water</t>
  </si>
  <si>
    <t>Light area around the pet</t>
  </si>
  <si>
    <t>Damage from mines is reduced by [15%]</t>
  </si>
  <si>
    <t>Damage from ghosts is reduced by [15%]</t>
  </si>
  <si>
    <t>Damage from poison is reduced by [15%]</t>
  </si>
  <si>
    <t>Damage from arrows is reduced by [15%]</t>
  </si>
  <si>
    <t>First hit from mines does [0] damages</t>
  </si>
  <si>
    <t>First hit from ghosts does [0] damages</t>
  </si>
  <si>
    <t>Player can destroy blockers, 1 tier above his current one</t>
  </si>
  <si>
    <t>Pet is eating all type of ghosts</t>
  </si>
  <si>
    <t>Pet is eating all type of mines</t>
  </si>
  <si>
    <t>Pet is boosting into mines to destroy them</t>
  </si>
  <si>
    <t>Only activate during fire rush - Turn into a phoenix and burn everything y passing by.</t>
  </si>
  <si>
    <t>Player automatically revive after 1st death</t>
  </si>
  <si>
    <t>Edible around the pet are slowed down</t>
  </si>
  <si>
    <t>Bring humans</t>
  </si>
  <si>
    <t xml:space="preserve">Doesn't eat - Shoot fireball (auto-targeting) </t>
  </si>
  <si>
    <t>Doesn't eat - Throw mines that explose on contact</t>
  </si>
  <si>
    <t>Doesn't eat - Go and find human to bring them back to the player dragon</t>
  </si>
  <si>
    <t>Skin powers combination</t>
  </si>
  <si>
    <t>Power_list</t>
  </si>
  <si>
    <t>power_id</t>
  </si>
  <si>
    <t>Combination table</t>
  </si>
  <si>
    <t>Item 1</t>
  </si>
  <si>
    <t>Item 2</t>
  </si>
  <si>
    <t>Item 3</t>
  </si>
  <si>
    <t>Extracted from</t>
  </si>
  <si>
    <t>http://www.dcode.fr/combinations</t>
  </si>
  <si>
    <t>Order</t>
  </si>
  <si>
    <t>Perceived_value</t>
  </si>
  <si>
    <t>/!\ THIS IS A PASTE AS VALUE - NOT LINKED TO ANYTHING /!\</t>
  </si>
  <si>
    <t>Lower_damage_count</t>
  </si>
  <si>
    <t>BONUS DURATION</t>
  </si>
  <si>
    <t>power_ID</t>
  </si>
  <si>
    <t>Powers</t>
  </si>
  <si>
    <t>POWER SEARCH</t>
  </si>
  <si>
    <t>SET ID --&gt;</t>
  </si>
  <si>
    <t>powerup_1</t>
  </si>
  <si>
    <t>powerup_2</t>
  </si>
  <si>
    <t>powerup_3</t>
  </si>
  <si>
    <t>Percieved_value</t>
  </si>
  <si>
    <t>theorical_powerSet_perceivedValue</t>
  </si>
  <si>
    <t>theorical_powerSet_minID</t>
  </si>
  <si>
    <t>Filter</t>
  </si>
  <si>
    <t>SC step per skin</t>
  </si>
  <si>
    <t>PETS LIST STRING DEFAULT</t>
  </si>
  <si>
    <t>LEN</t>
  </si>
  <si>
    <t>AVG scPerMin</t>
  </si>
  <si>
    <t>DRAGON_ID</t>
  </si>
  <si>
    <t>LEVEL_MAX</t>
  </si>
  <si>
    <t>XP_MAX</t>
  </si>
  <si>
    <t>COEF A</t>
  </si>
  <si>
    <t>COEF B</t>
  </si>
  <si>
    <t>XP_max_Formula</t>
  </si>
  <si>
    <t>Dragon ID / Step XP per Level</t>
  </si>
  <si>
    <t>AVG_TIME_TO_MAX_LEVEL</t>
  </si>
  <si>
    <t>LINEST A</t>
  </si>
  <si>
    <t>LINEST B</t>
  </si>
  <si>
    <t>AVG TIME AND RUN TIME TO MAX LEVEL</t>
  </si>
  <si>
    <t>When the player find a pet duplicate in an egg he will receive an egg part. Getting enough egg parts will unlock a special pet.</t>
  </si>
  <si>
    <t>TBD</t>
  </si>
  <si>
    <t>Special Pets / Golden Egg parts</t>
  </si>
  <si>
    <t>eggPartsGiven</t>
  </si>
  <si>
    <t>Egg Parts Needed</t>
  </si>
  <si>
    <t>eggPartsGiven%</t>
  </si>
  <si>
    <t>Parts Needed</t>
  </si>
  <si>
    <t>XP +</t>
  </si>
  <si>
    <t>Increase XP given by any prey by [5%]</t>
  </si>
  <si>
    <t>COEF SINUS SKIN PROGRESSION</t>
  </si>
  <si>
    <t>M1/M2</t>
  </si>
  <si>
    <t>A/B</t>
  </si>
  <si>
    <t>theorical_powerup</t>
  </si>
  <si>
    <t>PotentialOrder</t>
  </si>
  <si>
    <t>Final order</t>
  </si>
  <si>
    <t>uses_generated_set</t>
  </si>
  <si>
    <t>userSelectedPowerup</t>
  </si>
  <si>
    <t>current_powerup</t>
  </si>
  <si>
    <t>Duplicate?</t>
  </si>
  <si>
    <t>Final_perceivedValue</t>
  </si>
  <si>
    <t>Skin associated</t>
  </si>
  <si>
    <t>Potential Skin</t>
  </si>
  <si>
    <t>Cook</t>
  </si>
  <si>
    <t>Technologic</t>
  </si>
  <si>
    <t>Rock</t>
  </si>
  <si>
    <t>Aztec</t>
  </si>
  <si>
    <t>Muscle</t>
  </si>
  <si>
    <t>Runner</t>
  </si>
  <si>
    <t>Spirit / Ghost / Skeleton</t>
  </si>
  <si>
    <t>Medic / Doctor / Nurse</t>
  </si>
  <si>
    <t>Lava / Magma</t>
  </si>
  <si>
    <t>Electric</t>
  </si>
  <si>
    <t>Knight</t>
  </si>
  <si>
    <t>King / Golden</t>
  </si>
  <si>
    <t>Fire fighter</t>
  </si>
  <si>
    <t>Indiana Johns</t>
  </si>
  <si>
    <t>Ninja</t>
  </si>
  <si>
    <t>Mecanical / Robot</t>
  </si>
  <si>
    <t>Old / Grandfather</t>
  </si>
  <si>
    <t>Viking</t>
  </si>
  <si>
    <t>Poseidon / Greek god</t>
  </si>
  <si>
    <t>Angel</t>
  </si>
  <si>
    <t>Radioactive</t>
  </si>
  <si>
    <t>Scientist</t>
  </si>
  <si>
    <t>Military / Army</t>
  </si>
  <si>
    <t>Light / Illuminated</t>
  </si>
  <si>
    <t>Hippo</t>
  </si>
  <si>
    <t>Egypt</t>
  </si>
  <si>
    <t>Mexican</t>
  </si>
  <si>
    <t>Fruit / Candy</t>
  </si>
  <si>
    <t>Rock'n Roll / Music</t>
  </si>
  <si>
    <t>Formula 1 / Pilot</t>
  </si>
  <si>
    <t>Dragon 11</t>
  </si>
  <si>
    <t>Progression - Survival Bonus</t>
  </si>
  <si>
    <t>Give a coin bonus based on how long the player has survived in the level</t>
  </si>
  <si>
    <t>Time Survived</t>
  </si>
  <si>
    <t>Bonus sc (%)</t>
  </si>
  <si>
    <t>Average SC bonus per minute played earned by dragon</t>
  </si>
  <si>
    <t>Average SC bonus per run by dragon</t>
  </si>
  <si>
    <t>LINEST</t>
  </si>
  <si>
    <t>Soft Currency conversion (missing ressources)</t>
  </si>
  <si>
    <t>Happen when player wants to buy an item with SC but doesn't have enough SC. Player can then buy missing coins with HC.</t>
  </si>
  <si>
    <t>% reduced from store</t>
  </si>
  <si>
    <t>Examples</t>
  </si>
  <si>
    <t>Run - Map</t>
  </si>
  <si>
    <t>HC per SC</t>
  </si>
  <si>
    <t>Mission Difficulty</t>
  </si>
  <si>
    <t>Tier</t>
  </si>
  <si>
    <t>dragon_baby</t>
  </si>
  <si>
    <t>dragon_crocodile</t>
  </si>
  <si>
    <t>dragon_reptile</t>
  </si>
  <si>
    <t>dragon_fat</t>
  </si>
  <si>
    <t>dragon_bug</t>
  </si>
  <si>
    <t>dragon_chinese</t>
  </si>
  <si>
    <t>dragon_classic</t>
  </si>
  <si>
    <t>dragon_devil</t>
  </si>
  <si>
    <t>dragon_balrog</t>
  </si>
  <si>
    <t>dragon_titan</t>
  </si>
  <si>
    <t>Current Max Dragon</t>
  </si>
  <si>
    <t>InOneRun?</t>
  </si>
  <si>
    <t>Dragon Mod.</t>
  </si>
  <si>
    <t>Difficulty Mod.</t>
  </si>
  <si>
    <t>inOneRun mod.</t>
  </si>
  <si>
    <t>Final Mod.</t>
  </si>
  <si>
    <t>AVG XP per min</t>
  </si>
  <si>
    <t>MIN AND MAX XP/Min</t>
  </si>
  <si>
    <t>AVG_XP/min</t>
  </si>
  <si>
    <t>TOTAL XP Grinding run</t>
  </si>
  <si>
    <t>AVG XP per run</t>
  </si>
  <si>
    <t>Manual input</t>
  </si>
  <si>
    <t>Skill % reduction</t>
  </si>
  <si>
    <t>easy</t>
  </si>
  <si>
    <t>medium</t>
  </si>
  <si>
    <t>hard</t>
  </si>
  <si>
    <t>Flying pig spawning proba</t>
  </si>
  <si>
    <t>Pig eaten</t>
  </si>
  <si>
    <t>Proba that a pig will spawn</t>
  </si>
  <si>
    <t>Reduce the proba that a pig will spawn based on the number of pig that have been eaten. The proba is tested everytime the player ecounters a flying pig spawner.</t>
  </si>
  <si>
    <t>Key pack</t>
  </si>
  <si>
    <t>keys given</t>
  </si>
  <si>
    <t>hc_price</t>
  </si>
  <si>
    <t>hc/min</t>
  </si>
  <si>
    <t>dragonRange</t>
  </si>
  <si>
    <t>skinIDRange</t>
  </si>
  <si>
    <t xml:space="preserve">Egg  cost </t>
  </si>
  <si>
    <t>Reward Multiplier</t>
  </si>
  <si>
    <t>Cost (SC) formated</t>
  </si>
  <si>
    <t>Cost Ad</t>
  </si>
  <si>
    <t>Timer</t>
  </si>
  <si>
    <t>Pack Price Calculator</t>
  </si>
  <si>
    <t xml:space="preserve">Pack content </t>
  </si>
  <si>
    <t>Quantity</t>
  </si>
  <si>
    <t>Price low</t>
  </si>
  <si>
    <t>Price High</t>
  </si>
  <si>
    <t>Pet common</t>
  </si>
  <si>
    <t>Pet rare</t>
  </si>
  <si>
    <t>Pet epic</t>
  </si>
  <si>
    <t>Total</t>
  </si>
  <si>
    <t>Wanted Price</t>
  </si>
  <si>
    <t>Equivalence dynamic reduction</t>
  </si>
  <si>
    <t>HC total</t>
  </si>
  <si>
    <t>Min %</t>
  </si>
  <si>
    <t>Max %</t>
  </si>
  <si>
    <t>Tier min</t>
  </si>
  <si>
    <t>Tries without rares</t>
  </si>
  <si>
    <t>Adjustement Var</t>
  </si>
  <si>
    <t>Formula modifer</t>
  </si>
  <si>
    <t>Modifier</t>
  </si>
  <si>
    <t>SC modifier</t>
  </si>
  <si>
    <t>Amount Dragon 1</t>
  </si>
  <si>
    <t>Select Dragon</t>
  </si>
  <si>
    <t>Drop Rate in Level</t>
  </si>
  <si>
    <t>Chest 1</t>
  </si>
  <si>
    <t>Chest 2</t>
  </si>
  <si>
    <t>Chest 3</t>
  </si>
  <si>
    <t>Chest 4</t>
  </si>
  <si>
    <t>Chest 5</t>
  </si>
  <si>
    <t>Calculated Weight</t>
  </si>
  <si>
    <t>QUANTITY MODIFIER</t>
  </si>
  <si>
    <t>REWARD CALCULATION</t>
  </si>
  <si>
    <t>MISSION TYPE</t>
  </si>
  <si>
    <t>PARAM</t>
  </si>
  <si>
    <t>Canaries</t>
  </si>
  <si>
    <t>Yes</t>
  </si>
  <si>
    <t>OBJ. BASE. QU. MIN</t>
  </si>
  <si>
    <t>OBJ. BASE. QU. MAX</t>
  </si>
  <si>
    <t>EASY</t>
  </si>
  <si>
    <t>MEDIUM</t>
  </si>
  <si>
    <t>HARD</t>
  </si>
  <si>
    <t>QuantityModifier</t>
  </si>
  <si>
    <t>OneRun</t>
  </si>
  <si>
    <t>HAS SINGLE RUN</t>
  </si>
  <si>
    <t>OBJ. QU. RANGE</t>
  </si>
  <si>
    <t>REWARD</t>
  </si>
  <si>
    <t>dragon_jawfrey</t>
  </si>
  <si>
    <t>dragon_goldheist</t>
  </si>
  <si>
    <t>Dragon 12</t>
  </si>
  <si>
    <t>Villagers</t>
  </si>
  <si>
    <t>Collect</t>
  </si>
  <si>
    <t>Coins</t>
  </si>
  <si>
    <t>No</t>
  </si>
  <si>
    <t>Fire Rush</t>
  </si>
  <si>
    <t>-</t>
  </si>
  <si>
    <t>Dive</t>
  </si>
  <si>
    <t>Survive Time</t>
  </si>
  <si>
    <t>Spiders</t>
  </si>
  <si>
    <t>Goblins</t>
  </si>
  <si>
    <t>Bats</t>
  </si>
  <si>
    <t>Owls</t>
  </si>
  <si>
    <t>Lion Birds</t>
  </si>
  <si>
    <t>Driller</t>
  </si>
  <si>
    <t>Boat Fisher</t>
  </si>
  <si>
    <t>Archers</t>
  </si>
  <si>
    <t>Soldiers</t>
  </si>
  <si>
    <t>Distance</t>
  </si>
  <si>
    <t>Eat Gold</t>
  </si>
  <si>
    <t>Stingray</t>
  </si>
  <si>
    <t>Farm Animals</t>
  </si>
  <si>
    <t>Houses</t>
  </si>
  <si>
    <t>Witches</t>
  </si>
  <si>
    <t>Vulture</t>
  </si>
  <si>
    <t>Hawk,Vultures,Owls</t>
  </si>
  <si>
    <t>Eggs</t>
  </si>
  <si>
    <t>Flying Pig</t>
  </si>
  <si>
    <t>OBJ. QU. RANGE2</t>
  </si>
  <si>
    <t>REWARD3</t>
  </si>
  <si>
    <t>OBJ. QU. RANGE4</t>
  </si>
  <si>
    <t>REWARD5</t>
  </si>
  <si>
    <t>ACCUMULATE TO MAX LEVEL</t>
  </si>
  <si>
    <t>XP needed to level up (steps)</t>
  </si>
  <si>
    <t xml:space="preserve">   </t>
  </si>
  <si>
    <t>Column1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</si>
</sst>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_(&quot;€&quot;* #,##0.00_);_(&quot;€&quot;* \(#,##0.00\);_(&quot;€&quot;* &quot;-&quot;??_);_(@_)"/>
    <numFmt numFmtId="165" formatCode="0.0%"/>
    <numFmt numFmtId="166" formatCode="_-[$$-409]* #,##0.00_ ;_-[$$-409]* \-#,##0.00\ ;_-[$$-409]* &quot;-&quot;??_ ;_-@_ "/>
    <numFmt numFmtId="167" formatCode="0.0"/>
  </numFmts>
  <fonts count="16" x14ac:knownFonts="1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12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2.1"/>
      <color rgb="FF000000"/>
      <name val="Calibri"/>
      <family val="2"/>
    </font>
    <font>
      <sz val="11"/>
      <color theme="1"/>
      <name val="Calibri"/>
      <scheme val="minor"/>
    </font>
  </fonts>
  <fills count="40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-0.249977111117893"/>
        <bgColor theme="5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4" tint="0.79998168889431442"/>
        <bgColor theme="4" tint="0.59999389629810485"/>
      </patternFill>
    </fill>
    <fill>
      <patternFill patternType="solid">
        <fgColor theme="0"/>
        <bgColor theme="4" tint="0.59999389629810485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theme="4" tint="0.59999389629810485"/>
      </patternFill>
    </fill>
  </fills>
  <borders count="41">
    <border>
      <left/>
      <right/>
      <top/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/>
      <top style="thin">
        <color theme="0"/>
      </top>
      <bottom style="double">
        <color theme="0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theme="5" tint="-0.499984740745262"/>
      </top>
      <bottom/>
      <diagonal/>
    </border>
    <border>
      <left style="thin">
        <color theme="5"/>
      </left>
      <right/>
      <top style="thin">
        <color theme="5"/>
      </top>
      <bottom/>
      <diagonal/>
    </border>
    <border>
      <left/>
      <right style="thin">
        <color theme="5"/>
      </right>
      <top style="thin">
        <color theme="5"/>
      </top>
      <bottom/>
      <diagonal/>
    </border>
    <border>
      <left/>
      <right style="thin">
        <color theme="5"/>
      </right>
      <top/>
      <bottom/>
      <diagonal/>
    </border>
    <border>
      <left style="thin">
        <color theme="5"/>
      </left>
      <right/>
      <top/>
      <bottom/>
      <diagonal/>
    </border>
    <border>
      <left style="thin">
        <color theme="5"/>
      </left>
      <right/>
      <top/>
      <bottom style="thin">
        <color theme="5"/>
      </bottom>
      <diagonal/>
    </border>
    <border>
      <left/>
      <right style="thin">
        <color theme="5"/>
      </right>
      <top/>
      <bottom style="thin">
        <color theme="5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281">
    <xf numFmtId="0" fontId="0" fillId="0" borderId="0" xfId="0"/>
    <xf numFmtId="0" fontId="0" fillId="0" borderId="0" xfId="0" applyAlignment="1">
      <alignment horizontal="center" vertical="center"/>
    </xf>
    <xf numFmtId="0" fontId="0" fillId="3" borderId="0" xfId="0" applyFill="1"/>
    <xf numFmtId="9" fontId="0" fillId="0" borderId="0" xfId="1" applyFont="1" applyAlignment="1">
      <alignment horizontal="center" vertical="center"/>
    </xf>
    <xf numFmtId="0" fontId="3" fillId="4" borderId="0" xfId="0" applyFont="1" applyFill="1"/>
    <xf numFmtId="0" fontId="0" fillId="5" borderId="0" xfId="0" applyFill="1" applyAlignment="1">
      <alignment horizontal="center" vertical="center"/>
    </xf>
    <xf numFmtId="0" fontId="0" fillId="7" borderId="0" xfId="0" applyFill="1"/>
    <xf numFmtId="0" fontId="1" fillId="7" borderId="0" xfId="0" applyFont="1" applyFill="1"/>
    <xf numFmtId="9" fontId="0" fillId="0" borderId="0" xfId="1" applyFont="1"/>
    <xf numFmtId="9" fontId="0" fillId="5" borderId="0" xfId="1" applyFont="1" applyFill="1" applyAlignment="1">
      <alignment horizontal="center" vertical="center"/>
    </xf>
    <xf numFmtId="0" fontId="0" fillId="5" borderId="0" xfId="1" applyNumberFormat="1" applyFont="1" applyFill="1" applyAlignment="1">
      <alignment horizontal="center" vertical="center"/>
    </xf>
    <xf numFmtId="0" fontId="0" fillId="5" borderId="0" xfId="0" applyFill="1"/>
    <xf numFmtId="0" fontId="3" fillId="4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5" fillId="4" borderId="1" xfId="0" applyFont="1" applyFill="1" applyBorder="1"/>
    <xf numFmtId="0" fontId="3" fillId="4" borderId="1" xfId="0" applyFont="1" applyFill="1" applyBorder="1"/>
    <xf numFmtId="0" fontId="3" fillId="0" borderId="0" xfId="0" applyFont="1"/>
    <xf numFmtId="0" fontId="7" fillId="4" borderId="1" xfId="0" applyFont="1" applyFill="1" applyBorder="1"/>
    <xf numFmtId="0" fontId="8" fillId="4" borderId="1" xfId="0" applyFont="1" applyFill="1" applyBorder="1"/>
    <xf numFmtId="0" fontId="5" fillId="9" borderId="1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5" fillId="4" borderId="2" xfId="0" applyFont="1" applyFill="1" applyBorder="1"/>
    <xf numFmtId="0" fontId="0" fillId="6" borderId="1" xfId="0" applyFill="1" applyBorder="1"/>
    <xf numFmtId="0" fontId="3" fillId="4" borderId="0" xfId="0" applyFont="1" applyFill="1" applyBorder="1"/>
    <xf numFmtId="165" fontId="0" fillId="0" borderId="0" xfId="1" applyNumberFormat="1" applyFont="1" applyAlignment="1">
      <alignment horizontal="center" vertical="center"/>
    </xf>
    <xf numFmtId="10" fontId="0" fillId="0" borderId="0" xfId="1" applyNumberFormat="1" applyFont="1" applyAlignment="1">
      <alignment horizontal="center" vertical="center"/>
    </xf>
    <xf numFmtId="0" fontId="5" fillId="11" borderId="3" xfId="0" applyFont="1" applyFill="1" applyBorder="1"/>
    <xf numFmtId="0" fontId="0" fillId="11" borderId="0" xfId="0" applyFill="1"/>
    <xf numFmtId="0" fontId="1" fillId="11" borderId="0" xfId="0" applyFont="1" applyFill="1"/>
    <xf numFmtId="0" fontId="11" fillId="11" borderId="0" xfId="0" applyFon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1" fontId="0" fillId="15" borderId="0" xfId="0" applyNumberFormat="1" applyFill="1" applyAlignment="1">
      <alignment horizontal="center" vertical="center"/>
    </xf>
    <xf numFmtId="1" fontId="0" fillId="14" borderId="0" xfId="0" applyNumberFormat="1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1" fontId="0" fillId="8" borderId="0" xfId="0" applyNumberFormat="1" applyFill="1" applyAlignment="1">
      <alignment horizontal="center" vertical="center"/>
    </xf>
    <xf numFmtId="0" fontId="0" fillId="18" borderId="0" xfId="0" applyFill="1" applyAlignment="1">
      <alignment horizontal="center" vertical="center"/>
    </xf>
    <xf numFmtId="1" fontId="0" fillId="18" borderId="0" xfId="0" applyNumberFormat="1" applyFill="1" applyAlignment="1">
      <alignment horizontal="center" vertical="center"/>
    </xf>
    <xf numFmtId="0" fontId="0" fillId="19" borderId="0" xfId="0" applyFill="1" applyAlignment="1">
      <alignment horizontal="center" vertical="center"/>
    </xf>
    <xf numFmtId="1" fontId="0" fillId="19" borderId="0" xfId="0" applyNumberFormat="1" applyFill="1" applyAlignment="1">
      <alignment horizontal="center" vertical="center"/>
    </xf>
    <xf numFmtId="0" fontId="0" fillId="20" borderId="0" xfId="0" applyFill="1" applyAlignment="1">
      <alignment horizontal="center" vertical="center"/>
    </xf>
    <xf numFmtId="1" fontId="0" fillId="20" borderId="0" xfId="0" applyNumberFormat="1" applyFill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0" fontId="0" fillId="14" borderId="0" xfId="0" applyFill="1" applyBorder="1" applyAlignment="1">
      <alignment horizontal="center" vertical="center"/>
    </xf>
    <xf numFmtId="0" fontId="0" fillId="15" borderId="4" xfId="0" applyFill="1" applyBorder="1" applyAlignment="1">
      <alignment horizontal="center" vertical="center"/>
    </xf>
    <xf numFmtId="0" fontId="0" fillId="15" borderId="0" xfId="0" applyFill="1" applyBorder="1" applyAlignment="1">
      <alignment horizontal="center" vertical="center"/>
    </xf>
    <xf numFmtId="0" fontId="0" fillId="8" borderId="4" xfId="0" applyFill="1" applyBorder="1" applyAlignment="1">
      <alignment horizontal="center" vertical="center"/>
    </xf>
    <xf numFmtId="0" fontId="0" fillId="8" borderId="0" xfId="0" applyFill="1" applyBorder="1" applyAlignment="1">
      <alignment horizontal="center" vertical="center"/>
    </xf>
    <xf numFmtId="0" fontId="0" fillId="19" borderId="4" xfId="0" applyFill="1" applyBorder="1" applyAlignment="1">
      <alignment horizontal="center" vertical="center"/>
    </xf>
    <xf numFmtId="0" fontId="0" fillId="19" borderId="0" xfId="0" applyFill="1" applyBorder="1" applyAlignment="1">
      <alignment horizontal="center" vertical="center"/>
    </xf>
    <xf numFmtId="0" fontId="0" fillId="18" borderId="4" xfId="0" applyFill="1" applyBorder="1" applyAlignment="1">
      <alignment horizontal="center" vertical="center"/>
    </xf>
    <xf numFmtId="0" fontId="0" fillId="18" borderId="0" xfId="0" applyFill="1" applyBorder="1" applyAlignment="1">
      <alignment horizontal="center" vertical="center"/>
    </xf>
    <xf numFmtId="0" fontId="0" fillId="20" borderId="4" xfId="0" applyFill="1" applyBorder="1" applyAlignment="1">
      <alignment horizontal="center" vertical="center"/>
    </xf>
    <xf numFmtId="0" fontId="0" fillId="20" borderId="0" xfId="0" applyFill="1" applyBorder="1" applyAlignment="1">
      <alignment horizontal="center" vertical="center"/>
    </xf>
    <xf numFmtId="0" fontId="0" fillId="14" borderId="6" xfId="0" applyFill="1" applyBorder="1" applyAlignment="1">
      <alignment horizontal="center" vertical="center"/>
    </xf>
    <xf numFmtId="0" fontId="0" fillId="15" borderId="6" xfId="0" applyFill="1" applyBorder="1" applyAlignment="1">
      <alignment horizontal="center" vertical="center"/>
    </xf>
    <xf numFmtId="0" fontId="0" fillId="20" borderId="6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14" borderId="5" xfId="0" applyFill="1" applyBorder="1" applyAlignment="1">
      <alignment horizontal="center" vertical="center"/>
    </xf>
    <xf numFmtId="0" fontId="0" fillId="15" borderId="5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19" borderId="5" xfId="0" applyFill="1" applyBorder="1" applyAlignment="1">
      <alignment horizontal="center" vertical="center"/>
    </xf>
    <xf numFmtId="0" fontId="0" fillId="18" borderId="5" xfId="0" applyFill="1" applyBorder="1" applyAlignment="1">
      <alignment horizontal="center" vertical="center"/>
    </xf>
    <xf numFmtId="0" fontId="0" fillId="20" borderId="5" xfId="0" applyFill="1" applyBorder="1" applyAlignment="1">
      <alignment horizontal="center" vertical="center"/>
    </xf>
    <xf numFmtId="1" fontId="0" fillId="14" borderId="0" xfId="0" applyNumberFormat="1" applyFill="1" applyBorder="1" applyAlignment="1">
      <alignment horizontal="center" vertical="center"/>
    </xf>
    <xf numFmtId="1" fontId="0" fillId="15" borderId="0" xfId="0" applyNumberFormat="1" applyFill="1" applyBorder="1" applyAlignment="1">
      <alignment horizontal="center" vertical="center"/>
    </xf>
    <xf numFmtId="1" fontId="0" fillId="8" borderId="0" xfId="0" applyNumberFormat="1" applyFill="1" applyBorder="1" applyAlignment="1">
      <alignment horizontal="center" vertical="center"/>
    </xf>
    <xf numFmtId="1" fontId="0" fillId="19" borderId="0" xfId="0" applyNumberFormat="1" applyFill="1" applyBorder="1" applyAlignment="1">
      <alignment horizontal="center" vertical="center"/>
    </xf>
    <xf numFmtId="1" fontId="0" fillId="18" borderId="0" xfId="0" applyNumberFormat="1" applyFill="1" applyBorder="1" applyAlignment="1">
      <alignment horizontal="center" vertical="center"/>
    </xf>
    <xf numFmtId="1" fontId="0" fillId="20" borderId="0" xfId="0" applyNumberFormat="1" applyFill="1" applyBorder="1" applyAlignment="1">
      <alignment horizontal="center" vertical="center"/>
    </xf>
    <xf numFmtId="0" fontId="5" fillId="2" borderId="0" xfId="0" applyFont="1" applyFill="1"/>
    <xf numFmtId="0" fontId="1" fillId="10" borderId="0" xfId="0" applyFont="1" applyFill="1"/>
    <xf numFmtId="0" fontId="3" fillId="11" borderId="8" xfId="0" applyFont="1" applyFill="1" applyBorder="1" applyAlignment="1">
      <alignment horizontal="center" vertical="center"/>
    </xf>
    <xf numFmtId="0" fontId="0" fillId="16" borderId="8" xfId="0" applyFill="1" applyBorder="1" applyAlignment="1">
      <alignment horizontal="center" vertical="center"/>
    </xf>
    <xf numFmtId="0" fontId="7" fillId="11" borderId="0" xfId="0" applyFont="1" applyFill="1"/>
    <xf numFmtId="0" fontId="0" fillId="10" borderId="0" xfId="0" applyFill="1"/>
    <xf numFmtId="0" fontId="6" fillId="10" borderId="0" xfId="0" applyFont="1" applyFill="1" applyAlignment="1">
      <alignment horizontal="center" vertical="center"/>
    </xf>
    <xf numFmtId="0" fontId="7" fillId="10" borderId="0" xfId="0" applyFont="1" applyFill="1" applyAlignment="1">
      <alignment horizontal="center" vertical="center"/>
    </xf>
    <xf numFmtId="0" fontId="7" fillId="10" borderId="6" xfId="0" applyFont="1" applyFill="1" applyBorder="1" applyAlignment="1">
      <alignment horizontal="center" vertical="center"/>
    </xf>
    <xf numFmtId="0" fontId="0" fillId="17" borderId="9" xfId="0" applyFill="1" applyBorder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22" borderId="0" xfId="0" applyFill="1"/>
    <xf numFmtId="0" fontId="1" fillId="22" borderId="0" xfId="0" applyFont="1" applyFill="1"/>
    <xf numFmtId="1" fontId="0" fillId="0" borderId="0" xfId="0" applyNumberFormat="1" applyAlignment="1">
      <alignment horizontal="center" vertical="center"/>
    </xf>
    <xf numFmtId="0" fontId="0" fillId="14" borderId="0" xfId="0" applyFill="1"/>
    <xf numFmtId="0" fontId="0" fillId="2" borderId="0" xfId="0" applyFill="1"/>
    <xf numFmtId="166" fontId="0" fillId="0" borderId="0" xfId="2" applyNumberFormat="1" applyFont="1" applyAlignment="1">
      <alignment horizontal="center" vertical="center"/>
    </xf>
    <xf numFmtId="166" fontId="0" fillId="5" borderId="0" xfId="2" applyNumberFormat="1" applyFont="1" applyFill="1" applyAlignment="1">
      <alignment horizontal="center" vertical="center"/>
    </xf>
    <xf numFmtId="0" fontId="7" fillId="2" borderId="0" xfId="0" applyFont="1" applyFill="1"/>
    <xf numFmtId="2" fontId="0" fillId="5" borderId="0" xfId="2" applyNumberFormat="1" applyFont="1" applyFill="1" applyAlignment="1">
      <alignment horizontal="center" vertical="center"/>
    </xf>
    <xf numFmtId="0" fontId="0" fillId="5" borderId="6" xfId="2" applyNumberFormat="1" applyFont="1" applyFill="1" applyBorder="1" applyAlignment="1">
      <alignment horizontal="center" vertical="center"/>
    </xf>
    <xf numFmtId="1" fontId="0" fillId="0" borderId="0" xfId="0" applyNumberFormat="1"/>
    <xf numFmtId="0" fontId="5" fillId="10" borderId="0" xfId="0" applyFont="1" applyFill="1"/>
    <xf numFmtId="0" fontId="0" fillId="0" borderId="0" xfId="1" applyNumberFormat="1" applyFon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0" fontId="0" fillId="5" borderId="0" xfId="2" applyNumberFormat="1" applyFont="1" applyFill="1" applyAlignment="1">
      <alignment horizontal="center" vertical="center"/>
    </xf>
    <xf numFmtId="0" fontId="0" fillId="5" borderId="0" xfId="0" applyNumberFormat="1" applyFill="1" applyAlignment="1">
      <alignment horizontal="center" vertical="center"/>
    </xf>
    <xf numFmtId="0" fontId="3" fillId="4" borderId="0" xfId="0" applyFont="1" applyFill="1" applyBorder="1" applyAlignment="1">
      <alignment horizontal="center" vertical="center"/>
    </xf>
    <xf numFmtId="0" fontId="0" fillId="14" borderId="0" xfId="0" applyNumberFormat="1" applyFill="1" applyBorder="1" applyAlignment="1">
      <alignment horizontal="center" vertical="center"/>
    </xf>
    <xf numFmtId="1" fontId="0" fillId="14" borderId="5" xfId="0" applyNumberFormat="1" applyFill="1" applyBorder="1" applyAlignment="1">
      <alignment horizontal="center" vertical="center"/>
    </xf>
    <xf numFmtId="1" fontId="0" fillId="15" borderId="5" xfId="0" applyNumberFormat="1" applyFill="1" applyBorder="1" applyAlignment="1">
      <alignment horizontal="center" vertical="center"/>
    </xf>
    <xf numFmtId="1" fontId="0" fillId="19" borderId="5" xfId="0" applyNumberFormat="1" applyFill="1" applyBorder="1" applyAlignment="1">
      <alignment horizontal="center" vertical="center"/>
    </xf>
    <xf numFmtId="1" fontId="0" fillId="18" borderId="5" xfId="0" applyNumberFormat="1" applyFill="1" applyBorder="1" applyAlignment="1">
      <alignment horizontal="center" vertical="center"/>
    </xf>
    <xf numFmtId="1" fontId="0" fillId="20" borderId="5" xfId="0" applyNumberFormat="1" applyFill="1" applyBorder="1" applyAlignment="1">
      <alignment horizontal="center" vertical="center"/>
    </xf>
    <xf numFmtId="1" fontId="3" fillId="4" borderId="0" xfId="0" applyNumberFormat="1" applyFont="1" applyFill="1" applyBorder="1" applyAlignment="1">
      <alignment horizontal="center" vertical="center"/>
    </xf>
    <xf numFmtId="0" fontId="5" fillId="11" borderId="7" xfId="0" applyFont="1" applyFill="1" applyBorder="1"/>
    <xf numFmtId="167" fontId="0" fillId="14" borderId="0" xfId="0" applyNumberFormat="1" applyFill="1" applyBorder="1" applyAlignment="1">
      <alignment horizontal="center" vertical="center"/>
    </xf>
    <xf numFmtId="0" fontId="0" fillId="12" borderId="0" xfId="0" applyFill="1" applyBorder="1" applyAlignment="1">
      <alignment horizontal="center" vertical="center"/>
    </xf>
    <xf numFmtId="0" fontId="1" fillId="24" borderId="0" xfId="0" applyFont="1" applyFill="1"/>
    <xf numFmtId="0" fontId="1" fillId="25" borderId="0" xfId="0" applyFont="1" applyFill="1"/>
    <xf numFmtId="0" fontId="4" fillId="25" borderId="0" xfId="0" applyFont="1" applyFill="1"/>
    <xf numFmtId="0" fontId="0" fillId="23" borderId="14" xfId="0" applyFill="1" applyBorder="1" applyAlignment="1">
      <alignment horizontal="center" vertical="center"/>
    </xf>
    <xf numFmtId="0" fontId="0" fillId="23" borderId="15" xfId="0" applyFill="1" applyBorder="1" applyAlignment="1">
      <alignment horizontal="center" vertical="center"/>
    </xf>
    <xf numFmtId="0" fontId="0" fillId="12" borderId="15" xfId="0" applyFill="1" applyBorder="1" applyAlignment="1">
      <alignment horizontal="center" vertical="center"/>
    </xf>
    <xf numFmtId="0" fontId="0" fillId="27" borderId="15" xfId="0" applyFill="1" applyBorder="1" applyAlignment="1">
      <alignment horizontal="center" vertical="center"/>
    </xf>
    <xf numFmtId="0" fontId="0" fillId="27" borderId="16" xfId="0" applyFill="1" applyBorder="1" applyAlignment="1">
      <alignment horizontal="center" vertical="center"/>
    </xf>
    <xf numFmtId="0" fontId="0" fillId="23" borderId="17" xfId="0" applyFill="1" applyBorder="1" applyAlignment="1">
      <alignment horizontal="center" vertical="center"/>
    </xf>
    <xf numFmtId="0" fontId="0" fillId="23" borderId="0" xfId="0" applyFill="1" applyBorder="1" applyAlignment="1">
      <alignment horizontal="center" vertical="center"/>
    </xf>
    <xf numFmtId="0" fontId="0" fillId="27" borderId="0" xfId="0" applyFill="1" applyBorder="1" applyAlignment="1">
      <alignment horizontal="center" vertical="center"/>
    </xf>
    <xf numFmtId="0" fontId="0" fillId="27" borderId="18" xfId="0" applyFill="1" applyBorder="1" applyAlignment="1">
      <alignment horizontal="center" vertical="center"/>
    </xf>
    <xf numFmtId="0" fontId="0" fillId="24" borderId="0" xfId="0" applyFill="1" applyBorder="1" applyAlignment="1">
      <alignment horizontal="center" vertical="center"/>
    </xf>
    <xf numFmtId="0" fontId="0" fillId="26" borderId="17" xfId="0" applyFill="1" applyBorder="1" applyAlignment="1">
      <alignment horizontal="center" vertical="center"/>
    </xf>
    <xf numFmtId="0" fontId="0" fillId="26" borderId="0" xfId="0" applyFill="1" applyBorder="1" applyAlignment="1">
      <alignment horizontal="center" vertical="center"/>
    </xf>
    <xf numFmtId="0" fontId="0" fillId="24" borderId="22" xfId="0" applyFill="1" applyBorder="1" applyAlignment="1">
      <alignment horizontal="center" vertical="center"/>
    </xf>
    <xf numFmtId="0" fontId="0" fillId="25" borderId="0" xfId="0" applyFill="1" applyBorder="1" applyAlignment="1">
      <alignment horizontal="center" vertical="center"/>
    </xf>
    <xf numFmtId="0" fontId="0" fillId="13" borderId="0" xfId="0" applyFill="1" applyBorder="1" applyAlignment="1">
      <alignment horizontal="center" vertical="center"/>
    </xf>
    <xf numFmtId="0" fontId="0" fillId="26" borderId="18" xfId="0" applyFill="1" applyBorder="1" applyAlignment="1">
      <alignment horizontal="center" vertical="center"/>
    </xf>
    <xf numFmtId="0" fontId="0" fillId="26" borderId="19" xfId="0" applyFill="1" applyBorder="1" applyAlignment="1">
      <alignment horizontal="center" vertical="center"/>
    </xf>
    <xf numFmtId="0" fontId="0" fillId="26" borderId="20" xfId="0" applyFill="1" applyBorder="1" applyAlignment="1">
      <alignment horizontal="center" vertical="center"/>
    </xf>
    <xf numFmtId="0" fontId="0" fillId="25" borderId="20" xfId="0" applyFill="1" applyBorder="1" applyAlignment="1">
      <alignment horizontal="center" vertical="center"/>
    </xf>
    <xf numFmtId="0" fontId="0" fillId="13" borderId="20" xfId="0" applyFill="1" applyBorder="1" applyAlignment="1">
      <alignment horizontal="center" vertical="center"/>
    </xf>
    <xf numFmtId="0" fontId="0" fillId="26" borderId="21" xfId="0" applyFill="1" applyBorder="1" applyAlignment="1">
      <alignment horizontal="center" vertical="center"/>
    </xf>
    <xf numFmtId="0" fontId="0" fillId="27" borderId="0" xfId="0" applyFill="1"/>
    <xf numFmtId="0" fontId="0" fillId="24" borderId="0" xfId="0" applyFill="1"/>
    <xf numFmtId="167" fontId="0" fillId="14" borderId="0" xfId="0" applyNumberFormat="1" applyFill="1" applyAlignment="1">
      <alignment horizontal="center" vertical="center"/>
    </xf>
    <xf numFmtId="167" fontId="0" fillId="15" borderId="0" xfId="0" applyNumberFormat="1" applyFill="1" applyAlignment="1">
      <alignment horizontal="center" vertical="center"/>
    </xf>
    <xf numFmtId="167" fontId="0" fillId="8" borderId="0" xfId="0" applyNumberFormat="1" applyFill="1" applyAlignment="1">
      <alignment horizontal="center" vertical="center"/>
    </xf>
    <xf numFmtId="167" fontId="0" fillId="19" borderId="0" xfId="0" applyNumberFormat="1" applyFill="1" applyAlignment="1">
      <alignment horizontal="center" vertical="center"/>
    </xf>
    <xf numFmtId="167" fontId="0" fillId="18" borderId="0" xfId="0" applyNumberFormat="1" applyFill="1" applyAlignment="1">
      <alignment horizontal="center" vertical="center"/>
    </xf>
    <xf numFmtId="167" fontId="0" fillId="20" borderId="0" xfId="0" applyNumberFormat="1" applyFill="1" applyAlignment="1">
      <alignment horizontal="center" vertical="center"/>
    </xf>
    <xf numFmtId="0" fontId="3" fillId="4" borderId="0" xfId="0" applyFont="1" applyFill="1" applyBorder="1" applyAlignment="1">
      <alignment horizontal="left" vertical="top"/>
    </xf>
    <xf numFmtId="1" fontId="0" fillId="5" borderId="0" xfId="0" applyNumberFormat="1" applyFill="1" applyAlignment="1">
      <alignment horizontal="center" vertical="center"/>
    </xf>
    <xf numFmtId="0" fontId="0" fillId="21" borderId="4" xfId="0" applyFill="1" applyBorder="1" applyAlignment="1">
      <alignment horizontal="center" vertical="center"/>
    </xf>
    <xf numFmtId="0" fontId="0" fillId="21" borderId="6" xfId="0" applyFill="1" applyBorder="1" applyAlignment="1">
      <alignment horizontal="center" vertical="center"/>
    </xf>
    <xf numFmtId="0" fontId="0" fillId="17" borderId="4" xfId="0" applyFill="1" applyBorder="1" applyAlignment="1">
      <alignment horizontal="center" vertical="center"/>
    </xf>
    <xf numFmtId="0" fontId="0" fillId="17" borderId="6" xfId="0" applyFill="1" applyBorder="1" applyAlignment="1">
      <alignment horizontal="center" vertical="center"/>
    </xf>
    <xf numFmtId="167" fontId="0" fillId="17" borderId="4" xfId="0" applyNumberFormat="1" applyFill="1" applyBorder="1" applyAlignment="1">
      <alignment horizontal="center" vertical="center"/>
    </xf>
    <xf numFmtId="9" fontId="0" fillId="0" borderId="0" xfId="1" applyNumberFormat="1" applyFont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0" fontId="1" fillId="11" borderId="7" xfId="0" applyFont="1" applyFill="1" applyBorder="1"/>
    <xf numFmtId="0" fontId="5" fillId="11" borderId="0" xfId="0" applyFont="1" applyFill="1" applyBorder="1"/>
    <xf numFmtId="166" fontId="0" fillId="0" borderId="0" xfId="2" applyNumberFormat="1" applyFont="1"/>
    <xf numFmtId="1" fontId="0" fillId="0" borderId="0" xfId="1" applyNumberFormat="1" applyFont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5" fillId="26" borderId="0" xfId="0" applyFont="1" applyFill="1"/>
    <xf numFmtId="166" fontId="0" fillId="0" borderId="0" xfId="2" quotePrefix="1" applyNumberFormat="1" applyFont="1" applyAlignment="1">
      <alignment horizontal="center" vertical="center"/>
    </xf>
    <xf numFmtId="0" fontId="3" fillId="4" borderId="0" xfId="0" applyFont="1" applyFill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9" fillId="7" borderId="0" xfId="0" applyFont="1" applyFill="1"/>
    <xf numFmtId="0" fontId="5" fillId="7" borderId="0" xfId="0" applyFont="1" applyFill="1"/>
    <xf numFmtId="0" fontId="0" fillId="0" borderId="0" xfId="0" applyFont="1" applyAlignment="1">
      <alignment horizontal="center" vertical="center"/>
    </xf>
    <xf numFmtId="0" fontId="5" fillId="4" borderId="0" xfId="0" applyFont="1" applyFill="1" applyAlignment="1">
      <alignment horizontal="left" vertical="top"/>
    </xf>
    <xf numFmtId="0" fontId="3" fillId="28" borderId="0" xfId="0" applyFont="1" applyFill="1"/>
    <xf numFmtId="0" fontId="0" fillId="5" borderId="0" xfId="0" applyFill="1" applyAlignment="1">
      <alignment horizontal="center" vertical="center" wrapText="1"/>
    </xf>
    <xf numFmtId="0" fontId="0" fillId="29" borderId="0" xfId="0" applyFill="1" applyAlignment="1">
      <alignment horizontal="center" vertical="center"/>
    </xf>
    <xf numFmtId="0" fontId="0" fillId="15" borderId="7" xfId="0" applyFill="1" applyBorder="1" applyAlignment="1">
      <alignment horizontal="center" vertical="center"/>
    </xf>
    <xf numFmtId="0" fontId="0" fillId="30" borderId="2" xfId="0" applyFill="1" applyBorder="1" applyAlignment="1">
      <alignment horizontal="center" vertical="center"/>
    </xf>
    <xf numFmtId="0" fontId="0" fillId="30" borderId="7" xfId="0" applyFill="1" applyBorder="1" applyAlignment="1">
      <alignment horizontal="center" vertical="center"/>
    </xf>
    <xf numFmtId="0" fontId="0" fillId="13" borderId="2" xfId="0" applyFill="1" applyBorder="1" applyAlignment="1">
      <alignment horizontal="center" vertical="center"/>
    </xf>
    <xf numFmtId="0" fontId="0" fillId="13" borderId="7" xfId="0" applyFill="1" applyBorder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7" xfId="0" applyFill="1" applyBorder="1" applyAlignment="1">
      <alignment horizontal="center" vertical="center"/>
    </xf>
    <xf numFmtId="0" fontId="0" fillId="26" borderId="2" xfId="0" applyFill="1" applyBorder="1" applyAlignment="1">
      <alignment horizontal="center" vertical="center"/>
    </xf>
    <xf numFmtId="0" fontId="0" fillId="26" borderId="7" xfId="0" applyFill="1" applyBorder="1" applyAlignment="1">
      <alignment horizontal="center" vertical="center"/>
    </xf>
    <xf numFmtId="167" fontId="0" fillId="21" borderId="0" xfId="0" applyNumberFormat="1" applyFill="1" applyAlignment="1">
      <alignment horizontal="center" vertical="center"/>
    </xf>
    <xf numFmtId="1" fontId="0" fillId="6" borderId="0" xfId="0" applyNumberFormat="1" applyFill="1" applyAlignment="1">
      <alignment horizontal="center" vertical="center"/>
    </xf>
    <xf numFmtId="0" fontId="7" fillId="4" borderId="0" xfId="0" applyFont="1" applyFill="1" applyBorder="1" applyAlignment="1">
      <alignment horizontal="left" vertical="top"/>
    </xf>
    <xf numFmtId="0" fontId="12" fillId="24" borderId="0" xfId="0" applyFont="1" applyFill="1"/>
    <xf numFmtId="0" fontId="1" fillId="29" borderId="7" xfId="0" applyFont="1" applyFill="1" applyBorder="1" applyAlignment="1">
      <alignment horizontal="left" vertical="top"/>
    </xf>
    <xf numFmtId="0" fontId="0" fillId="29" borderId="7" xfId="0" applyFill="1" applyBorder="1" applyAlignment="1">
      <alignment horizontal="left" vertical="top"/>
    </xf>
    <xf numFmtId="0" fontId="8" fillId="11" borderId="7" xfId="0" applyFont="1" applyFill="1" applyBorder="1" applyAlignment="1">
      <alignment horizontal="center" vertical="center"/>
    </xf>
    <xf numFmtId="0" fontId="0" fillId="5" borderId="0" xfId="0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7" xfId="0" applyNumberFormat="1" applyBorder="1" applyAlignment="1">
      <alignment horizontal="center" vertical="center"/>
    </xf>
    <xf numFmtId="0" fontId="0" fillId="0" borderId="0" xfId="0" applyNumberFormat="1" applyBorder="1" applyAlignment="1">
      <alignment horizontal="center" vertical="center"/>
    </xf>
    <xf numFmtId="0" fontId="3" fillId="11" borderId="0" xfId="0" applyFont="1" applyFill="1" applyBorder="1" applyAlignment="1">
      <alignment horizontal="center" vertical="center"/>
    </xf>
    <xf numFmtId="0" fontId="13" fillId="4" borderId="0" xfId="0" applyFont="1" applyFill="1" applyAlignment="1">
      <alignment horizontal="center" vertical="center"/>
    </xf>
    <xf numFmtId="0" fontId="14" fillId="31" borderId="23" xfId="0" applyFont="1" applyFill="1" applyBorder="1" applyAlignment="1">
      <alignment horizontal="right"/>
    </xf>
    <xf numFmtId="0" fontId="14" fillId="32" borderId="23" xfId="0" applyFont="1" applyFill="1" applyBorder="1" applyAlignment="1">
      <alignment horizontal="right"/>
    </xf>
    <xf numFmtId="0" fontId="0" fillId="0" borderId="13" xfId="0" applyBorder="1" applyAlignment="1">
      <alignment horizontal="center" vertical="center"/>
    </xf>
    <xf numFmtId="0" fontId="0" fillId="0" borderId="13" xfId="0" applyNumberForma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2" xfId="0" applyNumberFormat="1" applyBorder="1" applyAlignment="1">
      <alignment horizontal="center" vertical="center"/>
    </xf>
    <xf numFmtId="0" fontId="0" fillId="0" borderId="24" xfId="0" applyNumberFormat="1" applyBorder="1" applyAlignment="1">
      <alignment horizontal="center" vertical="center"/>
    </xf>
    <xf numFmtId="2" fontId="0" fillId="21" borderId="0" xfId="0" applyNumberFormat="1" applyFill="1" applyAlignment="1">
      <alignment horizontal="center" vertical="center"/>
    </xf>
    <xf numFmtId="0" fontId="0" fillId="0" borderId="0" xfId="0" applyAlignment="1">
      <alignment vertical="center" wrapText="1"/>
    </xf>
    <xf numFmtId="0" fontId="3" fillId="11" borderId="0" xfId="0" applyFont="1" applyFill="1" applyAlignment="1">
      <alignment vertical="center" wrapText="1"/>
    </xf>
    <xf numFmtId="0" fontId="0" fillId="16" borderId="0" xfId="0" applyFill="1"/>
    <xf numFmtId="0" fontId="0" fillId="16" borderId="7" xfId="0" applyFill="1" applyBorder="1" applyAlignment="1">
      <alignment vertical="center" wrapText="1"/>
    </xf>
    <xf numFmtId="0" fontId="12" fillId="10" borderId="0" xfId="0" applyFont="1" applyFill="1"/>
    <xf numFmtId="0" fontId="3" fillId="11" borderId="0" xfId="0" applyFont="1" applyFill="1" applyAlignment="1">
      <alignment horizontal="center" vertical="center"/>
    </xf>
    <xf numFmtId="0" fontId="2" fillId="5" borderId="0" xfId="1" applyNumberFormat="1" applyFont="1" applyFill="1" applyAlignment="1">
      <alignment horizontal="center" vertical="center"/>
    </xf>
    <xf numFmtId="0" fontId="2" fillId="33" borderId="0" xfId="1" applyNumberFormat="1" applyFont="1" applyFill="1" applyAlignment="1">
      <alignment horizontal="center" vertical="center"/>
    </xf>
    <xf numFmtId="0" fontId="0" fillId="16" borderId="6" xfId="0" applyFill="1" applyBorder="1" applyAlignment="1">
      <alignment horizontal="center" vertical="center"/>
    </xf>
    <xf numFmtId="0" fontId="0" fillId="16" borderId="5" xfId="0" applyFill="1" applyBorder="1" applyAlignment="1">
      <alignment horizontal="center" vertical="center"/>
    </xf>
    <xf numFmtId="0" fontId="3" fillId="11" borderId="6" xfId="0" applyFont="1" applyFill="1" applyBorder="1" applyAlignment="1">
      <alignment horizontal="center" vertical="center"/>
    </xf>
    <xf numFmtId="0" fontId="3" fillId="11" borderId="5" xfId="0" applyFont="1" applyFill="1" applyBorder="1" applyAlignment="1">
      <alignment horizontal="center" vertical="center"/>
    </xf>
    <xf numFmtId="0" fontId="0" fillId="16" borderId="0" xfId="0" applyFill="1" applyBorder="1" applyAlignment="1">
      <alignment horizontal="center" vertical="center"/>
    </xf>
    <xf numFmtId="164" fontId="0" fillId="0" borderId="0" xfId="2" applyFont="1"/>
    <xf numFmtId="166" fontId="0" fillId="6" borderId="0" xfId="2" applyNumberFormat="1" applyFont="1" applyFill="1" applyAlignment="1">
      <alignment horizontal="center" vertical="center"/>
    </xf>
    <xf numFmtId="166" fontId="0" fillId="0" borderId="0" xfId="0" applyNumberFormat="1"/>
    <xf numFmtId="9" fontId="0" fillId="6" borderId="0" xfId="1" applyFont="1" applyFill="1" applyAlignment="1">
      <alignment horizontal="center" vertical="center"/>
    </xf>
    <xf numFmtId="0" fontId="3" fillId="4" borderId="33" xfId="0" applyFont="1" applyFill="1" applyBorder="1" applyAlignment="1">
      <alignment horizontal="center" vertical="center"/>
    </xf>
    <xf numFmtId="166" fontId="0" fillId="6" borderId="33" xfId="2" applyNumberFormat="1" applyFont="1" applyFill="1" applyBorder="1" applyAlignment="1">
      <alignment horizontal="center" vertical="center"/>
    </xf>
    <xf numFmtId="0" fontId="0" fillId="0" borderId="33" xfId="0" applyBorder="1"/>
    <xf numFmtId="0" fontId="3" fillId="4" borderId="35" xfId="0" applyFont="1" applyFill="1" applyBorder="1" applyAlignment="1">
      <alignment horizontal="center" vertical="center"/>
    </xf>
    <xf numFmtId="0" fontId="0" fillId="5" borderId="36" xfId="0" applyFill="1" applyBorder="1" applyAlignment="1">
      <alignment horizontal="center" vertical="center"/>
    </xf>
    <xf numFmtId="0" fontId="0" fillId="5" borderId="37" xfId="0" applyFill="1" applyBorder="1" applyAlignment="1">
      <alignment horizontal="center" vertical="center"/>
    </xf>
    <xf numFmtId="0" fontId="0" fillId="5" borderId="38" xfId="0" applyFill="1" applyBorder="1" applyAlignment="1">
      <alignment horizontal="center" vertical="center"/>
    </xf>
    <xf numFmtId="0" fontId="0" fillId="5" borderId="39" xfId="0" applyFill="1" applyBorder="1" applyAlignment="1">
      <alignment horizontal="center" vertical="center"/>
    </xf>
    <xf numFmtId="0" fontId="3" fillId="4" borderId="34" xfId="0" applyFont="1" applyFill="1" applyBorder="1" applyAlignment="1">
      <alignment horizontal="center" vertical="center"/>
    </xf>
    <xf numFmtId="9" fontId="0" fillId="5" borderId="35" xfId="1" applyFont="1" applyFill="1" applyBorder="1" applyAlignment="1">
      <alignment horizontal="center" vertical="center"/>
    </xf>
    <xf numFmtId="0" fontId="3" fillId="4" borderId="37" xfId="0" applyFont="1" applyFill="1" applyBorder="1" applyAlignment="1">
      <alignment horizontal="center" vertical="center"/>
    </xf>
    <xf numFmtId="0" fontId="3" fillId="4" borderId="38" xfId="0" applyFont="1" applyFill="1" applyBorder="1" applyAlignment="1">
      <alignment horizontal="center" vertical="center"/>
    </xf>
    <xf numFmtId="0" fontId="0" fillId="34" borderId="25" xfId="0" applyFill="1" applyBorder="1"/>
    <xf numFmtId="0" fontId="0" fillId="35" borderId="40" xfId="0" applyFill="1" applyBorder="1"/>
    <xf numFmtId="0" fontId="0" fillId="35" borderId="31" xfId="0" applyFill="1" applyBorder="1"/>
    <xf numFmtId="0" fontId="0" fillId="35" borderId="30" xfId="0" applyFill="1" applyBorder="1"/>
    <xf numFmtId="0" fontId="0" fillId="35" borderId="28" xfId="0" applyFill="1" applyBorder="1"/>
    <xf numFmtId="0" fontId="7" fillId="4" borderId="2" xfId="0" applyFont="1" applyFill="1" applyBorder="1"/>
    <xf numFmtId="0" fontId="0" fillId="3" borderId="25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16" borderId="6" xfId="0" applyFont="1" applyFill="1" applyBorder="1" applyAlignment="1">
      <alignment horizontal="center" vertical="center"/>
    </xf>
    <xf numFmtId="0" fontId="6" fillId="0" borderId="0" xfId="0" applyFont="1"/>
    <xf numFmtId="0" fontId="0" fillId="36" borderId="6" xfId="0" applyFill="1" applyBorder="1" applyAlignment="1">
      <alignment horizontal="center" vertical="center"/>
    </xf>
    <xf numFmtId="0" fontId="0" fillId="36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Font="1" applyBorder="1" applyAlignment="1"/>
    <xf numFmtId="0" fontId="0" fillId="5" borderId="0" xfId="0" applyFont="1" applyFill="1" applyBorder="1" applyAlignment="1"/>
    <xf numFmtId="0" fontId="0" fillId="36" borderId="0" xfId="0" applyFont="1" applyFill="1" applyBorder="1" applyAlignment="1"/>
    <xf numFmtId="0" fontId="0" fillId="36" borderId="5" xfId="0" applyFill="1" applyBorder="1" applyAlignment="1">
      <alignment horizontal="center" vertical="center"/>
    </xf>
    <xf numFmtId="0" fontId="6" fillId="0" borderId="0" xfId="0" applyNumberFormat="1" applyFont="1" applyAlignment="1">
      <alignment horizontal="center" vertical="center"/>
    </xf>
    <xf numFmtId="0" fontId="6" fillId="0" borderId="0" xfId="0" applyNumberFormat="1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15" fillId="36" borderId="0" xfId="0" applyFont="1" applyFill="1" applyAlignment="1"/>
    <xf numFmtId="0" fontId="0" fillId="36" borderId="0" xfId="0" applyNumberFormat="1" applyFill="1" applyBorder="1" applyAlignment="1">
      <alignment horizontal="center" vertical="center"/>
    </xf>
    <xf numFmtId="9" fontId="0" fillId="39" borderId="0" xfId="1" applyFont="1" applyFill="1" applyAlignment="1">
      <alignment horizontal="center" vertical="center"/>
    </xf>
    <xf numFmtId="1" fontId="0" fillId="39" borderId="0" xfId="0" applyNumberFormat="1" applyFill="1" applyAlignment="1">
      <alignment horizontal="center" vertical="center"/>
    </xf>
    <xf numFmtId="0" fontId="0" fillId="0" borderId="0" xfId="0" applyFill="1" applyBorder="1" applyAlignment="1">
      <alignment horizontal="left"/>
    </xf>
    <xf numFmtId="0" fontId="0" fillId="0" borderId="0" xfId="0" quotePrefix="1"/>
    <xf numFmtId="0" fontId="0" fillId="0" borderId="0" xfId="0" applyFill="1" applyBorder="1"/>
    <xf numFmtId="0" fontId="4" fillId="13" borderId="29" xfId="0" applyFont="1" applyFill="1" applyBorder="1"/>
    <xf numFmtId="0" fontId="4" fillId="19" borderId="29" xfId="0" applyFont="1" applyFill="1" applyBorder="1"/>
    <xf numFmtId="0" fontId="4" fillId="38" borderId="29" xfId="0" applyFont="1" applyFill="1" applyBorder="1"/>
    <xf numFmtId="0" fontId="4" fillId="37" borderId="32" xfId="0" applyFont="1" applyFill="1" applyBorder="1" applyAlignment="1">
      <alignment horizontal="center"/>
    </xf>
    <xf numFmtId="0" fontId="6" fillId="27" borderId="27" xfId="0" applyFont="1" applyFill="1" applyBorder="1" applyAlignment="1">
      <alignment horizontal="center"/>
    </xf>
    <xf numFmtId="0" fontId="6" fillId="27" borderId="26" xfId="0" applyFont="1" applyFill="1" applyBorder="1" applyAlignment="1">
      <alignment horizontal="center"/>
    </xf>
    <xf numFmtId="0" fontId="6" fillId="35" borderId="27" xfId="0" applyFont="1" applyFill="1" applyBorder="1" applyAlignment="1">
      <alignment horizontal="center"/>
    </xf>
    <xf numFmtId="0" fontId="6" fillId="35" borderId="26" xfId="0" applyFont="1" applyFill="1" applyBorder="1" applyAlignment="1">
      <alignment horizontal="center"/>
    </xf>
    <xf numFmtId="0" fontId="5" fillId="11" borderId="0" xfId="0" applyFont="1" applyFill="1" applyBorder="1" applyAlignment="1">
      <alignment horizontal="center"/>
    </xf>
    <xf numFmtId="0" fontId="0" fillId="0" borderId="0" xfId="0" applyAlignment="1">
      <alignment horizontal="center" vertical="center" wrapText="1"/>
    </xf>
    <xf numFmtId="0" fontId="7" fillId="11" borderId="7" xfId="0" applyFont="1" applyFill="1" applyBorder="1" applyAlignment="1">
      <alignment horizontal="center"/>
    </xf>
    <xf numFmtId="0" fontId="7" fillId="11" borderId="0" xfId="0" applyFont="1" applyFill="1" applyBorder="1" applyAlignment="1">
      <alignment horizontal="center"/>
    </xf>
    <xf numFmtId="0" fontId="3" fillId="11" borderId="10" xfId="0" applyFont="1" applyFill="1" applyBorder="1" applyAlignment="1">
      <alignment horizontal="center" vertical="center"/>
    </xf>
    <xf numFmtId="0" fontId="3" fillId="11" borderId="11" xfId="0" applyFont="1" applyFill="1" applyBorder="1" applyAlignment="1">
      <alignment horizontal="center" vertical="center"/>
    </xf>
    <xf numFmtId="0" fontId="0" fillId="3" borderId="2" xfId="0" applyFill="1" applyBorder="1" applyAlignment="1">
      <alignment horizontal="left" vertical="top" wrapText="1"/>
    </xf>
    <xf numFmtId="0" fontId="0" fillId="3" borderId="0" xfId="0" applyFill="1" applyAlignment="1">
      <alignment horizontal="left" vertical="top" wrapText="1"/>
    </xf>
    <xf numFmtId="0" fontId="0" fillId="3" borderId="0" xfId="0" applyFill="1" applyAlignment="1">
      <alignment horizontal="center" vertical="center" wrapText="1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" fillId="4" borderId="7" xfId="0" applyFont="1" applyFill="1" applyBorder="1" applyAlignment="1">
      <alignment horizontal="center" vertical="center"/>
    </xf>
    <xf numFmtId="0" fontId="0" fillId="0" borderId="2" xfId="0" applyBorder="1" applyAlignment="1">
      <alignment horizontal="center"/>
    </xf>
  </cellXfs>
  <cellStyles count="4">
    <cellStyle name="Currency" xfId="2" builtinId="4"/>
    <cellStyle name="Currency 2" xfId="3"/>
    <cellStyle name="Normal" xfId="0" builtinId="0"/>
    <cellStyle name="Percent" xfId="1" builtinId="5"/>
  </cellStyles>
  <dxfs count="455">
    <dxf>
      <alignment horizontal="center" vertical="center" textRotation="0" wrapText="0" indent="0" justifyLastLine="0" shrinkToFit="0" readingOrder="0"/>
    </dxf>
    <dxf>
      <numFmt numFmtId="1" formatCode="0"/>
    </dxf>
    <dxf>
      <alignment horizontal="center" vertical="center" textRotation="0" wrapText="0" indent="0" justifyLastLine="0" shrinkToFit="0" readingOrder="0"/>
    </dxf>
    <dxf>
      <numFmt numFmtId="166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6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166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66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</font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/>
        <top/>
        <bottom style="thin">
          <color theme="0"/>
        </bottom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/>
        <top/>
        <bottom style="thin">
          <color theme="0"/>
        </bottom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/>
        <top/>
        <bottom style="thin">
          <color theme="0"/>
        </bottom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/>
        <top/>
        <bottom style="thin">
          <color theme="0"/>
        </bottom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/>
        <top/>
        <bottom style="thin">
          <color theme="0"/>
        </bottom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6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0"/>
        </top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0"/>
        </top>
      </border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0"/>
        </top>
      </border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6" formatCode="_-[$$-409]* #,##0.00_ ;_-[$$-409]* \-#,##0.00\ ;_-[$$-409]* &quot;-&quot;??_ ;_-@_ 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0"/>
        </top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0"/>
        </top>
      </border>
    </dxf>
    <dxf>
      <numFmt numFmtId="1" formatCode="0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65" formatCode="0.0%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0.0%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4" formatCode="0.00%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3" formatCode="0%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0.0%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4" formatCode="0.00%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7" formatCode="0.0"/>
      <alignment horizontal="center" vertical="center" textRotation="0" wrapText="0" indent="0" justifyLastLine="0" shrinkToFit="0" readingOrder="0"/>
    </dxf>
    <dxf>
      <numFmt numFmtId="167" formatCode="0.0"/>
      <alignment horizontal="center" vertical="center" textRotation="0" wrapText="0" indent="0" justifyLastLine="0" shrinkToFit="0" readingOrder="0"/>
    </dxf>
    <dxf>
      <numFmt numFmtId="167" formatCode="0.0"/>
      <alignment horizontal="center" vertical="center" textRotation="0" wrapText="0" indent="0" justifyLastLine="0" shrinkToFit="0" readingOrder="0"/>
    </dxf>
    <dxf>
      <numFmt numFmtId="167" formatCode="0.0"/>
      <alignment horizontal="center" vertical="center" textRotation="0" wrapText="0" indent="0" justifyLastLine="0" shrinkToFit="0" readingOrder="0"/>
    </dxf>
    <dxf>
      <numFmt numFmtId="167" formatCode="0.0"/>
      <alignment horizontal="center" vertical="center" textRotation="0" wrapText="0" indent="0" justifyLastLine="0" shrinkToFit="0" readingOrder="0"/>
    </dxf>
    <dxf>
      <numFmt numFmtId="167" formatCode="0.0"/>
      <alignment horizontal="center" vertical="center" textRotation="0" wrapText="0" indent="0" justifyLastLine="0" shrinkToFit="0" readingOrder="0"/>
    </dxf>
    <dxf>
      <numFmt numFmtId="167" formatCode="0.0"/>
      <alignment horizontal="center" vertical="center" textRotation="0" wrapText="0" indent="0" justifyLastLine="0" shrinkToFit="0" readingOrder="0"/>
    </dxf>
    <dxf>
      <numFmt numFmtId="167" formatCode="0.0"/>
      <alignment horizontal="center" vertical="center" textRotation="0" wrapText="0" indent="0" justifyLastLine="0" shrinkToFit="0" readingOrder="0"/>
    </dxf>
    <dxf>
      <numFmt numFmtId="167" formatCode="0.0"/>
      <alignment horizontal="center" vertical="center" textRotation="0" wrapText="0" indent="0" justifyLastLine="0" shrinkToFit="0" readingOrder="0"/>
    </dxf>
    <dxf>
      <numFmt numFmtId="167" formatCode="0.0"/>
      <alignment horizontal="center" vertical="center" textRotation="0" wrapText="0" indent="0" justifyLastLine="0" shrinkToFit="0" readingOrder="0"/>
    </dxf>
    <dxf>
      <numFmt numFmtId="167" formatCode="0.0"/>
      <alignment horizontal="center" vertical="center" textRotation="0" wrapText="0" indent="0" justifyLastLine="0" shrinkToFit="0" readingOrder="0"/>
    </dxf>
    <dxf>
      <numFmt numFmtId="167" formatCode="0.0"/>
      <alignment horizontal="center" vertical="center" textRotation="0" wrapText="0" indent="0" justifyLastLine="0" shrinkToFit="0" readingOrder="0"/>
    </dxf>
    <dxf>
      <numFmt numFmtId="167" formatCode="0.0"/>
      <alignment horizontal="center" vertical="center" textRotation="0" wrapText="0" indent="0" justifyLastLine="0" shrinkToFit="0" readingOrder="0"/>
    </dxf>
    <dxf>
      <numFmt numFmtId="167" formatCode="0.0"/>
      <alignment horizontal="center" vertical="center" textRotation="0" wrapText="0" indent="0" justifyLastLine="0" shrinkToFit="0" readingOrder="0"/>
    </dxf>
    <dxf>
      <numFmt numFmtId="167" formatCode="0.0"/>
      <alignment horizontal="center" vertical="center" textRotation="0" wrapText="0" indent="0" justifyLastLine="0" shrinkToFit="0" readingOrder="0"/>
    </dxf>
    <dxf>
      <numFmt numFmtId="167" formatCode="0.0"/>
      <alignment horizontal="center" vertical="center" textRotation="0" wrapText="0" indent="0" justifyLastLine="0" shrinkToFit="0" readingOrder="0"/>
    </dxf>
    <dxf>
      <numFmt numFmtId="167" formatCode="0.0"/>
      <alignment horizontal="center" vertical="center" textRotation="0" wrapText="0" indent="0" justifyLastLine="0" shrinkToFit="0" readingOrder="0"/>
    </dxf>
    <dxf>
      <numFmt numFmtId="167" formatCode="0.0"/>
      <alignment horizontal="center" vertical="center" textRotation="0" wrapText="0" indent="0" justifyLastLine="0" shrinkToFit="0" readingOrder="0"/>
    </dxf>
    <dxf>
      <numFmt numFmtId="167" formatCode="0.0"/>
      <alignment horizontal="center" vertical="center" textRotation="0" wrapText="0" indent="0" justifyLastLine="0" shrinkToFit="0" readingOrder="0"/>
    </dxf>
    <dxf>
      <numFmt numFmtId="167" formatCode="0.0"/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0"/>
        </top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/>
        <top/>
        <bottom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7" formatCode="0.0"/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general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Dark9" defaultPivotStyle="PivotStyleLight16"/>
  <colors>
    <mruColors>
      <color rgb="FFFA7EF1"/>
      <color rgb="FFA66B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ustomXml" Target="../customXml/item6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1.xml"/><Relationship Id="rId42" Type="http://schemas.openxmlformats.org/officeDocument/2006/relationships/customXml" Target="../customXml/item9.xml"/><Relationship Id="rId47" Type="http://schemas.openxmlformats.org/officeDocument/2006/relationships/customXml" Target="../customXml/item14.xml"/><Relationship Id="rId50" Type="http://schemas.openxmlformats.org/officeDocument/2006/relationships/customXml" Target="../customXml/item17.xml"/><Relationship Id="rId55" Type="http://schemas.openxmlformats.org/officeDocument/2006/relationships/customXml" Target="../customXml/item2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connections" Target="connections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powerPivotData" Target="model/item.data"/><Relationship Id="rId37" Type="http://schemas.openxmlformats.org/officeDocument/2006/relationships/customXml" Target="../customXml/item4.xml"/><Relationship Id="rId40" Type="http://schemas.openxmlformats.org/officeDocument/2006/relationships/customXml" Target="../customXml/item7.xml"/><Relationship Id="rId45" Type="http://schemas.openxmlformats.org/officeDocument/2006/relationships/customXml" Target="../customXml/item12.xml"/><Relationship Id="rId53" Type="http://schemas.openxmlformats.org/officeDocument/2006/relationships/customXml" Target="../customXml/item20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35" Type="http://schemas.openxmlformats.org/officeDocument/2006/relationships/customXml" Target="../customXml/item2.xml"/><Relationship Id="rId43" Type="http://schemas.openxmlformats.org/officeDocument/2006/relationships/customXml" Target="../customXml/item10.xml"/><Relationship Id="rId48" Type="http://schemas.openxmlformats.org/officeDocument/2006/relationships/customXml" Target="../customXml/item15.xml"/><Relationship Id="rId56" Type="http://schemas.openxmlformats.org/officeDocument/2006/relationships/customXml" Target="../customXml/item23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38" Type="http://schemas.openxmlformats.org/officeDocument/2006/relationships/customXml" Target="../customXml/item5.xml"/><Relationship Id="rId46" Type="http://schemas.openxmlformats.org/officeDocument/2006/relationships/customXml" Target="../customXml/item13.xml"/><Relationship Id="rId20" Type="http://schemas.openxmlformats.org/officeDocument/2006/relationships/worksheet" Target="worksheets/sheet20.xml"/><Relationship Id="rId41" Type="http://schemas.openxmlformats.org/officeDocument/2006/relationships/customXml" Target="../customXml/item8.xml"/><Relationship Id="rId54" Type="http://schemas.openxmlformats.org/officeDocument/2006/relationships/customXml" Target="../customXml/item2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36" Type="http://schemas.openxmlformats.org/officeDocument/2006/relationships/customXml" Target="../customXml/item3.xml"/><Relationship Id="rId49" Type="http://schemas.openxmlformats.org/officeDocument/2006/relationships/customXml" Target="../customXml/item16.xml"/><Relationship Id="rId57" Type="http://schemas.microsoft.com/office/2006/relationships/vbaProject" Target="vbaProject.bin"/><Relationship Id="rId10" Type="http://schemas.openxmlformats.org/officeDocument/2006/relationships/worksheet" Target="worksheets/sheet10.xml"/><Relationship Id="rId31" Type="http://schemas.openxmlformats.org/officeDocument/2006/relationships/sharedStrings" Target="sharedStrings.xml"/><Relationship Id="rId44" Type="http://schemas.openxmlformats.org/officeDocument/2006/relationships/customXml" Target="../customXml/item11.xml"/><Relationship Id="rId52" Type="http://schemas.openxmlformats.org/officeDocument/2006/relationships/customXml" Target="../customXml/item1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921313590067454"/>
          <c:y val="0.1342786596294972"/>
          <c:w val="0.60671324787473235"/>
          <c:h val="0.67900228675959062"/>
        </c:manualLayout>
      </c:layout>
      <c:lineChart>
        <c:grouping val="standard"/>
        <c:varyColors val="0"/>
        <c:ser>
          <c:idx val="1"/>
          <c:order val="0"/>
          <c:tx>
            <c:strRef>
              <c:f>'Dragons - Unlock'!$A$8</c:f>
              <c:strCache>
                <c:ptCount val="1"/>
                <c:pt idx="0">
                  <c:v>Cost to buy (SC)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'Dragons - Unlock'!$B$8:$M$8</c:f>
              <c:numCache>
                <c:formatCode>General</c:formatCode>
                <c:ptCount val="12"/>
                <c:pt idx="0">
                  <c:v>0</c:v>
                </c:pt>
                <c:pt idx="1">
                  <c:v>2000</c:v>
                </c:pt>
                <c:pt idx="2">
                  <c:v>11000</c:v>
                </c:pt>
                <c:pt idx="3">
                  <c:v>35000</c:v>
                </c:pt>
                <c:pt idx="4">
                  <c:v>88000</c:v>
                </c:pt>
                <c:pt idx="5">
                  <c:v>260000</c:v>
                </c:pt>
                <c:pt idx="6">
                  <c:v>500000</c:v>
                </c:pt>
                <c:pt idx="7">
                  <c:v>870000</c:v>
                </c:pt>
                <c:pt idx="8">
                  <c:v>1400000</c:v>
                </c:pt>
                <c:pt idx="9">
                  <c:v>2200000</c:v>
                </c:pt>
                <c:pt idx="10">
                  <c:v>3300000</c:v>
                </c:pt>
                <c:pt idx="11">
                  <c:v>4800000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D0-4B2D-8E1A-925C045852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4570424"/>
        <c:axId val="314307496"/>
      </c:line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570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 to buy (HC)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v>Cost to buy ($)</c:v>
          </c:tx>
          <c:spPr>
            <a:solidFill>
              <a:schemeClr val="accent2"/>
            </a:solidFill>
            <a:ln>
              <a:noFill/>
            </a:ln>
            <a:effectLst/>
          </c:spPr>
          <c:val>
            <c:numRef>
              <c:f>'Dragons - Unlock'!$B$11:$M$11</c:f>
              <c:numCache>
                <c:formatCode>General</c:formatCode>
                <c:ptCount val="12"/>
                <c:pt idx="0">
                  <c:v>0</c:v>
                </c:pt>
                <c:pt idx="1">
                  <c:v>6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40</c:v>
                </c:pt>
                <c:pt idx="6">
                  <c:v>55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110</c:v>
                </c:pt>
                <c:pt idx="11">
                  <c:v>110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D0-4B2D-8E1A-925C045852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8648816"/>
        <c:axId val="580153264"/>
      </c:areaChart>
      <c:barChart>
        <c:barDir val="col"/>
        <c:grouping val="clustered"/>
        <c:varyColors val="0"/>
        <c:ser>
          <c:idx val="0"/>
          <c:order val="1"/>
          <c:tx>
            <c:v>Cost to buy (HC)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'Dragons - Unlock'!$B$10:$M$10</c:f>
              <c:numCache>
                <c:formatCode>General</c:formatCode>
                <c:ptCount val="12"/>
                <c:pt idx="0">
                  <c:v>0</c:v>
                </c:pt>
                <c:pt idx="1">
                  <c:v>60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400</c:v>
                </c:pt>
                <c:pt idx="6">
                  <c:v>550</c:v>
                </c:pt>
                <c:pt idx="7">
                  <c:v>800</c:v>
                </c:pt>
                <c:pt idx="8">
                  <c:v>800</c:v>
                </c:pt>
                <c:pt idx="9">
                  <c:v>800</c:v>
                </c:pt>
                <c:pt idx="10">
                  <c:v>1100</c:v>
                </c:pt>
                <c:pt idx="11">
                  <c:v>1100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DA-449C-8986-E8C1F90EF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4570424"/>
        <c:axId val="314307496"/>
      </c:bar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570424"/>
        <c:crosses val="autoZero"/>
        <c:crossBetween val="between"/>
      </c:valAx>
      <c:valAx>
        <c:axId val="5801532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8648816"/>
        <c:crosses val="max"/>
        <c:crossBetween val="between"/>
      </c:valAx>
      <c:catAx>
        <c:axId val="768648816"/>
        <c:scaling>
          <c:orientation val="minMax"/>
        </c:scaling>
        <c:delete val="1"/>
        <c:axPos val="b"/>
        <c:majorTickMark val="out"/>
        <c:minorTickMark val="none"/>
        <c:tickLblPos val="nextTo"/>
        <c:crossAx val="5801532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Egg</a:t>
            </a:r>
            <a:r>
              <a:rPr lang="en-US" baseline="0"/>
              <a:t> - </a:t>
            </a:r>
            <a:r>
              <a:rPr lang="en-US"/>
              <a:t>Drop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'Gacha - Chests &amp; Eggs'!$B$25</c:f>
              <c:strCache>
                <c:ptCount val="1"/>
                <c:pt idx="0">
                  <c:v>Drop rate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F8A-49B5-8B09-615206E8995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F8A-49B5-8B09-615206E8995A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6F8A-49B5-8B09-615206E8995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'Gacha - Chests &amp; Eggs'!$A$26:$A$28</c:f>
              <c:numCache>
                <c:formatCode>General</c:formatCode>
                <c:ptCount val="3"/>
                <c:pt idx="0">
                  <c:v>1</c:v>
                </c:pt>
                <c:pt idx="1">
                  <c:v>2</c:v>
                </c:pt>
                <c:pt idx="2">
                  <c:v>3</c:v>
                </c:pt>
              </c:numCache>
            </c:numRef>
          </c:cat>
          <c:val>
            <c:numRef>
              <c:f>'Gacha - Chests &amp; Eggs'!$B$26:$B$28</c:f>
              <c:numCache>
                <c:formatCode>0.0%</c:formatCode>
                <c:ptCount val="3"/>
                <c:pt idx="0">
                  <c:v>0.93036611629576449</c:v>
                </c:pt>
                <c:pt idx="1">
                  <c:v>5.8147882268485281E-2</c:v>
                </c:pt>
                <c:pt idx="2">
                  <c:v>1.1486001435750178E-2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F8A-49B5-8B09-615206E8995A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'Gacha - Chests &amp; Eggs'!$F$59</c:f>
              <c:strCache>
                <c:ptCount val="1"/>
                <c:pt idx="0">
                  <c:v>Drop rate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982-4D04-B430-3152FE491B4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982-4D04-B430-3152FE491B4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982-4D04-B430-3152FE491B43}"/>
              </c:ext>
            </c:extLst>
          </c:dPt>
          <c:cat>
            <c:strRef>
              <c:f>'Gacha - Chests &amp; Eggs'!$E$60:$E$62</c:f>
              <c:strCache>
                <c:ptCount val="3"/>
                <c:pt idx="0">
                  <c:v>Common</c:v>
                </c:pt>
                <c:pt idx="1">
                  <c:v>Rare</c:v>
                </c:pt>
                <c:pt idx="2">
                  <c:v>Epic</c:v>
                </c:pt>
              </c:strCache>
            </c:strRef>
          </c:cat>
          <c:val>
            <c:numRef>
              <c:f>'Gacha - Chests &amp; Eggs'!$F$60:$F$62</c:f>
              <c:numCache>
                <c:formatCode>0.0%</c:formatCode>
                <c:ptCount val="3"/>
                <c:pt idx="0">
                  <c:v>0.81883774614164151</c:v>
                </c:pt>
                <c:pt idx="1">
                  <c:v>0.13443982146893768</c:v>
                </c:pt>
                <c:pt idx="2">
                  <c:v>4.6722432389420941E-2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95-4ADA-8604-5A4F1F400C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'Gatcha - Skins'!$K$22:$K$51</c:f>
              <c:numCache>
                <c:formatCode>General</c:formatCode>
                <c:ptCount val="30"/>
                <c:pt idx="0">
                  <c:v>15</c:v>
                </c:pt>
                <c:pt idx="1">
                  <c:v>20</c:v>
                </c:pt>
                <c:pt idx="2">
                  <c:v>21</c:v>
                </c:pt>
                <c:pt idx="3">
                  <c:v>20</c:v>
                </c:pt>
                <c:pt idx="4">
                  <c:v>24</c:v>
                </c:pt>
                <c:pt idx="5">
                  <c:v>33</c:v>
                </c:pt>
                <c:pt idx="6">
                  <c:v>44</c:v>
                </c:pt>
                <c:pt idx="7">
                  <c:v>51</c:v>
                </c:pt>
                <c:pt idx="8">
                  <c:v>52</c:v>
                </c:pt>
                <c:pt idx="9">
                  <c:v>52</c:v>
                </c:pt>
                <c:pt idx="10">
                  <c:v>54</c:v>
                </c:pt>
                <c:pt idx="11">
                  <c:v>62</c:v>
                </c:pt>
                <c:pt idx="12">
                  <c:v>73</c:v>
                </c:pt>
                <c:pt idx="13">
                  <c:v>81</c:v>
                </c:pt>
                <c:pt idx="14">
                  <c:v>84</c:v>
                </c:pt>
                <c:pt idx="15">
                  <c:v>83</c:v>
                </c:pt>
                <c:pt idx="16">
                  <c:v>84</c:v>
                </c:pt>
                <c:pt idx="17">
                  <c:v>90</c:v>
                </c:pt>
                <c:pt idx="18">
                  <c:v>101</c:v>
                </c:pt>
                <c:pt idx="19">
                  <c:v>110</c:v>
                </c:pt>
                <c:pt idx="20">
                  <c:v>115</c:v>
                </c:pt>
                <c:pt idx="21">
                  <c:v>115</c:v>
                </c:pt>
                <c:pt idx="22">
                  <c:v>115</c:v>
                </c:pt>
                <c:pt idx="23">
                  <c:v>120</c:v>
                </c:pt>
                <c:pt idx="24">
                  <c:v>129</c:v>
                </c:pt>
                <c:pt idx="25">
                  <c:v>140</c:v>
                </c:pt>
                <c:pt idx="26">
                  <c:v>146</c:v>
                </c:pt>
                <c:pt idx="27">
                  <c:v>147</c:v>
                </c:pt>
                <c:pt idx="28">
                  <c:v>146</c:v>
                </c:pt>
                <c:pt idx="29">
                  <c:v>149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5F-4104-8FC4-46279A750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6529760"/>
        <c:axId val="376528096"/>
      </c:scatterChart>
      <c:valAx>
        <c:axId val="376529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528096"/>
        <c:crosses val="autoZero"/>
        <c:crossBetween val="midCat"/>
      </c:valAx>
      <c:valAx>
        <c:axId val="376528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5297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Skins</a:t>
            </a:r>
            <a:r>
              <a:rPr lang="en-US" baseline="0"/>
              <a:t> perceived value visualisation</a:t>
            </a:r>
            <a:endParaRPr lang="en-US"/>
          </a:p>
        </c:rich>
      </c:tx>
      <c:layout>
        <c:manualLayout>
          <c:xMode val="edge"/>
          <c:yMode val="edge"/>
          <c:x val="0.22152077865266842"/>
          <c:y val="5.092592592592592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'Gatcha - Skins'!$R$22:$R$51</c:f>
              <c:numCache>
                <c:formatCode>General</c:formatCode>
                <c:ptCount val="30"/>
                <c:pt idx="0">
                  <c:v>4</c:v>
                </c:pt>
                <c:pt idx="1">
                  <c:v>3</c:v>
                </c:pt>
                <c:pt idx="2">
                  <c:v>12</c:v>
                </c:pt>
                <c:pt idx="3">
                  <c:v>1</c:v>
                </c:pt>
                <c:pt idx="4">
                  <c:v>9</c:v>
                </c:pt>
                <c:pt idx="5">
                  <c:v>5</c:v>
                </c:pt>
                <c:pt idx="6">
                  <c:v>9</c:v>
                </c:pt>
                <c:pt idx="7">
                  <c:v>10</c:v>
                </c:pt>
                <c:pt idx="8">
                  <c:v>5</c:v>
                </c:pt>
                <c:pt idx="9">
                  <c:v>8</c:v>
                </c:pt>
                <c:pt idx="10">
                  <c:v>9</c:v>
                </c:pt>
                <c:pt idx="11">
                  <c:v>8</c:v>
                </c:pt>
                <c:pt idx="12">
                  <c:v>11</c:v>
                </c:pt>
                <c:pt idx="13">
                  <c:v>13</c:v>
                </c:pt>
                <c:pt idx="14">
                  <c:v>6</c:v>
                </c:pt>
                <c:pt idx="15">
                  <c:v>8</c:v>
                </c:pt>
                <c:pt idx="16">
                  <c:v>11</c:v>
                </c:pt>
                <c:pt idx="17">
                  <c:v>14</c:v>
                </c:pt>
                <c:pt idx="18">
                  <c:v>4</c:v>
                </c:pt>
                <c:pt idx="19">
                  <c:v>6</c:v>
                </c:pt>
                <c:pt idx="20">
                  <c:v>10</c:v>
                </c:pt>
                <c:pt idx="21">
                  <c:v>12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10</c:v>
                </c:pt>
                <c:pt idx="26">
                  <c:v>7</c:v>
                </c:pt>
                <c:pt idx="27">
                  <c:v>12</c:v>
                </c:pt>
                <c:pt idx="28">
                  <c:v>13</c:v>
                </c:pt>
                <c:pt idx="29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D0-4612-94DD-0E9DC3C819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5661456"/>
        <c:axId val="455659792"/>
      </c:scatterChart>
      <c:valAx>
        <c:axId val="455661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659792"/>
        <c:crosses val="autoZero"/>
        <c:crossBetween val="midCat"/>
      </c:valAx>
      <c:valAx>
        <c:axId val="45565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661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1657679388014644E-2"/>
          <c:y val="5.0925925925925923E-2"/>
          <c:w val="0.92692356754374772"/>
          <c:h val="0.78662802566345869"/>
        </c:manualLayout>
      </c:layout>
      <c:lineChart>
        <c:grouping val="standard"/>
        <c:varyColors val="0"/>
        <c:ser>
          <c:idx val="1"/>
          <c:order val="0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'Hard currency'!#REF!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'Hard currency'!#REF!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'Hard currency'!#REF!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32D6-4A1B-842D-A71C9D0BC2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4531776"/>
        <c:axId val="319580840"/>
      </c:lineChart>
      <c:catAx>
        <c:axId val="314531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580840"/>
        <c:crosses val="autoZero"/>
        <c:auto val="1"/>
        <c:lblAlgn val="ctr"/>
        <c:lblOffset val="100"/>
        <c:noMultiLvlLbl val="0"/>
      </c:catAx>
      <c:valAx>
        <c:axId val="319580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531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Timers!$B$8</c:f>
              <c:strCache>
                <c:ptCount val="1"/>
                <c:pt idx="0">
                  <c:v>Equivalence (mn)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416314523184602"/>
                  <c:y val="-1.4232283464566928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cat>
            <c:numRef>
              <c:f>Timers!$B$10:$B$11</c:f>
              <c:numCache>
                <c:formatCode>General</c:formatCode>
                <c:ptCount val="2"/>
                <c:pt idx="0">
                  <c:v>60</c:v>
                </c:pt>
                <c:pt idx="1">
                  <c:v>240</c:v>
                </c:pt>
              </c:numCache>
            </c:numRef>
          </c:cat>
          <c:val>
            <c:numRef>
              <c:f>Timers!$C$10:$C$11</c:f>
              <c:numCache>
                <c:formatCode>General</c:formatCode>
                <c:ptCount val="2"/>
                <c:pt idx="0">
                  <c:v>17</c:v>
                </c:pt>
                <c:pt idx="1">
                  <c:v>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890-45C1-AAE6-AC24873830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9581624"/>
        <c:axId val="319582016"/>
      </c:lineChart>
      <c:catAx>
        <c:axId val="319581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582016"/>
        <c:crosses val="autoZero"/>
        <c:auto val="1"/>
        <c:lblAlgn val="ctr"/>
        <c:lblOffset val="100"/>
        <c:noMultiLvlLbl val="0"/>
      </c:catAx>
      <c:valAx>
        <c:axId val="319582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581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Scroll" dx="22" fmlaLink="$F$49" horiz="1" max="100" min="1" page="10" val="34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41</xdr:col>
      <xdr:colOff>606135</xdr:colOff>
      <xdr:row>10</xdr:row>
      <xdr:rowOff>0</xdr:rowOff>
    </xdr:to>
    <xdr:sp macro="" textlink="">
      <xdr:nvSpPr>
        <xdr:cNvPr id="2" name="Map" hidden="1"/>
        <xdr:cNvSpPr/>
      </xdr:nvSpPr>
      <xdr:spPr>
        <a:xfrm>
          <a:off x="-1" y="0"/>
          <a:ext cx="25599736" cy="1933575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42</xdr:col>
      <xdr:colOff>0</xdr:colOff>
      <xdr:row>20</xdr:row>
      <xdr:rowOff>0</xdr:rowOff>
    </xdr:to>
    <xdr:sp macro="" textlink="">
      <xdr:nvSpPr>
        <xdr:cNvPr id="3" name="Mapp" hidden="1"/>
        <xdr:cNvSpPr/>
      </xdr:nvSpPr>
      <xdr:spPr>
        <a:xfrm>
          <a:off x="0" y="1933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31</xdr:row>
      <xdr:rowOff>0</xdr:rowOff>
    </xdr:from>
    <xdr:to>
      <xdr:col>42</xdr:col>
      <xdr:colOff>0</xdr:colOff>
      <xdr:row>41</xdr:row>
      <xdr:rowOff>0</xdr:rowOff>
    </xdr:to>
    <xdr:sp macro="" textlink="">
      <xdr:nvSpPr>
        <xdr:cNvPr id="4" name="Mapp" hidden="1"/>
        <xdr:cNvSpPr/>
      </xdr:nvSpPr>
      <xdr:spPr>
        <a:xfrm>
          <a:off x="0" y="5972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52</xdr:row>
      <xdr:rowOff>0</xdr:rowOff>
    </xdr:from>
    <xdr:to>
      <xdr:col>42</xdr:col>
      <xdr:colOff>0</xdr:colOff>
      <xdr:row>62</xdr:row>
      <xdr:rowOff>0</xdr:rowOff>
    </xdr:to>
    <xdr:sp macro="" textlink="">
      <xdr:nvSpPr>
        <xdr:cNvPr id="5" name="Mapp" hidden="1"/>
        <xdr:cNvSpPr/>
      </xdr:nvSpPr>
      <xdr:spPr>
        <a:xfrm>
          <a:off x="0" y="10010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73</xdr:row>
      <xdr:rowOff>0</xdr:rowOff>
    </xdr:from>
    <xdr:to>
      <xdr:col>42</xdr:col>
      <xdr:colOff>0</xdr:colOff>
      <xdr:row>83</xdr:row>
      <xdr:rowOff>0</xdr:rowOff>
    </xdr:to>
    <xdr:sp macro="" textlink="">
      <xdr:nvSpPr>
        <xdr:cNvPr id="6" name="Mapp" hidden="1"/>
        <xdr:cNvSpPr/>
      </xdr:nvSpPr>
      <xdr:spPr>
        <a:xfrm>
          <a:off x="0" y="14049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94</xdr:row>
      <xdr:rowOff>0</xdr:rowOff>
    </xdr:from>
    <xdr:to>
      <xdr:col>42</xdr:col>
      <xdr:colOff>0</xdr:colOff>
      <xdr:row>104</xdr:row>
      <xdr:rowOff>0</xdr:rowOff>
    </xdr:to>
    <xdr:sp macro="" textlink="">
      <xdr:nvSpPr>
        <xdr:cNvPr id="7" name="Mapp" hidden="1"/>
        <xdr:cNvSpPr/>
      </xdr:nvSpPr>
      <xdr:spPr>
        <a:xfrm>
          <a:off x="0" y="18087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115</xdr:row>
      <xdr:rowOff>0</xdr:rowOff>
    </xdr:from>
    <xdr:to>
      <xdr:col>42</xdr:col>
      <xdr:colOff>0</xdr:colOff>
      <xdr:row>125</xdr:row>
      <xdr:rowOff>0</xdr:rowOff>
    </xdr:to>
    <xdr:sp macro="" textlink="">
      <xdr:nvSpPr>
        <xdr:cNvPr id="8" name="Mapp" hidden="1"/>
        <xdr:cNvSpPr/>
      </xdr:nvSpPr>
      <xdr:spPr>
        <a:xfrm>
          <a:off x="0" y="22126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136</xdr:row>
      <xdr:rowOff>0</xdr:rowOff>
    </xdr:from>
    <xdr:to>
      <xdr:col>42</xdr:col>
      <xdr:colOff>0</xdr:colOff>
      <xdr:row>146</xdr:row>
      <xdr:rowOff>0</xdr:rowOff>
    </xdr:to>
    <xdr:sp macro="" textlink="">
      <xdr:nvSpPr>
        <xdr:cNvPr id="9" name="Mapp" hidden="1"/>
        <xdr:cNvSpPr/>
      </xdr:nvSpPr>
      <xdr:spPr>
        <a:xfrm>
          <a:off x="0" y="26165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157</xdr:row>
      <xdr:rowOff>0</xdr:rowOff>
    </xdr:from>
    <xdr:to>
      <xdr:col>42</xdr:col>
      <xdr:colOff>0</xdr:colOff>
      <xdr:row>167</xdr:row>
      <xdr:rowOff>0</xdr:rowOff>
    </xdr:to>
    <xdr:sp macro="" textlink="">
      <xdr:nvSpPr>
        <xdr:cNvPr id="10" name="Mapp" hidden="1"/>
        <xdr:cNvSpPr/>
      </xdr:nvSpPr>
      <xdr:spPr>
        <a:xfrm>
          <a:off x="0" y="30203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178</xdr:row>
      <xdr:rowOff>0</xdr:rowOff>
    </xdr:from>
    <xdr:to>
      <xdr:col>42</xdr:col>
      <xdr:colOff>0</xdr:colOff>
      <xdr:row>188</xdr:row>
      <xdr:rowOff>0</xdr:rowOff>
    </xdr:to>
    <xdr:sp macro="" textlink="">
      <xdr:nvSpPr>
        <xdr:cNvPr id="11" name="Mapp" hidden="1"/>
        <xdr:cNvSpPr/>
      </xdr:nvSpPr>
      <xdr:spPr>
        <a:xfrm>
          <a:off x="0" y="34242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199</xdr:row>
      <xdr:rowOff>0</xdr:rowOff>
    </xdr:from>
    <xdr:to>
      <xdr:col>42</xdr:col>
      <xdr:colOff>0</xdr:colOff>
      <xdr:row>209</xdr:row>
      <xdr:rowOff>0</xdr:rowOff>
    </xdr:to>
    <xdr:sp macro="" textlink="">
      <xdr:nvSpPr>
        <xdr:cNvPr id="12" name="Mapp" hidden="1"/>
        <xdr:cNvSpPr/>
      </xdr:nvSpPr>
      <xdr:spPr>
        <a:xfrm>
          <a:off x="0" y="38280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619125</xdr:colOff>
      <xdr:row>13</xdr:row>
      <xdr:rowOff>147636</xdr:rowOff>
    </xdr:from>
    <xdr:to>
      <xdr:col>7</xdr:col>
      <xdr:colOff>609600</xdr:colOff>
      <xdr:row>30</xdr:row>
      <xdr:rowOff>133349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276225</xdr:colOff>
      <xdr:row>13</xdr:row>
      <xdr:rowOff>147636</xdr:rowOff>
    </xdr:from>
    <xdr:to>
      <xdr:col>16</xdr:col>
      <xdr:colOff>542925</xdr:colOff>
      <xdr:row>30</xdr:row>
      <xdr:rowOff>133349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2</xdr:row>
      <xdr:rowOff>28574</xdr:rowOff>
    </xdr:from>
    <xdr:to>
      <xdr:col>5</xdr:col>
      <xdr:colOff>447675</xdr:colOff>
      <xdr:row>6</xdr:row>
      <xdr:rowOff>161925</xdr:rowOff>
    </xdr:to>
    <xdr:sp macro="" textlink="">
      <xdr:nvSpPr>
        <xdr:cNvPr id="2" name="TextBox 1"/>
        <xdr:cNvSpPr txBox="1"/>
      </xdr:nvSpPr>
      <xdr:spPr>
        <a:xfrm>
          <a:off x="209550" y="457199"/>
          <a:ext cx="3324225" cy="89535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Dragon will obtain XP points when eating preys.</a:t>
          </a:r>
        </a:p>
        <a:p>
          <a:r>
            <a:rPr lang="en-US" sz="1100" baseline="0"/>
            <a:t>- When XP is sufficient dragon will level up.</a:t>
          </a:r>
        </a:p>
        <a:p>
          <a:r>
            <a:rPr lang="en-US" sz="1100" baseline="0"/>
            <a:t>- The bigger the dragon the more XP will be needed to achieve level max.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1</xdr:row>
      <xdr:rowOff>38100</xdr:rowOff>
    </xdr:from>
    <xdr:to>
      <xdr:col>1</xdr:col>
      <xdr:colOff>771526</xdr:colOff>
      <xdr:row>5</xdr:row>
      <xdr:rowOff>85726</xdr:rowOff>
    </xdr:to>
    <xdr:sp macro="" textlink="">
      <xdr:nvSpPr>
        <xdr:cNvPr id="2" name="TextBox 1"/>
        <xdr:cNvSpPr txBox="1"/>
      </xdr:nvSpPr>
      <xdr:spPr>
        <a:xfrm>
          <a:off x="1" y="276225"/>
          <a:ext cx="2838450" cy="80962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Waiting for Design</a:t>
          </a:r>
          <a:r>
            <a:rPr lang="en-US" sz="1100" baseline="0"/>
            <a:t> on this feature.</a:t>
          </a:r>
        </a:p>
        <a:p>
          <a:r>
            <a:rPr lang="en-US" sz="1100" baseline="0"/>
            <a:t>Those values are simply placeholder values for the mission engine to work.</a:t>
          </a:r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38101</xdr:colOff>
      <xdr:row>1</xdr:row>
      <xdr:rowOff>38100</xdr:rowOff>
    </xdr:from>
    <xdr:to>
      <xdr:col>2</xdr:col>
      <xdr:colOff>847726</xdr:colOff>
      <xdr:row>6</xdr:row>
      <xdr:rowOff>114300</xdr:rowOff>
    </xdr:to>
    <xdr:sp macro="" textlink="">
      <xdr:nvSpPr>
        <xdr:cNvPr id="3" name="TextBox 2"/>
        <xdr:cNvSpPr txBox="1"/>
      </xdr:nvSpPr>
      <xdr:spPr>
        <a:xfrm>
          <a:off x="38101" y="276225"/>
          <a:ext cx="2647950" cy="10287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- The longer the player is playing in a run the more SC he will receive when the dragon will die.</a:t>
          </a:r>
        </a:p>
        <a:p>
          <a:r>
            <a:rPr lang="en-US" sz="1100" baseline="0"/>
            <a:t>- This survival bonus given is a % of the total SC earned by the player.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38101</xdr:colOff>
      <xdr:row>1</xdr:row>
      <xdr:rowOff>133350</xdr:rowOff>
    </xdr:from>
    <xdr:to>
      <xdr:col>2</xdr:col>
      <xdr:colOff>847726</xdr:colOff>
      <xdr:row>5</xdr:row>
      <xdr:rowOff>114300</xdr:rowOff>
    </xdr:to>
    <xdr:sp macro="" textlink="">
      <xdr:nvSpPr>
        <xdr:cNvPr id="2" name="TextBox 1"/>
        <xdr:cNvSpPr txBox="1"/>
      </xdr:nvSpPr>
      <xdr:spPr>
        <a:xfrm>
          <a:off x="38101" y="371475"/>
          <a:ext cx="3619500" cy="7429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-</a:t>
          </a:r>
          <a:r>
            <a:rPr lang="en-US" sz="1100" baseline="0"/>
            <a:t> Boosters can be bought and found inside the worlds</a:t>
          </a:r>
        </a:p>
        <a:p>
          <a:r>
            <a:rPr lang="en-US" sz="1100" baseline="0"/>
            <a:t>- Boosters changes the run duration and the gold bonus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323850</xdr:colOff>
      <xdr:row>6</xdr:row>
      <xdr:rowOff>76200</xdr:rowOff>
    </xdr:from>
    <xdr:to>
      <xdr:col>8</xdr:col>
      <xdr:colOff>600074</xdr:colOff>
      <xdr:row>11</xdr:row>
      <xdr:rowOff>66675</xdr:rowOff>
    </xdr:to>
    <xdr:sp macro="" textlink="">
      <xdr:nvSpPr>
        <xdr:cNvPr id="2" name="TextBox 1"/>
        <xdr:cNvSpPr txBox="1"/>
      </xdr:nvSpPr>
      <xdr:spPr>
        <a:xfrm>
          <a:off x="4838700" y="1219200"/>
          <a:ext cx="3286124" cy="942975"/>
        </a:xfrm>
        <a:prstGeom prst="rect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Chest</a:t>
          </a:r>
          <a:r>
            <a:rPr lang="en-US" sz="1100" baseline="0"/>
            <a:t> Reward change depending on the number of chest found in a row.</a:t>
          </a:r>
        </a:p>
        <a:p>
          <a:r>
            <a:rPr lang="en-US" sz="1100" baseline="0"/>
            <a:t>There is only 5 chest per day.</a:t>
          </a:r>
        </a:p>
        <a:p>
          <a:r>
            <a:rPr lang="en-US" sz="1100" baseline="0"/>
            <a:t>New chests will appear at 00:00 every day.</a:t>
          </a:r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295275</xdr:colOff>
          <xdr:row>2</xdr:row>
          <xdr:rowOff>95250</xdr:rowOff>
        </xdr:from>
        <xdr:to>
          <xdr:col>6</xdr:col>
          <xdr:colOff>171450</xdr:colOff>
          <xdr:row>5</xdr:row>
          <xdr:rowOff>9525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Normal Chest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33</xdr:row>
      <xdr:rowOff>33337</xdr:rowOff>
    </xdr:from>
    <xdr:to>
      <xdr:col>2</xdr:col>
      <xdr:colOff>590550</xdr:colOff>
      <xdr:row>47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285750</xdr:colOff>
          <xdr:row>9</xdr:row>
          <xdr:rowOff>133350</xdr:rowOff>
        </xdr:from>
        <xdr:to>
          <xdr:col>3</xdr:col>
          <xdr:colOff>485775</xdr:colOff>
          <xdr:row>12</xdr:row>
          <xdr:rowOff>57150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238125</xdr:colOff>
      <xdr:row>9</xdr:row>
      <xdr:rowOff>123825</xdr:rowOff>
    </xdr:from>
    <xdr:to>
      <xdr:col>7</xdr:col>
      <xdr:colOff>571500</xdr:colOff>
      <xdr:row>12</xdr:row>
      <xdr:rowOff>104775</xdr:rowOff>
    </xdr:to>
    <xdr:sp macro="" textlink="">
      <xdr:nvSpPr>
        <xdr:cNvPr id="14" name="TextBox 13"/>
        <xdr:cNvSpPr txBox="1"/>
      </xdr:nvSpPr>
      <xdr:spPr>
        <a:xfrm>
          <a:off x="3705225" y="1895475"/>
          <a:ext cx="3228975" cy="552450"/>
        </a:xfrm>
        <a:prstGeom prst="rect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Use the buttons to open the</a:t>
          </a:r>
          <a:r>
            <a:rPr lang="en-US" sz="1100" baseline="0"/>
            <a:t> selected chest.</a:t>
          </a:r>
        </a:p>
        <a:p>
          <a:r>
            <a:rPr lang="en-US" sz="1100" baseline="0"/>
            <a:t>Reset will reset the simulation results.</a:t>
          </a:r>
          <a:endParaRPr lang="en-US" sz="1100"/>
        </a:p>
      </xdr:txBody>
    </xdr:sp>
    <xdr:clientData/>
  </xdr:twoCellAnchor>
  <xdr:twoCellAnchor>
    <xdr:from>
      <xdr:col>3</xdr:col>
      <xdr:colOff>485775</xdr:colOff>
      <xdr:row>5</xdr:row>
      <xdr:rowOff>0</xdr:rowOff>
    </xdr:from>
    <xdr:to>
      <xdr:col>8</xdr:col>
      <xdr:colOff>0</xdr:colOff>
      <xdr:row>7</xdr:row>
      <xdr:rowOff>66676</xdr:rowOff>
    </xdr:to>
    <xdr:sp macro="" textlink="">
      <xdr:nvSpPr>
        <xdr:cNvPr id="15" name="TextBox 14"/>
        <xdr:cNvSpPr txBox="1"/>
      </xdr:nvSpPr>
      <xdr:spPr>
        <a:xfrm>
          <a:off x="3343275" y="1009650"/>
          <a:ext cx="3714750" cy="44767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NOT WORKING</a:t>
          </a:r>
          <a:r>
            <a:rPr lang="en-US" sz="1100" baseline="0"/>
            <a:t>! Go to the Economy simulator.</a:t>
          </a:r>
        </a:p>
        <a:p>
          <a:r>
            <a:rPr lang="en-US" sz="1100" baseline="0"/>
            <a:t>TODO --&gt; Fix this using a similar system as Economy Simulator</a:t>
          </a:r>
          <a:endParaRPr lang="en-US" sz="1100"/>
        </a:p>
      </xdr:txBody>
    </xdr:sp>
    <xdr:clientData/>
  </xdr:twoCellAnchor>
  <xdr:twoCellAnchor>
    <xdr:from>
      <xdr:col>4</xdr:col>
      <xdr:colOff>16934</xdr:colOff>
      <xdr:row>17</xdr:row>
      <xdr:rowOff>66674</xdr:rowOff>
    </xdr:from>
    <xdr:to>
      <xdr:col>6</xdr:col>
      <xdr:colOff>433918</xdr:colOff>
      <xdr:row>20</xdr:row>
      <xdr:rowOff>158749</xdr:rowOff>
    </xdr:to>
    <xdr:sp macro="" textlink="">
      <xdr:nvSpPr>
        <xdr:cNvPr id="10" name="TextBox 9"/>
        <xdr:cNvSpPr txBox="1"/>
      </xdr:nvSpPr>
      <xdr:spPr>
        <a:xfrm>
          <a:off x="3488267" y="3379257"/>
          <a:ext cx="2702984" cy="663575"/>
        </a:xfrm>
        <a:prstGeom prst="rect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Chance to find</a:t>
          </a:r>
          <a:r>
            <a:rPr lang="en-US" sz="1100" baseline="0"/>
            <a:t> chest is fixed then ponderated by the explorer profile in the simulator</a:t>
          </a:r>
          <a:endParaRPr lang="en-US" sz="1100"/>
        </a:p>
      </xdr:txBody>
    </xdr:sp>
    <xdr:clientData/>
  </xdr:twoCellAnchor>
  <xdr:twoCellAnchor>
    <xdr:from>
      <xdr:col>3</xdr:col>
      <xdr:colOff>533400</xdr:colOff>
      <xdr:row>63</xdr:row>
      <xdr:rowOff>123825</xdr:rowOff>
    </xdr:from>
    <xdr:to>
      <xdr:col>8</xdr:col>
      <xdr:colOff>0</xdr:colOff>
      <xdr:row>77</xdr:row>
      <xdr:rowOff>142875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45</xdr:row>
          <xdr:rowOff>57150</xdr:rowOff>
        </xdr:from>
        <xdr:to>
          <xdr:col>5</xdr:col>
          <xdr:colOff>857250</xdr:colOff>
          <xdr:row>46</xdr:row>
          <xdr:rowOff>152400</xdr:rowOff>
        </xdr:to>
        <xdr:sp macro="" textlink="">
          <xdr:nvSpPr>
            <xdr:cNvPr id="9223" name="Scroll Bar 7" hidden="1">
              <a:extLst>
                <a:ext uri="{63B3BB69-23CF-44E3-9099-C40C66FF867C}">
                  <a14:compatExt spid="_x0000_s92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1</xdr:row>
      <xdr:rowOff>9525</xdr:rowOff>
    </xdr:from>
    <xdr:to>
      <xdr:col>4</xdr:col>
      <xdr:colOff>600075</xdr:colOff>
      <xdr:row>3</xdr:row>
      <xdr:rowOff>171450</xdr:rowOff>
    </xdr:to>
    <xdr:sp macro="" textlink="">
      <xdr:nvSpPr>
        <xdr:cNvPr id="2" name="TextBox 1"/>
        <xdr:cNvSpPr txBox="1"/>
      </xdr:nvSpPr>
      <xdr:spPr>
        <a:xfrm>
          <a:off x="19050" y="247650"/>
          <a:ext cx="3467100" cy="5429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This</a:t>
          </a:r>
          <a:r>
            <a:rPr lang="en-US" sz="1100" baseline="0"/>
            <a:t> tool will calculate the AVG cost to burn the content.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114300</xdr:colOff>
      <xdr:row>10</xdr:row>
      <xdr:rowOff>38100</xdr:rowOff>
    </xdr:from>
    <xdr:to>
      <xdr:col>8</xdr:col>
      <xdr:colOff>314325</xdr:colOff>
      <xdr:row>13</xdr:row>
      <xdr:rowOff>161925</xdr:rowOff>
    </xdr:to>
    <xdr:sp macro="" textlink="">
      <xdr:nvSpPr>
        <xdr:cNvPr id="2" name="TextBox 1"/>
        <xdr:cNvSpPr txBox="1"/>
      </xdr:nvSpPr>
      <xdr:spPr>
        <a:xfrm>
          <a:off x="3638550" y="1047750"/>
          <a:ext cx="2571750" cy="695325"/>
        </a:xfrm>
        <a:prstGeom prst="rect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Number</a:t>
          </a:r>
          <a:r>
            <a:rPr lang="en-US" sz="1100" baseline="0"/>
            <a:t> of items per quality types.</a:t>
          </a:r>
        </a:p>
        <a:p>
          <a:r>
            <a:rPr lang="en-US" sz="1100" baseline="0"/>
            <a:t>Variable can be change to optimise the number of item per quality types.</a:t>
          </a:r>
          <a:endParaRPr lang="en-US" sz="1100"/>
        </a:p>
      </xdr:txBody>
    </xdr:sp>
    <xdr:clientData/>
  </xdr:twoCellAnchor>
  <xdr:twoCellAnchor>
    <xdr:from>
      <xdr:col>3</xdr:col>
      <xdr:colOff>142874</xdr:colOff>
      <xdr:row>0</xdr:row>
      <xdr:rowOff>190500</xdr:rowOff>
    </xdr:from>
    <xdr:to>
      <xdr:col>8</xdr:col>
      <xdr:colOff>333374</xdr:colOff>
      <xdr:row>3</xdr:row>
      <xdr:rowOff>133350</xdr:rowOff>
    </xdr:to>
    <xdr:sp macro="" textlink="">
      <xdr:nvSpPr>
        <xdr:cNvPr id="3" name="TextBox 2"/>
        <xdr:cNvSpPr txBox="1"/>
      </xdr:nvSpPr>
      <xdr:spPr>
        <a:xfrm>
          <a:off x="3057524" y="190500"/>
          <a:ext cx="3171825" cy="561975"/>
        </a:xfrm>
        <a:prstGeom prst="rect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Suits per dragon change</a:t>
          </a:r>
          <a:r>
            <a:rPr lang="en-US" sz="1100" baseline="0"/>
            <a:t>s min amount of properties we have to design (Tab - </a:t>
          </a:r>
          <a:r>
            <a:rPr lang="en-US" sz="1100" i="1" baseline="0"/>
            <a:t>Combination simulator</a:t>
          </a:r>
          <a:r>
            <a:rPr lang="en-US" sz="1100" baseline="0"/>
            <a:t>)</a:t>
          </a:r>
          <a:endParaRPr lang="en-US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1543050</xdr:colOff>
      <xdr:row>52</xdr:row>
      <xdr:rowOff>9525</xdr:rowOff>
    </xdr:from>
    <xdr:to>
      <xdr:col>11</xdr:col>
      <xdr:colOff>0</xdr:colOff>
      <xdr:row>66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342900</xdr:colOff>
      <xdr:row>21</xdr:row>
      <xdr:rowOff>142875</xdr:rowOff>
    </xdr:from>
    <xdr:to>
      <xdr:col>30</xdr:col>
      <xdr:colOff>38100</xdr:colOff>
      <xdr:row>36</xdr:row>
      <xdr:rowOff>28575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9524</xdr:colOff>
      <xdr:row>14</xdr:row>
      <xdr:rowOff>0</xdr:rowOff>
    </xdr:from>
    <xdr:to>
      <xdr:col>6</xdr:col>
      <xdr:colOff>9524</xdr:colOff>
      <xdr:row>19</xdr:row>
      <xdr:rowOff>85725</xdr:rowOff>
    </xdr:to>
    <xdr:sp macro="" textlink="">
      <xdr:nvSpPr>
        <xdr:cNvPr id="2" name="TextBox 1"/>
        <xdr:cNvSpPr txBox="1"/>
      </xdr:nvSpPr>
      <xdr:spPr>
        <a:xfrm>
          <a:off x="6562724" y="2552700"/>
          <a:ext cx="2905125" cy="1038225"/>
        </a:xfrm>
        <a:prstGeom prst="rect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Algorithm</a:t>
          </a:r>
          <a:r>
            <a:rPr lang="en-US" sz="1100" baseline="0"/>
            <a:t> that gives you the minimum number of properties we have to design to avoid having items with the same properties combo.</a:t>
          </a:r>
        </a:p>
        <a:p>
          <a:endParaRPr lang="en-US" sz="1100" baseline="0"/>
        </a:p>
        <a:p>
          <a:r>
            <a:rPr lang="en-US" sz="1100" baseline="0"/>
            <a:t>Unique properties per item if fixed. </a:t>
          </a:r>
          <a:endParaRPr lang="en-US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314325</xdr:colOff>
      <xdr:row>17</xdr:row>
      <xdr:rowOff>95250</xdr:rowOff>
    </xdr:from>
    <xdr:to>
      <xdr:col>6</xdr:col>
      <xdr:colOff>409575</xdr:colOff>
      <xdr:row>31</xdr:row>
      <xdr:rowOff>171450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1</xdr:row>
      <xdr:rowOff>57150</xdr:rowOff>
    </xdr:from>
    <xdr:to>
      <xdr:col>4</xdr:col>
      <xdr:colOff>523875</xdr:colOff>
      <xdr:row>4</xdr:row>
      <xdr:rowOff>95250</xdr:rowOff>
    </xdr:to>
    <xdr:sp macro="" textlink="">
      <xdr:nvSpPr>
        <xdr:cNvPr id="2" name="TextBox 1"/>
        <xdr:cNvSpPr txBox="1"/>
      </xdr:nvSpPr>
      <xdr:spPr>
        <a:xfrm>
          <a:off x="38100" y="295275"/>
          <a:ext cx="2924175" cy="60960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Player</a:t>
          </a:r>
          <a:r>
            <a:rPr lang="en-US" sz="1100" baseline="0"/>
            <a:t> can buy SC with HC.</a:t>
          </a:r>
        </a:p>
        <a:p>
          <a:r>
            <a:rPr lang="en-US" sz="1100" baseline="0"/>
            <a:t>Pricing is made around the concept of discounting higher SC packs.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1</xdr:row>
      <xdr:rowOff>57150</xdr:rowOff>
    </xdr:from>
    <xdr:to>
      <xdr:col>4</xdr:col>
      <xdr:colOff>523875</xdr:colOff>
      <xdr:row>4</xdr:row>
      <xdr:rowOff>95250</xdr:rowOff>
    </xdr:to>
    <xdr:sp macro="" textlink="">
      <xdr:nvSpPr>
        <xdr:cNvPr id="2" name="TextBox 1"/>
        <xdr:cNvSpPr txBox="1"/>
      </xdr:nvSpPr>
      <xdr:spPr>
        <a:xfrm>
          <a:off x="38100" y="295275"/>
          <a:ext cx="4495800" cy="60960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During the event player can be event keys to participate to the event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342900</xdr:colOff>
      <xdr:row>1</xdr:row>
      <xdr:rowOff>80962</xdr:rowOff>
    </xdr:from>
    <xdr:to>
      <xdr:col>17</xdr:col>
      <xdr:colOff>38100</xdr:colOff>
      <xdr:row>15</xdr:row>
      <xdr:rowOff>157162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136255</xdr:colOff>
      <xdr:row>4</xdr:row>
      <xdr:rowOff>111485</xdr:rowOff>
    </xdr:from>
    <xdr:to>
      <xdr:col>2</xdr:col>
      <xdr:colOff>673370</xdr:colOff>
      <xdr:row>15</xdr:row>
      <xdr:rowOff>126640</xdr:rowOff>
    </xdr:to>
    <xdr:pic>
      <xdr:nvPicPr>
        <xdr:cNvPr id="3" name="Picture 2" descr="http://cdn.ndtv.com/tech/images/gadgets/spider_man_money.jp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284" r="11969"/>
        <a:stretch/>
      </xdr:blipFill>
      <xdr:spPr bwMode="auto">
        <a:xfrm>
          <a:off x="136255" y="930635"/>
          <a:ext cx="2137315" cy="21106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377700</xdr:colOff>
      <xdr:row>4</xdr:row>
      <xdr:rowOff>100375</xdr:rowOff>
    </xdr:from>
    <xdr:to>
      <xdr:col>7</xdr:col>
      <xdr:colOff>79500</xdr:colOff>
      <xdr:row>14</xdr:row>
      <xdr:rowOff>185376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78175" y="919525"/>
          <a:ext cx="1492500" cy="1990001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5" name="Table86" displayName="Table86" ref="A5:M13" totalsRowShown="0">
  <autoFilter ref="A5:M13"/>
  <tableColumns count="13">
    <tableColumn id="1" name="Dragons"/>
    <tableColumn id="2" name="Dragon 1"/>
    <tableColumn id="3" name="Dragon 2"/>
    <tableColumn id="4" name="Dragon 3"/>
    <tableColumn id="5" name="Dragon 4"/>
    <tableColumn id="6" name="Dragon 5"/>
    <tableColumn id="7" name="Dragon 6"/>
    <tableColumn id="8" name="Dragon 7"/>
    <tableColumn id="9" name="Dragon 8"/>
    <tableColumn id="10" name="Dragon 9"/>
    <tableColumn id="11" name="Dragon 10"/>
    <tableColumn id="12" name="Dragon 11"/>
    <tableColumn id="13" name="Dragon 12"/>
  </tableColumns>
  <tableStyleInfo name="TableStyleDark9" showFirstColumn="0" showLastColumn="0" showRowStripes="1" showColumnStripes="0"/>
</table>
</file>

<file path=xl/tables/table2.xml><?xml version="1.0" encoding="utf-8"?>
<table xmlns="http://schemas.openxmlformats.org/spreadsheetml/2006/main" id="73" name="Table73" displayName="Table73" ref="A55:T67" totalsRowShown="0" headerRowDxfId="454" dataDxfId="453">
  <autoFilter ref="A55:T67"/>
  <tableColumns count="20">
    <tableColumn id="1" name="Dragon ID / Step XP per Level" dataDxfId="452"/>
    <tableColumn id="2" name="1" dataDxfId="451">
      <calculatedColumnFormula>IF(OFFSET(F29,$A56,0)="","",ROUND(SUM(OFFSET($F29:F29,$A56,0)),0))</calculatedColumnFormula>
    </tableColumn>
    <tableColumn id="3" name="2" dataDxfId="450">
      <calculatedColumnFormula>IF(OFFSET(G29,$A56,0)="","",ROUND(SUM(OFFSET($F29:G29,$A56,0)),0))</calculatedColumnFormula>
    </tableColumn>
    <tableColumn id="4" name="3" dataDxfId="449">
      <calculatedColumnFormula>IF(OFFSET(H29,$A56,0)="","",ROUND(SUM(OFFSET($F29:H29,$A56,0)),0))</calculatedColumnFormula>
    </tableColumn>
    <tableColumn id="5" name="4" dataDxfId="448">
      <calculatedColumnFormula>IF(OFFSET(I29,$A56,0)="","",ROUND(SUM(OFFSET($F29:I29,$A56,0)),0))</calculatedColumnFormula>
    </tableColumn>
    <tableColumn id="6" name="5" dataDxfId="447">
      <calculatedColumnFormula>IF(OFFSET(J29,$A56,0)="","",ROUND(SUM(OFFSET($F29:J29,$A56,0)),0))</calculatedColumnFormula>
    </tableColumn>
    <tableColumn id="7" name="6" dataDxfId="446">
      <calculatedColumnFormula>IF(OFFSET(K29,$A56,0)="","",ROUND(SUM(OFFSET($F29:K29,$A56,0)),0))</calculatedColumnFormula>
    </tableColumn>
    <tableColumn id="8" name="7" dataDxfId="445">
      <calculatedColumnFormula>IF(OFFSET(L29,$A56,0)="","",ROUND(SUM(OFFSET($F29:L29,$A56,0)),0))</calculatedColumnFormula>
    </tableColumn>
    <tableColumn id="9" name="8" dataDxfId="444">
      <calculatedColumnFormula>IF(OFFSET(M29,$A56,0)="","",ROUND(SUM(OFFSET($F29:M29,$A56,0)),0))</calculatedColumnFormula>
    </tableColumn>
    <tableColumn id="10" name="9" dataDxfId="443">
      <calculatedColumnFormula>IF(OFFSET(N29,$A56,0)="","",ROUND(SUM(OFFSET($F29:N29,$A56,0)),0))</calculatedColumnFormula>
    </tableColumn>
    <tableColumn id="11" name="10" dataDxfId="442">
      <calculatedColumnFormula>IF(OFFSET(O29,$A56,0)="","",ROUND(SUM(OFFSET($F29:O29,$A56,0)),0))</calculatedColumnFormula>
    </tableColumn>
    <tableColumn id="12" name="11" dataDxfId="441">
      <calculatedColumnFormula>IF(OFFSET(P29,$A56,0)="","",ROUND(SUM(OFFSET($F29:P29,$A56,0)),0))</calculatedColumnFormula>
    </tableColumn>
    <tableColumn id="13" name="12" dataDxfId="440">
      <calculatedColumnFormula>IF(OFFSET(Q29,$A56,0)="","",ROUND(SUM(OFFSET($F29:Q29,$A56,0)),0))</calculatedColumnFormula>
    </tableColumn>
    <tableColumn id="14" name="13" dataDxfId="439">
      <calculatedColumnFormula>IF(OFFSET(R29,$A56,0)="","",ROUND(SUM(OFFSET($F29:R29,$A56,0)),0))</calculatedColumnFormula>
    </tableColumn>
    <tableColumn id="15" name="14" dataDxfId="438">
      <calculatedColumnFormula>IF(OFFSET(S29,$A56,0)="","",ROUND(SUM(OFFSET($F29:S29,$A56,0)),0))</calculatedColumnFormula>
    </tableColumn>
    <tableColumn id="16" name="15" dataDxfId="437">
      <calculatedColumnFormula>IF(OFFSET(T29,$A56,0)="","",ROUND(SUM(OFFSET($F29:T29,$A56,0)),0))</calculatedColumnFormula>
    </tableColumn>
    <tableColumn id="17" name="16" dataDxfId="436">
      <calculatedColumnFormula>IF(OFFSET(U29,$A56,0)="","",ROUND(SUM(OFFSET($F29:U29,$A56,0)),0))</calculatedColumnFormula>
    </tableColumn>
    <tableColumn id="18" name="17" dataDxfId="435">
      <calculatedColumnFormula>IF(OFFSET(V29,$A56,0)="","",ROUND(SUM(OFFSET($F29:V29,$A56,0)),0))</calculatedColumnFormula>
    </tableColumn>
    <tableColumn id="19" name="18" dataDxfId="434">
      <calculatedColumnFormula>IF(OFFSET(W29,$A56,0)="","",ROUND(SUM(OFFSET($F29:W29,$A56,0)),0))</calculatedColumnFormula>
    </tableColumn>
    <tableColumn id="20" name="19" dataDxfId="433">
      <calculatedColumnFormula>IF(OFFSET(X29,$A56,0)="","",ROUND(SUM(OFFSET($F29:X29,$A56,0)),0))</calculatedColumnFormula>
    </tableColumn>
  </tableColumns>
  <tableStyleInfo name="TableStyleDark9" showFirstColumn="0" showLastColumn="0" showRowStripes="1" showColumnStripes="0"/>
</table>
</file>

<file path=xl/tables/table3.xml><?xml version="1.0" encoding="utf-8"?>
<table xmlns="http://schemas.openxmlformats.org/spreadsheetml/2006/main" id="74" name="Table74" displayName="Table74" ref="A70:C82" totalsRowShown="0" headerRowDxfId="432" dataDxfId="431">
  <autoFilter ref="A70:C82"/>
  <tableColumns count="3">
    <tableColumn id="1" name="Dragon ID" dataDxfId="430"/>
    <tableColumn id="2" name="AVG_XP/min" dataDxfId="429">
      <calculatedColumnFormula>ROUND(AVERAGE(D11:D11),0)</calculatedColumnFormula>
    </tableColumn>
    <tableColumn id="3" name="AVG_TIME_TO_MAX_LEVEL" dataDxfId="428">
      <calculatedColumnFormula>MAX(B56:T56)/Table74[[#This Row],[AVG_XP/min]]</calculatedColumnFormula>
    </tableColumn>
  </tableColumns>
  <tableStyleInfo name="TableStyleDark9" showFirstColumn="0" showLastColumn="0" showRowStripes="1" showColumnStripes="0"/>
</table>
</file>

<file path=xl/tables/table4.xml><?xml version="1.0" encoding="utf-8"?>
<table xmlns="http://schemas.openxmlformats.org/spreadsheetml/2006/main" id="99" name="Table99" displayName="Table99" ref="A8:C188" totalsRowShown="0" headerRowDxfId="427" dataDxfId="426">
  <autoFilter ref="A8:C188"/>
  <tableColumns count="3">
    <tableColumn id="1" name="Global Level" dataDxfId="425"/>
    <tableColumn id="2" name="Dragon ID" dataDxfId="424">
      <calculatedColumnFormula>IF(Table99[[#This Row],[Global Level]]-10&lt;0,1,LEFT(Table99[[#This Row],[Global Level]])+1)</calculatedColumnFormula>
    </tableColumn>
    <tableColumn id="3" name="Level" dataDxfId="423"/>
  </tableColumns>
  <tableStyleInfo name="TableStyleDark9" showFirstColumn="0" showLastColumn="0" showRowStripes="1" showColumnStripes="0"/>
</table>
</file>

<file path=xl/tables/table5.xml><?xml version="1.0" encoding="utf-8"?>
<table xmlns="http://schemas.openxmlformats.org/spreadsheetml/2006/main" id="93" name="Table93" displayName="Table93" ref="A8:B18" totalsRowShown="0" headerRowDxfId="422" dataDxfId="421">
  <autoFilter ref="A8:B18"/>
  <tableColumns count="2">
    <tableColumn id="1" name="Dragon ID" dataDxfId="420"/>
    <tableColumn id="2" name="Wanted score per run" dataDxfId="419"/>
  </tableColumns>
  <tableStyleInfo name="TableStyleDark9" showFirstColumn="0" showLastColumn="0" showRowStripes="1" showColumnStripes="0"/>
</table>
</file>

<file path=xl/tables/table6.xml><?xml version="1.0" encoding="utf-8"?>
<table xmlns="http://schemas.openxmlformats.org/spreadsheetml/2006/main" id="4" name="missionsDragonRelativeMetrics" displayName="missionsDragonRelativeMetrics" ref="E4:J16" totalsRowShown="0" headerRowDxfId="418" dataDxfId="417">
  <autoFilter ref="E4:J16"/>
  <tableColumns count="6">
    <tableColumn id="1" name="Dragon" dataDxfId="416"/>
    <tableColumn id="2" name="Reward Multiplier" dataDxfId="415"/>
    <tableColumn id="6" name="Easy Mission Reward" dataDxfId="414">
      <calculatedColumnFormula>missionsDragonRelativeMetrics[[#This Row],[Reward Multiplier]]*$C$5</calculatedColumnFormula>
    </tableColumn>
    <tableColumn id="7" name="Medium Mission Reward" dataDxfId="413">
      <calculatedColumnFormula>missionsDragonRelativeMetrics[[#This Row],[Reward Multiplier]]*$C$6</calculatedColumnFormula>
    </tableColumn>
    <tableColumn id="3" name="Hard Mission Reward" dataDxfId="412">
      <calculatedColumnFormula>missionsDragonRelativeMetrics[[#This Row],[Reward Multiplier]]*$C$7</calculatedColumnFormula>
    </tableColumn>
    <tableColumn id="4" name="Max. Nb. Missions" dataDxfId="411"/>
  </tableColumns>
  <tableStyleInfo name="TableStyleDark9" showFirstColumn="0" showLastColumn="0" showRowStripes="1" showColumnStripes="0"/>
</table>
</file>

<file path=xl/tables/table7.xml><?xml version="1.0" encoding="utf-8"?>
<table xmlns="http://schemas.openxmlformats.org/spreadsheetml/2006/main" id="2" name="Table2" displayName="Table2" ref="A4:C7" totalsRowShown="0" headerRowDxfId="410" dataDxfId="409">
  <autoFilter ref="A4:C7"/>
  <tableColumns count="3">
    <tableColumn id="6" name="Difficulty" dataDxfId="408"/>
    <tableColumn id="1" name="Mission Level" dataDxfId="407" totalsRowDxfId="406"/>
    <tableColumn id="2" name="Max Reward" dataDxfId="405" totalsRowDxfId="404"/>
  </tableColumns>
  <tableStyleInfo name="TableStyleDark9" showFirstColumn="0" showLastColumn="0" showRowStripes="1" showColumnStripes="0"/>
</table>
</file>

<file path=xl/tables/table8.xml><?xml version="1.0" encoding="utf-8"?>
<table xmlns="http://schemas.openxmlformats.org/spreadsheetml/2006/main" id="1" name="Table1" displayName="Table1" ref="A12:B24" totalsRowShown="0" headerRowDxfId="403" dataDxfId="402" tableBorderDxfId="401">
  <autoFilter ref="A12:B24"/>
  <tableColumns count="2">
    <tableColumn id="1" name="Dragon" dataDxfId="400"/>
    <tableColumn id="2" name="QuantityModifier" dataDxfId="399"/>
  </tableColumns>
  <tableStyleInfo name="TableStyleDark9" showFirstColumn="0" showLastColumn="0" showRowStripes="1" showColumnStripes="0"/>
</table>
</file>

<file path=xl/tables/table9.xml><?xml version="1.0" encoding="utf-8"?>
<table xmlns="http://schemas.openxmlformats.org/spreadsheetml/2006/main" id="7" name="Table8" displayName="Table8" ref="B33:L62" totalsRowShown="0" headerRowDxfId="398" headerRowBorderDxfId="397" tableBorderDxfId="396">
  <autoFilter ref="B33:L62"/>
  <tableColumns count="11">
    <tableColumn id="1" name="MISSION TYPE"/>
    <tableColumn id="2" name="PARAM"/>
    <tableColumn id="3" name="HAS SINGLE RUN"/>
    <tableColumn id="4" name="OBJ. BASE. QU. MIN" dataDxfId="395"/>
    <tableColumn id="5" name="OBJ. BASE. QU. MAX" dataDxfId="394"/>
    <tableColumn id="6" name="OBJ. QU. RANGE" dataDxfId="393">
      <calculatedColumnFormula>CONCATENATE(ROUND((E34*$F$27)*(1-$I$25),0), " to ",ROUND((F34*$F$27)*(1-$I$25),0))</calculatedColumnFormula>
    </tableColumn>
    <tableColumn id="7" name="REWARD">
      <calculatedColumnFormula>CONCATENATE(INDEX(missionsDragonRelativeMetrics[Easy Mission Reward],MATCH($E$23,missionsDragonRelativeMetrics[Dragon],0)), " coins")</calculatedColumnFormula>
    </tableColumn>
    <tableColumn id="8" name="OBJ. QU. RANGE2" dataDxfId="392">
      <calculatedColumnFormula>CONCATENATE(ROUND((E34*$G$27)*(1-$I$25),0), " to ",ROUND((F34*$G$27)*(1-$I$25),0))</calculatedColumnFormula>
    </tableColumn>
    <tableColumn id="9" name="REWARD3">
      <calculatedColumnFormula>CONCATENATE(INDEX(missionsDragonRelativeMetrics[Medium Mission Reward],MATCH($E$23,missionsDragonRelativeMetrics[Dragon],0)), " coins")</calculatedColumnFormula>
    </tableColumn>
    <tableColumn id="10" name="OBJ. QU. RANGE4" dataDxfId="391">
      <calculatedColumnFormula>CONCATENATE(ROUND((E34*$H$27)*(1-$I$25),0), " to ",ROUND((F34*$H$27)*(1-$I$25),0))</calculatedColumnFormula>
    </tableColumn>
    <tableColumn id="11" name="REWARD5">
      <calculatedColumnFormula>CONCATENATE(INDEX(missionsDragonRelativeMetrics[Hard Mission Reward],MATCH($E$23,missionsDragonRelativeMetrics[Dragon],0)), " coins")</calculatedColumnFormula>
    </tableColumn>
  </tableColumns>
  <tableStyleInfo name="TableStyleDark9" showFirstColumn="0" showLastColumn="0" showRowStripes="1" showColumnStripes="0"/>
</table>
</file>

<file path=xl/tables/table10.xml><?xml version="1.0" encoding="utf-8"?>
<table xmlns="http://schemas.openxmlformats.org/spreadsheetml/2006/main" id="32" name="RunDuration" displayName="RunDuration" ref="A6:C18" totalsRowShown="0" headerRowDxfId="390" dataDxfId="389">
  <autoFilter ref="A6:C18"/>
  <tableColumns count="3">
    <tableColumn id="1" name="Dragon ID / Level" dataDxfId="388"/>
    <tableColumn id="2" name="Max level" dataDxfId="387"/>
    <tableColumn id="24" name="Expected AVG time (mn)" dataDxfId="386">
      <calculatedColumnFormula>$C$4*RunDuration[[#This Row],[Dragon ID / Level]]+$D$4</calculatedColumnFormula>
    </tableColumn>
  </tableColumns>
  <tableStyleInfo name="TableStyleDark9" showFirstColumn="0" showLastColumn="0" showRowStripes="1" showColumnStripes="0"/>
</table>
</file>

<file path=xl/tables/table11.xml><?xml version="1.0" encoding="utf-8"?>
<table xmlns="http://schemas.openxmlformats.org/spreadsheetml/2006/main" id="96" name="Table96" displayName="Table96" ref="A11:C31" totalsRowShown="0" headerRowDxfId="385" dataDxfId="384">
  <autoFilter ref="A11:C31"/>
  <tableColumns count="3">
    <tableColumn id="1" name="Time (min)" dataDxfId="383"/>
    <tableColumn id="2" name="Survival Bonus (%)" dataDxfId="382" dataCellStyle="Percent">
      <calculatedColumnFormula>ROUND($B$9*POWER(Table96[[#This Row],[Time (min)]],$B$10),2)</calculatedColumnFormula>
    </tableColumn>
    <tableColumn id="3" name="Column1" dataDxfId="0"/>
  </tableColumns>
  <tableStyleInfo name="TableStyleDark9" showFirstColumn="0" showLastColumn="0" showRowStripes="1" showColumnStripes="0"/>
</table>
</file>

<file path=xl/tables/table12.xml><?xml version="1.0" encoding="utf-8"?>
<table xmlns="http://schemas.openxmlformats.org/spreadsheetml/2006/main" id="105" name="Table105" displayName="Table105" ref="A9:F10" totalsRowShown="0" dataDxfId="381">
  <autoFilter ref="A9:F10"/>
  <tableColumns count="6">
    <tableColumn id="1" name="Step" dataDxfId="380"/>
    <tableColumn id="2" name="Cost Ad" dataDxfId="379"/>
    <tableColumn id="3" name="Cost HC" dataDxfId="378"/>
    <tableColumn id="6" name="Run SC Bonus" dataDxfId="377"/>
    <tableColumn id="7" name="Run duration Bonus" dataDxfId="376"/>
    <tableColumn id="4" name="Timer" dataDxfId="375">
      <calculatedColumnFormula>24*60</calculatedColumnFormula>
    </tableColumn>
  </tableColumns>
  <tableStyleInfo name="TableStyleDark9" showFirstColumn="0" showLastColumn="0" showRowStripes="1" showColumnStripes="0"/>
</table>
</file>

<file path=xl/tables/table13.xml><?xml version="1.0" encoding="utf-8"?>
<table xmlns="http://schemas.openxmlformats.org/spreadsheetml/2006/main" id="111" name="Table111" displayName="Table111" ref="A5:B11" totalsRowShown="0" headerRowDxfId="374" dataDxfId="373">
  <autoFilter ref="A5:B11"/>
  <tableColumns count="2">
    <tableColumn id="1" name="Revive in a row" dataDxfId="372"/>
    <tableColumn id="2" name="Cost HC" dataDxfId="371">
      <calculatedColumnFormula>IFERROR(B5*2,1)</calculatedColumnFormula>
    </tableColumn>
  </tableColumns>
  <tableStyleInfo name="TableStyleDark9" showFirstColumn="0" showLastColumn="0" showRowStripes="1" showColumnStripes="0"/>
</table>
</file>

<file path=xl/tables/table14.xml><?xml version="1.0" encoding="utf-8"?>
<table xmlns="http://schemas.openxmlformats.org/spreadsheetml/2006/main" id="10" name="Table10" displayName="Table10" ref="A8:V18" totalsRowShown="0" headerRowDxfId="370" dataDxfId="369">
  <autoFilter ref="A8:V18"/>
  <tableColumns count="22">
    <tableColumn id="1" name="Dragon ID / Level" dataDxfId="368"/>
    <tableColumn id="22" name="Max level" dataDxfId="367">
      <calculatedColumnFormula>HLOOKUP(Table10[[#This Row],[Dragon ID / Level]],Table86[],2,FALSE)</calculatedColumnFormula>
    </tableColumn>
    <tableColumn id="2" name="1" dataDxfId="366">
      <calculatedColumnFormula>_xlfn.IFNA(ROUND(HLOOKUP('Link table'!B4,'Progression - Gold rate'!$B$4:$EN$5,2,FALSE),0),"")</calculatedColumnFormula>
    </tableColumn>
    <tableColumn id="3" name="2" dataDxfId="365">
      <calculatedColumnFormula>_xlfn.IFNA(ROUND(HLOOKUP('Link table'!C4,'Progression - Gold rate'!$B$4:$EN$5,2,FALSE),0),"")</calculatedColumnFormula>
    </tableColumn>
    <tableColumn id="4" name="3" dataDxfId="364">
      <calculatedColumnFormula>_xlfn.IFNA(ROUND(HLOOKUP('Link table'!D4,'Progression - Gold rate'!$B$4:$EN$5,2,FALSE),0),"")</calculatedColumnFormula>
    </tableColumn>
    <tableColumn id="5" name="4" dataDxfId="363">
      <calculatedColumnFormula>_xlfn.IFNA(ROUND(HLOOKUP('Link table'!E4,'Progression - Gold rate'!$B$4:$EN$5,2,FALSE),0),"")</calculatedColumnFormula>
    </tableColumn>
    <tableColumn id="6" name="5" dataDxfId="362">
      <calculatedColumnFormula>_xlfn.IFNA(ROUND(HLOOKUP('Link table'!F4,'Progression - Gold rate'!$B$4:$EN$5,2,FALSE),0),"")</calculatedColumnFormula>
    </tableColumn>
    <tableColumn id="7" name="6" dataDxfId="361">
      <calculatedColumnFormula>_xlfn.IFNA(ROUND(HLOOKUP('Link table'!G4,'Progression - Gold rate'!$B$4:$EN$5,2,FALSE),0),"")</calculatedColumnFormula>
    </tableColumn>
    <tableColumn id="8" name="7" dataDxfId="360">
      <calculatedColumnFormula>_xlfn.IFNA(ROUND(HLOOKUP('Link table'!H4,'Progression - Gold rate'!$B$4:$EN$5,2,FALSE),0),"")</calculatedColumnFormula>
    </tableColumn>
    <tableColumn id="9" name="8" dataDxfId="359">
      <calculatedColumnFormula>_xlfn.IFNA(ROUND(HLOOKUP('Link table'!I4,'Progression - Gold rate'!$B$4:$EN$5,2,FALSE),0),"")</calculatedColumnFormula>
    </tableColumn>
    <tableColumn id="10" name="9" dataDxfId="358">
      <calculatedColumnFormula>_xlfn.IFNA(ROUND(HLOOKUP('Link table'!J4,'Progression - Gold rate'!$B$4:$EN$5,2,FALSE),0),"")</calculatedColumnFormula>
    </tableColumn>
    <tableColumn id="11" name="10" dataDxfId="357">
      <calculatedColumnFormula>_xlfn.IFNA(ROUND(HLOOKUP('Link table'!K4,'Progression - Gold rate'!$B$4:$EN$5,2,FALSE),0),"")</calculatedColumnFormula>
    </tableColumn>
    <tableColumn id="12" name="11" dataDxfId="356">
      <calculatedColumnFormula>_xlfn.IFNA(ROUND(HLOOKUP('Link table'!L4,'Progression - Gold rate'!$B$4:$EN$5,2,FALSE),0),"")</calculatedColumnFormula>
    </tableColumn>
    <tableColumn id="13" name="12" dataDxfId="355">
      <calculatedColumnFormula>_xlfn.IFNA(ROUND(HLOOKUP('Link table'!M4,'Progression - Gold rate'!$B$4:$EN$5,2,FALSE),0),"")</calculatedColumnFormula>
    </tableColumn>
    <tableColumn id="14" name="13" dataDxfId="354">
      <calculatedColumnFormula>_xlfn.IFNA(ROUND(HLOOKUP('Link table'!N4,'Progression - Gold rate'!$B$4:$EN$5,2,FALSE),0),"")</calculatedColumnFormula>
    </tableColumn>
    <tableColumn id="15" name="14" dataDxfId="353">
      <calculatedColumnFormula>_xlfn.IFNA(ROUND(HLOOKUP('Link table'!O4,'Progression - Gold rate'!$B$4:$EN$5,2,FALSE),0),"")</calculatedColumnFormula>
    </tableColumn>
    <tableColumn id="16" name="15" dataDxfId="352">
      <calculatedColumnFormula>_xlfn.IFNA(ROUND(HLOOKUP('Link table'!P4,'Progression - Gold rate'!$B$4:$EN$5,2,FALSE),0),"")</calculatedColumnFormula>
    </tableColumn>
    <tableColumn id="17" name="16" dataDxfId="351">
      <calculatedColumnFormula>_xlfn.IFNA(ROUND(HLOOKUP('Link table'!Q4,'Progression - Gold rate'!$B$4:$EN$5,2,FALSE),0),"")</calculatedColumnFormula>
    </tableColumn>
    <tableColumn id="18" name="17" dataDxfId="350">
      <calculatedColumnFormula>_xlfn.IFNA(ROUND(HLOOKUP('Link table'!R4,'Progression - Gold rate'!$B$4:$EN$5,2,FALSE),0),"")</calculatedColumnFormula>
    </tableColumn>
    <tableColumn id="19" name="18" dataDxfId="349">
      <calculatedColumnFormula>_xlfn.IFNA(ROUND(HLOOKUP('Link table'!S4,'Progression - Gold rate'!$B$4:$EN$5,2,FALSE),0),"")</calculatedColumnFormula>
    </tableColumn>
    <tableColumn id="20" name="19" dataDxfId="348">
      <calculatedColumnFormula>_xlfn.IFNA(ROUND(HLOOKUP('Link table'!T4,'Progression - Gold rate'!$B$4:$EN$5,2,FALSE),0),"")</calculatedColumnFormula>
    </tableColumn>
    <tableColumn id="21" name="20" dataDxfId="347">
      <calculatedColumnFormula>_xlfn.IFNA(ROUND(HLOOKUP('Link table'!U4,'Progression - Gold rate'!$B$4:$EN$5,2,FALSE),0),"")</calculatedColumnFormula>
    </tableColumn>
  </tableColumns>
  <tableStyleInfo name="TableStyleDark9" showFirstColumn="0" showLastColumn="0" showRowStripes="1" showColumnStripes="0"/>
</table>
</file>

<file path=xl/tables/table15.xml><?xml version="1.0" encoding="utf-8"?>
<table xmlns="http://schemas.openxmlformats.org/spreadsheetml/2006/main" id="15" name="Table1016" displayName="Table1016" ref="A21:V31" totalsRowShown="0" headerRowDxfId="346" dataDxfId="345">
  <autoFilter ref="A21:V31"/>
  <tableColumns count="22">
    <tableColumn id="1" name="Dragon ID / Level" dataDxfId="344"/>
    <tableColumn id="22" name="Max level" dataDxfId="343">
      <calculatedColumnFormula>HLOOKUP(Table1016[[#This Row],[Dragon ID / Level]],Table86[],2,FALSE)</calculatedColumnFormula>
    </tableColumn>
    <tableColumn id="2" name="1" dataDxfId="342">
      <calculatedColumnFormula>IFERROR(C9*'Progression - Growth rate'!E20,"")</calculatedColumnFormula>
    </tableColumn>
    <tableColumn id="3" name="2" dataDxfId="341">
      <calculatedColumnFormula>IFERROR(D9*'Progression - Growth rate'!F20,"")</calculatedColumnFormula>
    </tableColumn>
    <tableColumn id="4" name="3" dataDxfId="340">
      <calculatedColumnFormula>IFERROR(E9*'Progression - Growth rate'!G20,"")</calculatedColumnFormula>
    </tableColumn>
    <tableColumn id="5" name="4" dataDxfId="339">
      <calculatedColumnFormula>IFERROR(F9*'Progression - Growth rate'!H20,"")</calculatedColumnFormula>
    </tableColumn>
    <tableColumn id="6" name="5" dataDxfId="338">
      <calculatedColumnFormula>IFERROR(G9*'Progression - Growth rate'!I20,"")</calculatedColumnFormula>
    </tableColumn>
    <tableColumn id="7" name="6" dataDxfId="337">
      <calculatedColumnFormula>IFERROR(H9*'Progression - Growth rate'!J20,"")</calculatedColumnFormula>
    </tableColumn>
    <tableColumn id="8" name="7" dataDxfId="336">
      <calculatedColumnFormula>IFERROR(I9*'Progression - Growth rate'!K20,"")</calculatedColumnFormula>
    </tableColumn>
    <tableColumn id="9" name="8" dataDxfId="335">
      <calculatedColumnFormula>IFERROR(J9*'Progression - Growth rate'!L20,"")</calculatedColumnFormula>
    </tableColumn>
    <tableColumn id="10" name="9" dataDxfId="334">
      <calculatedColumnFormula>IFERROR(K9*'Progression - Growth rate'!M20,"")</calculatedColumnFormula>
    </tableColumn>
    <tableColumn id="11" name="10" dataDxfId="333">
      <calculatedColumnFormula>IFERROR(L9*'Progression - Growth rate'!N20,"")</calculatedColumnFormula>
    </tableColumn>
    <tableColumn id="12" name="11" dataDxfId="332">
      <calculatedColumnFormula>IFERROR(M9*'Progression - Growth rate'!O20,"")</calculatedColumnFormula>
    </tableColumn>
    <tableColumn id="13" name="12" dataDxfId="331">
      <calculatedColumnFormula>IFERROR(N9*'Progression - Growth rate'!P20,"")</calculatedColumnFormula>
    </tableColumn>
    <tableColumn id="14" name="13" dataDxfId="330">
      <calculatedColumnFormula>IFERROR(O9*'Progression - Growth rate'!Q20,"")</calculatedColumnFormula>
    </tableColumn>
    <tableColumn id="15" name="14" dataDxfId="329">
      <calculatedColumnFormula>IFERROR(P9*'Progression - Growth rate'!R20,"")</calculatedColumnFormula>
    </tableColumn>
    <tableColumn id="16" name="15" dataDxfId="328">
      <calculatedColumnFormula>IFERROR(Q9*'Progression - Growth rate'!S20,"")</calculatedColumnFormula>
    </tableColumn>
    <tableColumn id="17" name="16" dataDxfId="327">
      <calculatedColumnFormula>IFERROR(R9*'Progression - Growth rate'!T20,"")</calculatedColumnFormula>
    </tableColumn>
    <tableColumn id="18" name="17" dataDxfId="326">
      <calculatedColumnFormula>IFERROR(S9*'Progression - Growth rate'!U20,"")</calculatedColumnFormula>
    </tableColumn>
    <tableColumn id="19" name="18" dataDxfId="325">
      <calculatedColumnFormula>IFERROR(T9*'Progression - Growth rate'!V20,"")</calculatedColumnFormula>
    </tableColumn>
    <tableColumn id="20" name="19" dataDxfId="324">
      <calculatedColumnFormula>IFERROR(U9*'Progression - Growth rate'!W20,"")</calculatedColumnFormula>
    </tableColumn>
    <tableColumn id="21" name="20" dataDxfId="323">
      <calculatedColumnFormula>IFERROR(V9*'Progression - Growth rate'!X20,"")</calculatedColumnFormula>
    </tableColumn>
  </tableColumns>
  <tableStyleInfo name="TableStyleDark9" showFirstColumn="0" showLastColumn="0" showRowStripes="1" showColumnStripes="0"/>
</table>
</file>

<file path=xl/tables/table16.xml><?xml version="1.0" encoding="utf-8"?>
<table xmlns="http://schemas.openxmlformats.org/spreadsheetml/2006/main" id="61" name="Table61" displayName="Table61" ref="A10:L30" totalsRowShown="0" headerRowDxfId="322" dataDxfId="321">
  <autoFilter ref="A10:L30"/>
  <tableColumns count="12">
    <tableColumn id="1" name="Time Survived" dataDxfId="320"/>
    <tableColumn id="2" name="Bonus sc (%)" dataDxfId="319" dataCellStyle="Percent">
      <calculatedColumnFormula>$B$8/POWER(Table61[[#This Row],[Time Survived]],$B$9)</calculatedColumnFormula>
    </tableColumn>
    <tableColumn id="3" name="1" dataDxfId="318">
      <calculatedColumnFormula>ROUND(INDEX('Progression - Gold rate'!$X$9:$X$18,C$10)*INDEX(RunDuration[Expected AVG time (mn)],C$10)*$B11,0)</calculatedColumnFormula>
    </tableColumn>
    <tableColumn id="4" name="2" dataDxfId="317">
      <calculatedColumnFormula>ROUND(INDEX('Progression - Gold rate'!$X$9:$X$18,D$10)*INDEX(RunDuration[Dragon ID / Level],D$10)*$B11,0)</calculatedColumnFormula>
    </tableColumn>
    <tableColumn id="5" name="3" dataDxfId="316">
      <calculatedColumnFormula>ROUND(INDEX('Progression - Gold rate'!$X$9:$X$18,E$10)*INDEX(RunDuration[Max level],E$10)*$B11,0)</calculatedColumnFormula>
    </tableColumn>
    <tableColumn id="6" name="4" dataDxfId="315">
      <calculatedColumnFormula>ROUND(INDEX('Progression - Gold rate'!$X$9:$X$18,F$10)*INDEX(RunDuration[Expected AVG time (mn)],F$10)*$B11,0)</calculatedColumnFormula>
    </tableColumn>
    <tableColumn id="7" name="5" dataDxfId="314">
      <calculatedColumnFormula>ROUND(INDEX('Progression - Gold rate'!$X$9:$X$18,G$10)*INDEX(RunDuration[Dragon ID / Level],G$10)*$B11,0)</calculatedColumnFormula>
    </tableColumn>
    <tableColumn id="8" name="6" dataDxfId="313">
      <calculatedColumnFormula>ROUND(INDEX('Progression - Gold rate'!$X$9:$X$18,H$10)*INDEX(RunDuration[Max level],H$10)*$B11,0)</calculatedColumnFormula>
    </tableColumn>
    <tableColumn id="9" name="7" dataDxfId="312">
      <calculatedColumnFormula>ROUND(INDEX('Progression - Gold rate'!$X$9:$X$18,I$10)*INDEX(RunDuration[Expected AVG time (mn)],I$10)*$B11,0)</calculatedColumnFormula>
    </tableColumn>
    <tableColumn id="10" name="8" dataDxfId="311">
      <calculatedColumnFormula>ROUND(INDEX('Progression - Gold rate'!$X$9:$X$18,J$10)*INDEX(RunDuration[Dragon ID / Level],J$10)*$B11,0)</calculatedColumnFormula>
    </tableColumn>
    <tableColumn id="11" name="9" dataDxfId="310">
      <calculatedColumnFormula>ROUND(INDEX('Progression - Gold rate'!$X$9:$X$18,K$10)*INDEX(RunDuration[Max level],K$10)*$B11,0)</calculatedColumnFormula>
    </tableColumn>
    <tableColumn id="12" name="10" dataDxfId="309">
      <calculatedColumnFormula>ROUND(INDEX('Progression - Gold rate'!$X$9:$X$18,L$10)*INDEX(RunDuration[Expected AVG time (mn)],L$10)*$B11,0)</calculatedColumnFormula>
    </tableColumn>
  </tableColumns>
  <tableStyleInfo name="TableStyleDark9" showFirstColumn="0" showLastColumn="0" showRowStripes="1" showColumnStripes="0"/>
</table>
</file>

<file path=xl/tables/table17.xml><?xml version="1.0" encoding="utf-8"?>
<table xmlns="http://schemas.openxmlformats.org/spreadsheetml/2006/main" id="79" name="Table79" displayName="Table79" ref="B33:K53" totalsRowShown="0" headerRowDxfId="308" dataDxfId="307" tableBorderDxfId="306">
  <autoFilter ref="B33:K53"/>
  <tableColumns count="10">
    <tableColumn id="1" name="Dragon 1" dataDxfId="305">
      <calculatedColumnFormula>C11*$A34</calculatedColumnFormula>
    </tableColumn>
    <tableColumn id="2" name="Dragon 2" dataDxfId="304">
      <calculatedColumnFormula>D11*$A34</calculatedColumnFormula>
    </tableColumn>
    <tableColumn id="3" name="Dragon 3" dataDxfId="303">
      <calculatedColumnFormula>E11*$A34</calculatedColumnFormula>
    </tableColumn>
    <tableColumn id="4" name="Dragon 4" dataDxfId="302">
      <calculatedColumnFormula>F11*$A34</calculatedColumnFormula>
    </tableColumn>
    <tableColumn id="5" name="Dragon 5" dataDxfId="301">
      <calculatedColumnFormula>G11*$A34</calculatedColumnFormula>
    </tableColumn>
    <tableColumn id="6" name="Dragon 6" dataDxfId="300">
      <calculatedColumnFormula>H11*$A34</calculatedColumnFormula>
    </tableColumn>
    <tableColumn id="7" name="Dragon 7" dataDxfId="299">
      <calculatedColumnFormula>I11*$A34</calculatedColumnFormula>
    </tableColumn>
    <tableColumn id="8" name="Dragon 8" dataDxfId="298">
      <calculatedColumnFormula>J11*$A34</calculatedColumnFormula>
    </tableColumn>
    <tableColumn id="9" name="Dragon 9" dataDxfId="297">
      <calculatedColumnFormula>K11*$A34</calculatedColumnFormula>
    </tableColumn>
    <tableColumn id="10" name="Dragon 10" dataDxfId="296">
      <calculatedColumnFormula>L11*$A34</calculatedColumnFormula>
    </tableColumn>
  </tableColumns>
  <tableStyleInfo name="TableStyleDark9" showFirstColumn="0" showLastColumn="0" showRowStripes="1" showColumnStripes="0"/>
</table>
</file>

<file path=xl/tables/table18.xml><?xml version="1.0" encoding="utf-8"?>
<table xmlns="http://schemas.openxmlformats.org/spreadsheetml/2006/main" id="13" name="Table1014" displayName="Table1014" ref="B19:X29" totalsRowShown="0" headerRowDxfId="295" dataDxfId="294">
  <autoFilter ref="B19:X29"/>
  <tableColumns count="23">
    <tableColumn id="1" name="Dragon ID / Level" dataDxfId="293"/>
    <tableColumn id="2" name="Max level" dataDxfId="292"/>
    <tableColumn id="24" name="Growth variable" dataDxfId="291"/>
    <tableColumn id="3" name="1" dataDxfId="290">
      <calculatedColumnFormula>IFERROR(B4/SUM($B4:$U4)*$A20,"")</calculatedColumnFormula>
    </tableColumn>
    <tableColumn id="4" name="2" dataDxfId="289">
      <calculatedColumnFormula>IFERROR(C4/SUM($B4:$U4)*$A20,"")</calculatedColumnFormula>
    </tableColumn>
    <tableColumn id="5" name="3" dataDxfId="288">
      <calculatedColumnFormula>IFERROR(D4/SUM($B4:$U4)*$A20,"")</calculatedColumnFormula>
    </tableColumn>
    <tableColumn id="6" name="4" dataDxfId="287">
      <calculatedColumnFormula>IFERROR(E4/SUM($B4:$U4)*$A20,"")</calculatedColumnFormula>
    </tableColumn>
    <tableColumn id="7" name="5" dataDxfId="286">
      <calculatedColumnFormula>IFERROR(F4/SUM($B4:$U4)*$A20,"")</calculatedColumnFormula>
    </tableColumn>
    <tableColumn id="8" name="6" dataDxfId="285">
      <calculatedColumnFormula>IFERROR(G4/SUM($B4:$U4)*$A20,"")</calculatedColumnFormula>
    </tableColumn>
    <tableColumn id="9" name="7" dataDxfId="284">
      <calculatedColumnFormula>IFERROR(H4/SUM($B4:$U4)*$A20,"")</calculatedColumnFormula>
    </tableColumn>
    <tableColumn id="10" name="8" dataDxfId="283">
      <calculatedColumnFormula>IFERROR(I4/SUM($B4:$U4)*$A20,"")</calculatedColumnFormula>
    </tableColumn>
    <tableColumn id="11" name="9" dataDxfId="282">
      <calculatedColumnFormula>IFERROR(J4/SUM($B4:$U4)*$A20,"")</calculatedColumnFormula>
    </tableColumn>
    <tableColumn id="12" name="10" dataDxfId="281">
      <calculatedColumnFormula>IFERROR(K4/SUM($B4:$U4)*$A20,"")</calculatedColumnFormula>
    </tableColumn>
    <tableColumn id="13" name="11" dataDxfId="280">
      <calculatedColumnFormula>IFERROR(L4/SUM($B4:$U4)*$A20,"")</calculatedColumnFormula>
    </tableColumn>
    <tableColumn id="14" name="12" dataDxfId="279">
      <calculatedColumnFormula>IFERROR(M4/SUM($B4:$U4)*$A20,"")</calculatedColumnFormula>
    </tableColumn>
    <tableColumn id="15" name="13" dataDxfId="278">
      <calculatedColumnFormula>IFERROR(N4/SUM($B4:$U4)*$A20,"")</calculatedColumnFormula>
    </tableColumn>
    <tableColumn id="16" name="14" dataDxfId="277">
      <calculatedColumnFormula>IFERROR(O4/SUM($B4:$U4)*$A20,"")</calculatedColumnFormula>
    </tableColumn>
    <tableColumn id="17" name="15" dataDxfId="276">
      <calculatedColumnFormula>IFERROR(P4/SUM($B4:$U4)*$A20,"")</calculatedColumnFormula>
    </tableColumn>
    <tableColumn id="18" name="16" dataDxfId="275">
      <calculatedColumnFormula>IFERROR(Q4/SUM($B4:$U4)*$A20,"")</calculatedColumnFormula>
    </tableColumn>
    <tableColumn id="19" name="17" dataDxfId="274">
      <calculatedColumnFormula>IFERROR(R4/SUM($B4:$U4)*$A20,"")</calculatedColumnFormula>
    </tableColumn>
    <tableColumn id="20" name="18" dataDxfId="273">
      <calculatedColumnFormula>IFERROR(S4/SUM($B4:$U4)*$A20,"")</calculatedColumnFormula>
    </tableColumn>
    <tableColumn id="21" name="19" dataDxfId="272">
      <calculatedColumnFormula>IFERROR(T4/SUM($B4:$U4)*$A20,"")</calculatedColumnFormula>
    </tableColumn>
    <tableColumn id="22" name="20" dataDxfId="271">
      <calculatedColumnFormula>IFERROR(U4/SUM($B4:$U4)*$A20,"")</calculatedColumnFormula>
    </tableColumn>
  </tableColumns>
  <tableStyleInfo name="TableStyleDark9" showFirstColumn="0" showLastColumn="0" showRowStripes="1" showColumnStripes="0"/>
</table>
</file>

<file path=xl/tables/table19.xml><?xml version="1.0" encoding="utf-8"?>
<table xmlns="http://schemas.openxmlformats.org/spreadsheetml/2006/main" id="37" name="Table1038" displayName="Table1038" ref="A3:U13" totalsRowShown="0" headerRowDxfId="270" dataDxfId="269">
  <autoFilter ref="A3:U13"/>
  <tableColumns count="21">
    <tableColumn id="1" name="Dragon ID / Level" dataDxfId="268"/>
    <tableColumn id="2" name="1" dataDxfId="267"/>
    <tableColumn id="3" name="2" dataDxfId="266"/>
    <tableColumn id="4" name="3" dataDxfId="265"/>
    <tableColumn id="5" name="4" dataDxfId="264"/>
    <tableColumn id="6" name="5" dataDxfId="263"/>
    <tableColumn id="7" name="6" dataDxfId="262"/>
    <tableColumn id="8" name="7" dataDxfId="261"/>
    <tableColumn id="9" name="8" dataDxfId="260"/>
    <tableColumn id="10" name="9" dataDxfId="259"/>
    <tableColumn id="11" name="10" dataDxfId="258"/>
    <tableColumn id="12" name="11" dataDxfId="257"/>
    <tableColumn id="13" name="12" dataDxfId="256"/>
    <tableColumn id="14" name="13" dataDxfId="255"/>
    <tableColumn id="15" name="14" dataDxfId="254"/>
    <tableColumn id="16" name="15" dataDxfId="253"/>
    <tableColumn id="17" name="16" dataDxfId="252"/>
    <tableColumn id="18" name="17" dataDxfId="251"/>
    <tableColumn id="19" name="18" dataDxfId="250"/>
    <tableColumn id="20" name="19" dataDxfId="249"/>
    <tableColumn id="21" name="20" dataDxfId="248"/>
  </tableColumns>
  <tableStyleInfo name="TableStyleDark9" showFirstColumn="0" showLastColumn="0" showRowStripes="1" showColumnStripes="0"/>
</table>
</file>

<file path=xl/tables/table20.xml><?xml version="1.0" encoding="utf-8"?>
<table xmlns="http://schemas.openxmlformats.org/spreadsheetml/2006/main" id="35" name="Table1436" displayName="Table1436" ref="A7:D12" totalsRowShown="0" headerRowDxfId="247" dataDxfId="246">
  <autoFilter ref="A7:D12"/>
  <tableColumns count="4">
    <tableColumn id="1" name="Chest streak" dataDxfId="245"/>
    <tableColumn id="2" name="Reward type" dataDxfId="244"/>
    <tableColumn id="3" name="Amount" dataDxfId="243"/>
    <tableColumn id="4" name="Amount Dragon 1" dataDxfId="242">
      <calculatedColumnFormula>IF(Table1436[[#This Row],[Reward type]]="SC",Table1436[[#This Row],[Amount]]*INDEX(ChestsRewards[SC modifier],MATCH($D$6,ChestsRewards[Dragon],0)),Table1436[[#This Row],[Amount]])</calculatedColumnFormula>
    </tableColumn>
  </tableColumns>
  <tableStyleInfo name="TableStyleDark9" showFirstColumn="0" showLastColumn="0" showRowStripes="1" showColumnStripes="0"/>
</table>
</file>

<file path=xl/tables/table21.xml><?xml version="1.0" encoding="utf-8"?>
<table xmlns="http://schemas.openxmlformats.org/spreadsheetml/2006/main" id="41" name="ChestsRewards" displayName="ChestsRewards" ref="A14:G24" totalsRowShown="0" headerRowDxfId="241" dataDxfId="240">
  <autoFilter ref="A14:G24"/>
  <tableColumns count="7">
    <tableColumn id="1" name="Dragon" dataDxfId="239"/>
    <tableColumn id="2" name="SC modifier" dataDxfId="238">
      <calculatedColumnFormula>'Missions rewards&amp;quantities'!F5</calculatedColumnFormula>
    </tableColumn>
    <tableColumn id="3" name="Chest 1" dataDxfId="237">
      <calculatedColumnFormula>$C$8*ChestsRewards[[#This Row],[SC modifier]]</calculatedColumnFormula>
    </tableColumn>
    <tableColumn id="4" name="Chest 2" dataDxfId="236">
      <calculatedColumnFormula>$C$9*ChestsRewards[[#This Row],[SC modifier]]</calculatedColumnFormula>
    </tableColumn>
    <tableColumn id="5" name="Chest 3" dataDxfId="235">
      <calculatedColumnFormula>$C$10</calculatedColumnFormula>
    </tableColumn>
    <tableColumn id="6" name="Chest 4" dataDxfId="234">
      <calculatedColumnFormula>ChestsRewards[[#This Row],[SC modifier]]*$C$11</calculatedColumnFormula>
    </tableColumn>
    <tableColumn id="7" name="Chest 5" dataDxfId="233">
      <calculatedColumnFormula>$C$12</calculatedColumnFormula>
    </tableColumn>
  </tableColumns>
  <tableStyleInfo name="TableStyleDark9" showFirstColumn="0" showLastColumn="0" showRowStripes="1" showColumnStripes="0"/>
</table>
</file>

<file path=xl/tables/table22.xml><?xml version="1.0" encoding="utf-8"?>
<table xmlns="http://schemas.openxmlformats.org/spreadsheetml/2006/main" id="24" name="Table24" displayName="Table24" ref="A20:B23" totalsRowShown="0" headerRowDxfId="232" dataDxfId="231">
  <autoFilter ref="A20:B23"/>
  <tableColumns count="2">
    <tableColumn id="1" name="Calculation" dataDxfId="230"/>
    <tableColumn id="2" name="Formula" dataDxfId="229" dataCellStyle="Percent">
      <calculatedColumnFormula>1/POWER(A21,$C$18)</calculatedColumnFormula>
    </tableColumn>
  </tableColumns>
  <tableStyleInfo name="TableStyleDark9" showFirstColumn="0" showLastColumn="0" showRowStripes="1" showColumnStripes="0"/>
</table>
</file>

<file path=xl/tables/table23.xml><?xml version="1.0" encoding="utf-8"?>
<table xmlns="http://schemas.openxmlformats.org/spreadsheetml/2006/main" id="25" name="EggDropTable" displayName="EggDropTable" ref="A25:B28" totalsRowShown="0" headerRowDxfId="228" dataDxfId="227">
  <autoFilter ref="A25:B28"/>
  <tableColumns count="2">
    <tableColumn id="1" name="Item" dataDxfId="226"/>
    <tableColumn id="2" name="Drop rate" dataDxfId="225" dataCellStyle="Percent">
      <calculatedColumnFormula>B21/SUM(Table24[Formula])</calculatedColumnFormula>
    </tableColumn>
  </tableColumns>
  <tableStyleInfo name="TableStyleDark9" showFirstColumn="0" showLastColumn="0" showRowStripes="1" showColumnStripes="0"/>
</table>
</file>

<file path=xl/tables/table24.xml><?xml version="1.0" encoding="utf-8"?>
<table xmlns="http://schemas.openxmlformats.org/spreadsheetml/2006/main" id="40" name="EggCostHC" displayName="EggCostHC" ref="L3:M13" totalsRowShown="0" headerRowDxfId="224" dataDxfId="223">
  <autoFilter ref="L3:M13"/>
  <tableColumns count="2">
    <tableColumn id="1" name="Dragon" dataDxfId="222"/>
    <tableColumn id="2" name="Egg cost HC" dataDxfId="221">
      <calculatedColumnFormula>$M$1</calculatedColumnFormula>
    </tableColumn>
  </tableColumns>
  <tableStyleInfo name="TableStyleDark9" showFirstColumn="0" showLastColumn="0" showRowStripes="1" showColumnStripes="0"/>
</table>
</file>

<file path=xl/tables/table25.xml><?xml version="1.0" encoding="utf-8"?>
<table xmlns="http://schemas.openxmlformats.org/spreadsheetml/2006/main" id="26" name="Table26" displayName="Table26" ref="E23:F28" totalsRowShown="0" headerRowDxfId="220" dataDxfId="219">
  <autoFilter ref="E23:F28"/>
  <tableColumns count="2">
    <tableColumn id="1" name="Calculation" dataDxfId="218"/>
    <tableColumn id="2" name="Formula" dataDxfId="217" dataCellStyle="Percent">
      <calculatedColumnFormula>1/POWER(Table26[[#This Row],[Calculation]],$F$22)</calculatedColumnFormula>
    </tableColumn>
  </tableColumns>
  <tableStyleInfo name="TableStyleDark9" showFirstColumn="0" showLastColumn="0" showRowStripes="1" showColumnStripes="0"/>
</table>
</file>

<file path=xl/tables/table26.xml><?xml version="1.0" encoding="utf-8"?>
<table xmlns="http://schemas.openxmlformats.org/spreadsheetml/2006/main" id="27" name="Table27" displayName="Table27" ref="E30:F35" totalsRowShown="0" headerRowDxfId="216" dataDxfId="215">
  <autoFilter ref="E30:F35"/>
  <tableColumns count="2">
    <tableColumn id="1" name="Chest found" dataDxfId="214"/>
    <tableColumn id="2" name="Proba" dataDxfId="213">
      <calculatedColumnFormula>F24/SUM(Table26[Formula])</calculatedColumnFormula>
    </tableColumn>
  </tableColumns>
  <tableStyleInfo name="TableStyleDark9" showFirstColumn="0" showLastColumn="0" showRowStripes="1" showColumnStripes="0"/>
</table>
</file>

<file path=xl/tables/table27.xml><?xml version="1.0" encoding="utf-8"?>
<table xmlns="http://schemas.openxmlformats.org/spreadsheetml/2006/main" id="43" name="Table43" displayName="Table43" ref="A51:C91" totalsRowShown="0">
  <autoFilter ref="A51:C91"/>
  <tableColumns count="3">
    <tableColumn id="1" name="Tries without rares"/>
    <tableColumn id="2" name="Modifier" dataDxfId="212">
      <calculatedColumnFormula>ROUND(-($B$49*POWER(Table43[[#This Row],[Tries without rares]],$C$49)),2)</calculatedColumnFormula>
    </tableColumn>
    <tableColumn id="3" name="Adjustement Var" dataDxfId="211">
      <calculatedColumnFormula>$C$18+Table43[[#This Row],[Modifier]]</calculatedColumnFormula>
    </tableColumn>
  </tableColumns>
  <tableStyleInfo name="TableStyleDark9" showFirstColumn="0" showLastColumn="0" showRowStripes="1" showColumnStripes="0"/>
</table>
</file>

<file path=xl/tables/table28.xml><?xml version="1.0" encoding="utf-8"?>
<table xmlns="http://schemas.openxmlformats.org/spreadsheetml/2006/main" id="44" name="Table2445" displayName="Table2445" ref="E54:F57" totalsRowShown="0" headerRowDxfId="210" dataDxfId="209">
  <autoFilter ref="E54:F57"/>
  <tableColumns count="2">
    <tableColumn id="1" name="Calculation" dataDxfId="208"/>
    <tableColumn id="2" name="Calculated Weight" dataDxfId="207" dataCellStyle="Percent">
      <calculatedColumnFormula>1/POWER(E55,$G$52)</calculatedColumnFormula>
    </tableColumn>
  </tableColumns>
  <tableStyleInfo name="TableStyleDark9" showFirstColumn="0" showLastColumn="0" showRowStripes="1" showColumnStripes="0"/>
</table>
</file>

<file path=xl/tables/table29.xml><?xml version="1.0" encoding="utf-8"?>
<table xmlns="http://schemas.openxmlformats.org/spreadsheetml/2006/main" id="45" name="EggDropTable46" displayName="EggDropTable46" ref="E59:F62" totalsRowShown="0" headerRowDxfId="206" dataDxfId="205">
  <autoFilter ref="E59:F62"/>
  <tableColumns count="2">
    <tableColumn id="1" name="Item" dataDxfId="204"/>
    <tableColumn id="2" name="Drop rate" dataDxfId="203" dataCellStyle="Percent">
      <calculatedColumnFormula>F55/SUM(Table2445[Calculated Weight])</calculatedColumnFormula>
    </tableColumn>
  </tableColumns>
  <tableStyleInfo name="TableStyleDark9" showFirstColumn="0" showLastColumn="0" showRowStripes="1" showColumnStripes="0"/>
</table>
</file>

<file path=xl/tables/table30.xml><?xml version="1.0" encoding="utf-8"?>
<table xmlns="http://schemas.openxmlformats.org/spreadsheetml/2006/main" id="48" name="Table48" displayName="Table48" ref="A14:D17" totalsRowShown="0" headerRowDxfId="202" dataDxfId="201">
  <autoFilter ref="A14:D17"/>
  <tableColumns count="4">
    <tableColumn id="1" name="Item" dataDxfId="200"/>
    <tableColumn id="2" name="Proba" dataDxfId="199" dataCellStyle="Percent"/>
    <tableColumn id="3" name="calculation Step" dataDxfId="198">
      <calculatedColumnFormula>1/POWER(Table48[[#This Row],[Item]],$B$11)</calculatedColumnFormula>
    </tableColumn>
    <tableColumn id="4" name="# of items" dataDxfId="197" dataCellStyle="Percent">
      <calculatedColumnFormula>ROUND(Table48[[#This Row],[calculation Step]]/SUM(Table48[calculation Step])*$B$9,0)</calculatedColumnFormula>
    </tableColumn>
  </tableColumns>
  <tableStyleInfo name="TableStyleDark9" showFirstColumn="0" showLastColumn="0" showRowStripes="1" showColumnStripes="0"/>
</table>
</file>

<file path=xl/tables/table31.xml><?xml version="1.0" encoding="utf-8"?>
<table xmlns="http://schemas.openxmlformats.org/spreadsheetml/2006/main" id="49" name="Table49" displayName="Table49" ref="A7:B11" totalsRowShown="0" tableBorderDxfId="196">
  <autoFilter ref="A7:B11"/>
  <tableColumns count="2">
    <tableColumn id="1" name="Variable"/>
    <tableColumn id="2" name="#"/>
  </tableColumns>
  <tableStyleInfo name="TableStyleDark9" showFirstColumn="0" showLastColumn="0" showRowStripes="1" showColumnStripes="0"/>
</table>
</file>

<file path=xl/tables/table32.xml><?xml version="1.0" encoding="utf-8"?>
<table xmlns="http://schemas.openxmlformats.org/spreadsheetml/2006/main" id="50" name="Table50" displayName="Table50" ref="A20:C23" totalsRowShown="0" headerRowDxfId="195" dataDxfId="194" tableBorderDxfId="193">
  <autoFilter ref="A20:C23"/>
  <tableColumns count="3">
    <tableColumn id="1" name="Item" dataDxfId="192"/>
    <tableColumn id="2" name="Proba" dataDxfId="191">
      <calculatedColumnFormula>B15*1/D15</calculatedColumnFormula>
    </tableColumn>
    <tableColumn id="3" name="AVG tries" dataDxfId="190">
      <calculatedColumnFormula>ROUND(LOG(1-$B$8)/LOG(1-Table50[[#This Row],[Proba]]),0)</calculatedColumnFormula>
    </tableColumn>
  </tableColumns>
  <tableStyleInfo name="TableStyleDark9" showFirstColumn="0" showLastColumn="0" showRowStripes="1" showColumnStripes="0"/>
</table>
</file>

<file path=xl/tables/table33.xml><?xml version="1.0" encoding="utf-8"?>
<table xmlns="http://schemas.openxmlformats.org/spreadsheetml/2006/main" id="51" name="Table51" displayName="Table51" ref="A25:B26" totalsRowShown="0">
  <autoFilter ref="A25:B26"/>
  <tableColumns count="2">
    <tableColumn id="1" name="SUM">
      <calculatedColumnFormula>SUM(Table50[AVG tries])</calculatedColumnFormula>
    </tableColumn>
    <tableColumn id="2" name="$ Total" dataDxfId="189" dataCellStyle="Currency">
      <calculatedColumnFormula>Table51[SUM]*B10</calculatedColumnFormula>
    </tableColumn>
  </tableColumns>
  <tableStyleInfo name="TableStyleDark9" showFirstColumn="0" showLastColumn="0" showRowStripes="1" showColumnStripes="0"/>
</table>
</file>

<file path=xl/tables/table34.xml><?xml version="1.0" encoding="utf-8"?>
<table xmlns="http://schemas.openxmlformats.org/spreadsheetml/2006/main" id="52" name="Table4853" displayName="Table4853" ref="A28:H31" totalsRowShown="0" headerRowDxfId="188" dataDxfId="187">
  <autoFilter ref="A28:H31"/>
  <tableColumns count="8">
    <tableColumn id="1" name="Item" dataDxfId="186"/>
    <tableColumn id="2" name="Proba" dataDxfId="185"/>
    <tableColumn id="3" name="calculation Step" dataDxfId="184">
      <calculatedColumnFormula>1/POWER(Table4853[[#This Row],[Item]],$D$27)</calculatedColumnFormula>
    </tableColumn>
    <tableColumn id="4" name="# of items" dataDxfId="183" dataCellStyle="Percent">
      <calculatedColumnFormula>ROUND(Table4853[[#This Row],[calculation Step]]/SUM(Table4853[calculation Step])*Table56['#],0)</calculatedColumnFormula>
    </tableColumn>
    <tableColumn id="6" name="First ID" dataDxfId="182" dataCellStyle="Percent">
      <calculatedColumnFormula>Table56['#]-SUM(D29:$D$31)+1</calculatedColumnFormula>
    </tableColumn>
    <tableColumn id="5" name="Last ID" dataDxfId="181">
      <calculatedColumnFormula>SUM($D$29:D29)</calculatedColumnFormula>
    </tableColumn>
    <tableColumn id="7" name="eggPartsGiven%" dataDxfId="180"/>
    <tableColumn id="8" name="eggPartsGiven" dataDxfId="179">
      <calculatedColumnFormula>ROUNDUP(Table4853[[#This Row],[eggPartsGiven%]]*$E$19,0)</calculatedColumnFormula>
    </tableColumn>
  </tableColumns>
  <tableStyleInfo name="TableStyleDark9" showFirstColumn="0" showLastColumn="0" showRowStripes="1" showColumnStripes="0"/>
</table>
</file>

<file path=xl/tables/table35.xml><?xml version="1.0" encoding="utf-8"?>
<table xmlns="http://schemas.openxmlformats.org/spreadsheetml/2006/main" id="56" name="Table56" displayName="Table56" ref="A3:B4" totalsRowShown="0">
  <autoFilter ref="A3:B4"/>
  <tableColumns count="2">
    <tableColumn id="1" name="Variable"/>
    <tableColumn id="2" name="#"/>
  </tableColumns>
  <tableStyleInfo name="TableStyleDark9" showFirstColumn="0" showLastColumn="0" showRowStripes="1" showColumnStripes="0"/>
</table>
</file>

<file path=xl/tables/table36.xml><?xml version="1.0" encoding="utf-8"?>
<table xmlns="http://schemas.openxmlformats.org/spreadsheetml/2006/main" id="65" name="Table65" displayName="Table65" ref="A39:E125" totalsRowShown="0" headerRowDxfId="178" dataDxfId="177">
  <autoFilter ref="A39:E125"/>
  <tableColumns count="5">
    <tableColumn id="1" name="Pet ID" dataDxfId="176">
      <calculatedColumnFormula>IF(A39="Pet ID",1,IF(A39&gt;=Table56['#],"",A39+1))</calculatedColumnFormula>
    </tableColumn>
    <tableColumn id="2" name="Quality" dataDxfId="175">
      <calculatedColumnFormula>IF(Table65[[#This Row],[Pet ID]]="","",_xlfn.IFNA(IF(Table65[[#This Row],[Pet ID]]=Table56['#],MAX(Table4853[Item]),1+MATCH(Table65[[#This Row],[Pet ID]],Table4853[Last ID],1)),1))</calculatedColumnFormula>
    </tableColumn>
    <tableColumn id="3" name="Powers" dataDxfId="174"/>
    <tableColumn id="4" name="Bonus SC" dataDxfId="173">
      <calculatedColumnFormula>IFERROR(ROUND($B$35*Table65[[#This Row],[Pet ID]]+$C$35,2),"")</calculatedColumnFormula>
    </tableColumn>
    <tableColumn id="5" name="Bonus Run Duration" dataDxfId="172">
      <calculatedColumnFormula>IFERROR(ROUND($D$35*Table65[[#This Row],[Pet ID]]+$E$35,3),"")</calculatedColumnFormula>
    </tableColumn>
  </tableColumns>
  <tableStyleInfo name="TableStyleDark9" showFirstColumn="0" showLastColumn="0" showRowStripes="1" showColumnStripes="0"/>
</table>
</file>

<file path=xl/tables/table37.xml><?xml version="1.0" encoding="utf-8"?>
<table xmlns="http://schemas.openxmlformats.org/spreadsheetml/2006/main" id="64" name="Table64" displayName="Table64" ref="A6:B16" totalsRowShown="0" headerRowDxfId="171" dataDxfId="170">
  <autoFilter ref="A6:B16"/>
  <tableColumns count="2">
    <tableColumn id="1" name="Dragon ID" dataDxfId="169"/>
    <tableColumn id="2" name="Max nb of pets" dataDxfId="168"/>
  </tableColumns>
  <tableStyleInfo name="TableStyleDark9" showFirstColumn="0" showLastColumn="0" showRowStripes="1" showColumnStripes="0"/>
</table>
</file>

<file path=xl/tables/table38.xml><?xml version="1.0" encoding="utf-8"?>
<table xmlns="http://schemas.openxmlformats.org/spreadsheetml/2006/main" id="80" name="Table80" displayName="Table80" ref="A22:E25" totalsRowShown="0" dataDxfId="167">
  <autoFilter ref="A22:E25"/>
  <tableColumns count="5">
    <tableColumn id="1" name="Pet ID" dataDxfId="166"/>
    <tableColumn id="2" name="Powers" dataDxfId="165"/>
    <tableColumn id="3" name="Bonus SC" dataDxfId="164">
      <calculatedColumnFormula>ROUND(AVERAGE(Table65[Bonus SC]),2)</calculatedColumnFormula>
    </tableColumn>
    <tableColumn id="4" name="Bonus Run Duration" dataDxfId="163">
      <calculatedColumnFormula>ROUND(AVERAGE(Table65[Bonus Run Duration]),2)</calculatedColumnFormula>
    </tableColumn>
    <tableColumn id="5" name="Parts Needed" dataDxfId="162"/>
  </tableColumns>
  <tableStyleInfo name="TableStyleDark9" showFirstColumn="0" showLastColumn="0" showRowStripes="1" showColumnStripes="0"/>
</table>
</file>

<file path=xl/tables/table39.xml><?xml version="1.0" encoding="utf-8"?>
<table xmlns="http://schemas.openxmlformats.org/spreadsheetml/2006/main" id="16" name="Table16" displayName="Table16" ref="A16:H96" totalsRowShown="0" headerRowDxfId="161" dataDxfId="160">
  <autoFilter ref="A16:H96"/>
  <tableColumns count="8">
    <tableColumn id="1" name="Dragon" dataDxfId="159"/>
    <tableColumn id="2" name="Item" dataDxfId="158"/>
    <tableColumn id="3" name="Quality" dataDxfId="157"/>
    <tableColumn id="4" name="Duplicate SC reward" dataDxfId="156">
      <calculatedColumnFormula>HLOOKUP(Table16[[#This Row],[Quality]],Table95[[#All],[Common]:[Epic]],Table16[[#This Row],[Dragon]]+1,FALSE)</calculatedColumnFormula>
    </tableColumn>
    <tableColumn id="5" name="SC Bonus" dataDxfId="155"/>
    <tableColumn id="6" name="Duration Bonus" dataDxfId="154"/>
    <tableColumn id="7" name="Mission % Bonus" dataDxfId="153">
      <calculatedColumnFormula>5</calculatedColumnFormula>
    </tableColumn>
    <tableColumn id="8" name="Test2" dataDxfId="152">
      <calculatedColumnFormula>2*Table16[[#This Row],[Duration Bonus]]</calculatedColumnFormula>
    </tableColumn>
  </tableColumns>
  <tableStyleInfo name="TableStyleDark9" showFirstColumn="0" showLastColumn="0" showRowStripes="1" showColumnStripes="0"/>
</table>
</file>

<file path=xl/tables/table40.xml><?xml version="1.0" encoding="utf-8"?>
<table xmlns="http://schemas.openxmlformats.org/spreadsheetml/2006/main" id="17" name="Table17" displayName="Table17" ref="A6:B9" totalsRowShown="0">
  <autoFilter ref="A6:B9"/>
  <tableColumns count="2">
    <tableColumn id="1" name="Quality"/>
    <tableColumn id="2" name="Caclulation" dataCellStyle="Percent">
      <calculatedColumnFormula>1/POWER(Table17[[#This Row],[Quality]],$C$5)</calculatedColumnFormula>
    </tableColumn>
  </tableColumns>
  <tableStyleInfo name="TableStyleDark9" showFirstColumn="0" showLastColumn="0" showRowStripes="1" showColumnStripes="0"/>
</table>
</file>

<file path=xl/tables/table41.xml><?xml version="1.0" encoding="utf-8"?>
<table xmlns="http://schemas.openxmlformats.org/spreadsheetml/2006/main" id="18" name="Table18" displayName="Table18" ref="A11:C14" totalsRowShown="0">
  <autoFilter ref="A11:C14"/>
  <sortState ref="A12:C14">
    <sortCondition descending="1" ref="C11:C14"/>
  </sortState>
  <tableColumns count="3">
    <tableColumn id="1" name="Quality"/>
    <tableColumn id="2" name="Reparition" dataCellStyle="Percent">
      <calculatedColumnFormula>B7/SUM(Table17[Caclulation])</calculatedColumnFormula>
    </tableColumn>
    <tableColumn id="3" name="Count" dataDxfId="151">
      <calculatedColumnFormula>ROUND(Table18[[#This Row],[Reparition]]*$B$3,0)</calculatedColumnFormula>
    </tableColumn>
  </tableColumns>
  <tableStyleInfo name="TableStyleDark9" showFirstColumn="0" showLastColumn="0" showRowStripes="1" showColumnStripes="0"/>
</table>
</file>

<file path=xl/tables/table42.xml><?xml version="1.0" encoding="utf-8"?>
<table xmlns="http://schemas.openxmlformats.org/spreadsheetml/2006/main" id="22" name="Table22" displayName="Table22" ref="L11:O21" totalsRowShown="0" headerRowDxfId="150" dataDxfId="149">
  <autoFilter ref="L11:O21"/>
  <tableColumns count="4">
    <tableColumn id="1" name="Pet" dataDxfId="148"/>
    <tableColumn id="2" name="Quality" dataDxfId="147"/>
    <tableColumn id="3" name="SC Bonus" dataDxfId="146"/>
    <tableColumn id="4" name="Duration Bonus" dataDxfId="145"/>
  </tableColumns>
  <tableStyleInfo name="TableStyleDark9" showFirstColumn="0" showLastColumn="0" showRowStripes="1" showColumnStripes="0"/>
</table>
</file>

<file path=xl/tables/table43.xml><?xml version="1.0" encoding="utf-8"?>
<table xmlns="http://schemas.openxmlformats.org/spreadsheetml/2006/main" id="23" name="Table23" displayName="Table23" ref="L25:M28" totalsRowShown="0" headerRowDxfId="144" dataDxfId="143" tableBorderDxfId="142">
  <autoFilter ref="L25:M28"/>
  <tableColumns count="2">
    <tableColumn id="1" name="Specials" dataDxfId="141"/>
    <tableColumn id="2" name="Quality" dataDxfId="140"/>
  </tableColumns>
  <tableStyleInfo name="TableStyleDark9" showFirstColumn="0" showLastColumn="0" showRowStripes="1" showColumnStripes="0"/>
</table>
</file>

<file path=xl/tables/table44.xml><?xml version="1.0" encoding="utf-8"?>
<table xmlns="http://schemas.openxmlformats.org/spreadsheetml/2006/main" id="38" name="Table38" displayName="Table38" ref="Q3:R12" totalsRowShown="0">
  <autoFilter ref="Q3:R12"/>
  <tableColumns count="2">
    <tableColumn id="1" name="Some metrics"/>
    <tableColumn id="2" name="Metrics"/>
  </tableColumns>
  <tableStyleInfo name="TableStyleDark9" showFirstColumn="0" showLastColumn="0" showRowStripes="1" showColumnStripes="0"/>
</table>
</file>

<file path=xl/tables/table45.xml><?xml version="1.0" encoding="utf-8"?>
<table xmlns="http://schemas.openxmlformats.org/spreadsheetml/2006/main" id="94" name="Table2395" displayName="Table2395" ref="L32:M35" totalsRowShown="0" headerRowDxfId="139" dataDxfId="138" tableBorderDxfId="137">
  <autoFilter ref="L32:M35"/>
  <tableColumns count="2">
    <tableColumn id="1" name="Rank" dataDxfId="136"/>
    <tableColumn id="2" name="Gold Impact" dataDxfId="135" dataCellStyle="Percent">
      <calculatedColumnFormula>Table2395[[#This Row],[Rank]]/3</calculatedColumnFormula>
    </tableColumn>
  </tableColumns>
  <tableStyleInfo name="TableStyleDark9" showFirstColumn="0" showLastColumn="0" showRowStripes="1" showColumnStripes="0"/>
</table>
</file>

<file path=xl/tables/table46.xml><?xml version="1.0" encoding="utf-8"?>
<table xmlns="http://schemas.openxmlformats.org/spreadsheetml/2006/main" id="95" name="Table95" displayName="Table95" ref="Q17:T27" totalsRowShown="0" headerRowDxfId="134" dataDxfId="133" tableBorderDxfId="132">
  <autoFilter ref="Q17:T27"/>
  <tableColumns count="4">
    <tableColumn id="1" name="Dragon egg / Disguise quality" dataDxfId="131"/>
    <tableColumn id="2" name="Common" dataDxfId="130">
      <calculatedColumnFormula>ROUND($Q$15*POWER(Table95[[#This Row],[Dragon egg / Disguise quality]],$Q$16)*R$16,-2)</calculatedColumnFormula>
    </tableColumn>
    <tableColumn id="3" name="Rare" dataDxfId="129">
      <calculatedColumnFormula>ROUND($Q$15*POWER(Q18,$Q$16)*S$16,-2)</calculatedColumnFormula>
    </tableColumn>
    <tableColumn id="4" name="Epic" dataDxfId="128">
      <calculatedColumnFormula>ROUND($Q$15*POWER(Q18,$Q$16)*T$16,-2)</calculatedColumnFormula>
    </tableColumn>
  </tableColumns>
  <tableStyleInfo name="TableStyleDark9" showFirstColumn="0" showLastColumn="0" showRowStripes="1" showColumnStripes="0"/>
</table>
</file>

<file path=xl/tables/table47.xml><?xml version="1.0" encoding="utf-8"?>
<table xmlns="http://schemas.openxmlformats.org/spreadsheetml/2006/main" id="59" name="Table59" displayName="Table59" ref="A5:K15" totalsRowShown="0" headerRowDxfId="127" dataDxfId="126">
  <autoFilter ref="A5:K15"/>
  <tableColumns count="11">
    <tableColumn id="1" name="Dragon" dataDxfId="125"/>
    <tableColumn id="2" name="Number of skin" dataDxfId="124">
      <calculatedColumnFormula>ROUND(N6*30,0)</calculatedColumnFormula>
    </tableColumn>
    <tableColumn id="3" name="First Skin" dataDxfId="123">
      <calculatedColumnFormula>Table59[[#This Row],[Last Skin]]-Table59[[#This Row],[Number of skin]]</calculatedColumnFormula>
    </tableColumn>
    <tableColumn id="4" name="Last Skin" dataDxfId="122">
      <calculatedColumnFormula>SUM($B$6:B6)</calculatedColumnFormula>
    </tableColumn>
    <tableColumn id="10" name="dragonRange" dataDxfId="121">
      <calculatedColumnFormula>CONCATENATE("'[Hungry Dragons - Content.xlsm]Gatcha - Skins'!","F",Table59[[#This Row],[First Skin]]+22,":","F",Table59[[#This Row],[Last Skin]]+21)</calculatedColumnFormula>
    </tableColumn>
    <tableColumn id="11" name="skinIDRange" dataDxfId="120">
      <calculatedColumnFormula>SUBSTITUTE(Table59[[#This Row],[dragonRange]],"F","A")</calculatedColumnFormula>
    </tableColumn>
    <tableColumn id="5" name="SC total for Skins" dataDxfId="119">
      <calculatedColumnFormula>INDEX('Dragons - Unlock'!$B$8:$L$8,0,Table59[[#This Row],[Dragon]]+1)*$E$4</calculatedColumnFormula>
    </tableColumn>
    <tableColumn id="9" name="SC step per skin" dataDxfId="118">
      <calculatedColumnFormula>Table59[[#This Row],[SC total for Skins]]/Table59[[#This Row],[Number of skin]]</calculatedColumnFormula>
    </tableColumn>
    <tableColumn id="6" name="ID of HC Skin" dataDxfId="117">
      <calculatedColumnFormula>IF(Table59[[#This Row],[Dragon]]=1,0,Table59[[#This Row],[Last Skin]])</calculatedColumnFormula>
    </tableColumn>
    <tableColumn id="7" name="HC total for Skins" dataDxfId="116">
      <calculatedColumnFormula>INDEX('Dragons - Unlock'!$B$10:$K$10,0,Table59[[#This Row],[Dragon]])*$G$4</calculatedColumnFormula>
    </tableColumn>
    <tableColumn id="8" name="$ to buy" dataDxfId="115" dataCellStyle="Currency">
      <calculatedColumnFormula>Table59[[#This Row],[HC total for Skins]]/'Hard currency'!$B$36</calculatedColumnFormula>
    </tableColumn>
  </tableColumns>
  <tableStyleInfo name="TableStyleDark9" showFirstColumn="0" showLastColumn="0" showRowStripes="1" showColumnStripes="0"/>
</table>
</file>

<file path=xl/tables/table48.xml><?xml version="1.0" encoding="utf-8"?>
<table xmlns="http://schemas.openxmlformats.org/spreadsheetml/2006/main" id="60" name="Table60" displayName="Table60" ref="M5:N15" totalsRowShown="0" headerRowDxfId="114" dataDxfId="113">
  <autoFilter ref="M5:N15"/>
  <tableColumns count="2">
    <tableColumn id="1" name="Calculation" dataDxfId="112">
      <calculatedColumnFormula>$L$4*POWER(A6,$M$4)</calculatedColumnFormula>
    </tableColumn>
    <tableColumn id="2" name="Proportionate skins %" dataDxfId="111" dataCellStyle="Percent">
      <calculatedColumnFormula>M6/SUM($M$6:$M$15)</calculatedColumnFormula>
    </tableColumn>
  </tableColumns>
  <tableStyleInfo name="TableStyleDark9" showFirstColumn="0" showLastColumn="0" showRowStripes="1" showColumnStripes="0"/>
</table>
</file>

<file path=xl/tables/table49.xml><?xml version="1.0" encoding="utf-8"?>
<table xmlns="http://schemas.openxmlformats.org/spreadsheetml/2006/main" id="63" name="Table63" displayName="Table63" ref="A21:S51" totalsRowShown="0" headerRowDxfId="110" dataDxfId="109">
  <autoFilter ref="A21:S51"/>
  <tableColumns count="19">
    <tableColumn id="1" name="Skin ID" dataDxfId="108"/>
    <tableColumn id="2" name="Associated Dragon" dataDxfId="107">
      <calculatedColumnFormula>MATCH(Table63[[#This Row],[Skin ID]]-1,Table59[First Skin],1)</calculatedColumnFormula>
    </tableColumn>
    <tableColumn id="3" name="Cost SC" dataDxfId="106">
      <calculatedColumnFormula>IF(INDEX(Table59[ID of HC Skin],Table63[[#This Row],[Associated Dragon]])=Table63[[#This Row],[Skin ID]],0,ROUND(IF(Table63[[#This Row],[Associated Dragon]]=B21,C21+INDEX(Table59[SC step per skin],Table63[[#This Row],[Associated Dragon]])/INDEX(Table59[Number of skin],Table63[[#This Row],[Associated Dragon]]),INDEX(Table59[SC total for Skins],Table63[[#This Row],[Associated Dragon]])/INDEX(Table59[Number of skin],Table63[[#This Row],[Associated Dragon]])),-1))</calculatedColumnFormula>
    </tableColumn>
    <tableColumn id="4" name="Cost HC" dataDxfId="105">
      <calculatedColumnFormula>IF(Table63[[#This Row],[Cost SC]]=0,INDEX(Table59[HC total for Skins],Table63[[#This Row],[Associated Dragon]]),0)</calculatedColumnFormula>
    </tableColumn>
    <tableColumn id="5" name="XP between unlocks" dataDxfId="104">
      <calculatedColumnFormula>ROUND(INDEX('Balance - XP points'!$B$11:$B$20,Table63[[#This Row],[Associated Dragon]])/(1+COUNTIF(Table63[Associated Dragon],Table63[[#This Row],[Associated Dragon]])),0)</calculatedColumnFormula>
    </tableColumn>
    <tableColumn id="6" name="Level to unlock" dataDxfId="103">
      <calculatedColumnFormula>ROUND(IF(Table63[[#This Row],[Associated Dragon]]&lt;&gt;B21,0+Table63[[#This Row],[XP between unlocks]],F21+Table63[[#This Row],[XP between unlocks]]),0)</calculatedColumnFormula>
    </tableColumn>
    <tableColumn id="11" name="XP associated" dataDxfId="102">
      <calculatedColumnFormula>INDEX(Table73[[1]:[19]],Table63[[#This Row],[Associated Dragon]],Table63[[#This Row],[Level to unlock]])</calculatedColumnFormula>
    </tableColumn>
    <tableColumn id="7" name="SC bonus" dataDxfId="101">
      <calculatedColumnFormula>ROUND(Table63[[#This Row],[Skin ID]]*$C$19+$D$19,2)</calculatedColumnFormula>
    </tableColumn>
    <tableColumn id="8" name="Run Duration Bonus" dataDxfId="100">
      <calculatedColumnFormula>ROUND(Table63[[#This Row],[Skin ID]]*$C$19+$D$19,2)</calculatedColumnFormula>
    </tableColumn>
    <tableColumn id="9" name="Mission Completion Bonus" dataDxfId="99">
      <calculatedColumnFormula>ROUND($I$20*Table63[[#This Row],[Skin ID]]+$J$20,0)</calculatedColumnFormula>
    </tableColumn>
    <tableColumn id="10" name="theorical_powerSet_perceivedValue" dataDxfId="98">
      <calculatedColumnFormula>ROUND($K$19*SIN(Table63[[#This Row],[Skin ID]])+$K$20*Table63[[#This Row],[Skin ID]]+$K$20,0)</calculatedColumnFormula>
    </tableColumn>
    <tableColumn id="15" name="theorical_powerSet_minID" dataDxfId="97">
      <calculatedColumnFormula>ROUND($N$20*Table63[[#This Row],[theorical_powerSet_perceivedValue]]+$O$20,0)</calculatedColumnFormula>
    </tableColumn>
    <tableColumn id="17" name="theorical_powerup" dataDxfId="96">
      <calculatedColumnFormula>INDEX(Table70[PotentialOrder],MATCH(Table63[[#This Row],[theorical_powerSet_minID]],Table70[power_ID],0))</calculatedColumnFormula>
    </tableColumn>
    <tableColumn id="12" name="uses_generated_set" dataDxfId="95"/>
    <tableColumn id="13" name="userSelectedPowerup" dataDxfId="94"/>
    <tableColumn id="14" name="current_powerup" dataDxfId="93">
      <calculatedColumnFormula>IF(Table63[[#This Row],[uses_generated_set]],Table63[[#This Row],[userSelectedPowerup]],INDEX(Table70[Power],MATCH(Table63[[#This Row],[theorical_powerup]],Table70[PotentialOrder],0)))</calculatedColumnFormula>
    </tableColumn>
    <tableColumn id="18" name="Duplicate?" dataDxfId="92">
      <calculatedColumnFormula>COUNTIF(Table63[current_powerup],Table63[[#This Row],[current_powerup]])</calculatedColumnFormula>
    </tableColumn>
    <tableColumn id="19" name="Final_perceivedValue" dataDxfId="91">
      <calculatedColumnFormula>INDEX(Table70[PotentialOrder],MATCH(Table63[[#This Row],[current_powerup]],Table70[Power],0))</calculatedColumnFormula>
    </tableColumn>
    <tableColumn id="16" name="Potential Skin" dataDxfId="90"/>
  </tableColumns>
  <tableStyleInfo name="TableStyleDark9" showFirstColumn="0" showLastColumn="0" showRowStripes="1" showColumnStripes="0"/>
</table>
</file>

<file path=xl/tables/table50.xml><?xml version="1.0" encoding="utf-8"?>
<table xmlns="http://schemas.openxmlformats.org/spreadsheetml/2006/main" id="70" name="Table70" displayName="Table70" ref="A8:H36" totalsRowShown="0" headerRowDxfId="89" dataDxfId="88">
  <autoFilter ref="A8:H36"/>
  <sortState ref="A9:H36">
    <sortCondition ref="D8:D36"/>
  </sortState>
  <tableColumns count="8">
    <tableColumn id="6" name="power_ID" dataDxfId="87"/>
    <tableColumn id="7" name="PotentialOrder" dataDxfId="86">
      <calculatedColumnFormula>_xlfn.IFNA(INDEX(Table75[Order],MATCH(Table70[[#This Row],[power_ID]],Table75[power_id],0)),INDEX(Table81[Final order],MATCH(Table70[[#This Row],[power_ID]],Table81[power_id],0)))</calculatedColumnFormula>
    </tableColumn>
    <tableColumn id="1" name="Power" dataDxfId="85">
      <calculatedColumnFormula>_xlfn.IFNA(INDEX(Table75[Power_list],MATCH(Table70[[#This Row],[PotentialOrder]],Table75[Order],0)),INDEX(Table81[Power_list],MATCH(Table70[[#This Row],[PotentialOrder]],Table81[Final order],0)))</calculatedColumnFormula>
    </tableColumn>
    <tableColumn id="2" name="Category" dataDxfId="84"/>
    <tableColumn id="3" name="For skins?" dataDxfId="83"/>
    <tableColumn id="4" name="For Pets?" dataDxfId="82"/>
    <tableColumn id="5" name="Details" dataDxfId="81"/>
    <tableColumn id="8" name="Skin associated" dataDxfId="80">
      <calculatedColumnFormula>_xlfn.IFNA(INDEX(Table63[Skin ID],MATCH(Table70[[#This Row],[power_ID]],Table63[Final_perceivedValue],0)),"Not for skin")</calculatedColumnFormula>
    </tableColumn>
  </tableColumns>
  <tableStyleInfo name="TableStyleDark9" showFirstColumn="0" showLastColumn="0" showRowStripes="1" showColumnStripes="0"/>
</table>
</file>

<file path=xl/tables/table51.xml><?xml version="1.0" encoding="utf-8"?>
<table xmlns="http://schemas.openxmlformats.org/spreadsheetml/2006/main" id="19" name="Table19" displayName="Table19" ref="A8:C26" totalsRowShown="0" headerRowDxfId="75" dataDxfId="74">
  <autoFilter ref="A8:C26"/>
  <tableColumns count="3">
    <tableColumn id="1" name="Number of properties" dataDxfId="73"/>
    <tableColumn id="2" name="Max number of suits Rare" dataDxfId="72">
      <calculatedColumnFormula>FACT(A9)/(FACT($F$10)*FACT(A9-$F$10))</calculatedColumnFormula>
    </tableColumn>
    <tableColumn id="3" name="Max number of suits Epic" dataDxfId="71">
      <calculatedColumnFormula>FACT(A9)/(FACT($F$11)*FACT(A9-$F$11))</calculatedColumnFormula>
    </tableColumn>
  </tableColumns>
  <tableStyleInfo name="TableStyleDark9" showFirstColumn="0" showLastColumn="0" showRowStripes="1" showColumnStripes="0"/>
</table>
</file>

<file path=xl/tables/table52.xml><?xml version="1.0" encoding="utf-8"?>
<table xmlns="http://schemas.openxmlformats.org/spreadsheetml/2006/main" id="20" name="Table20" displayName="Table20" ref="E9:F11" totalsRowShown="0" headerRowDxfId="70" dataDxfId="69">
  <autoFilter ref="E9:F11"/>
  <tableColumns count="2">
    <tableColumn id="1" name="Quality" dataDxfId="68"/>
    <tableColumn id="2" name="Max" dataDxfId="67"/>
  </tableColumns>
  <tableStyleInfo name="TableStyleDark9" showFirstColumn="0" showLastColumn="0" showRowStripes="1" showColumnStripes="0"/>
</table>
</file>

<file path=xl/tables/table53.xml><?xml version="1.0" encoding="utf-8"?>
<table xmlns="http://schemas.openxmlformats.org/spreadsheetml/2006/main" id="21" name="Table21" displayName="Table21" ref="A5:C6" totalsRowShown="0">
  <autoFilter ref="A5:C6"/>
  <tableColumns count="3">
    <tableColumn id="1" name="Common">
      <calculatedColumnFormula>VLOOKUP(Table21[[#Headers],[Common]],Table18[],3,FALSE)*COUNTIF(Table86[[#Headers],[Dragon 1]:[Dragon 10]],"&lt;&gt;0")</calculatedColumnFormula>
    </tableColumn>
    <tableColumn id="3" name="Rare">
      <calculatedColumnFormula>VLOOKUP(Table21[[#Headers],[Rare]],Table18[],3,FALSE)*COUNTIF(Table86[[#Headers],[Dragon 1]:[Dragon 10]],"&lt;&gt;0")</calculatedColumnFormula>
    </tableColumn>
    <tableColumn id="4" name="Epic">
      <calculatedColumnFormula>VLOOKUP(Table21[[#Headers],[Epic]],Table18[],3,FALSE)*COUNTIF(Table86[[#Headers],[Dragon 1]:[Dragon 10]],"&lt;&gt;0")</calculatedColumnFormula>
    </tableColumn>
  </tableColumns>
  <tableStyleInfo name="TableStyleDark9" showFirstColumn="0" showLastColumn="0" showRowStripes="1" showColumnStripes="0"/>
</table>
</file>

<file path=xl/tables/table54.xml><?xml version="1.0" encoding="utf-8"?>
<table xmlns="http://schemas.openxmlformats.org/spreadsheetml/2006/main" id="75" name="Table75" displayName="Table75" ref="A30:C44" totalsRowShown="0" headerRowDxfId="66" dataDxfId="65">
  <autoFilter ref="A30:C44"/>
  <sortState ref="A31:C43">
    <sortCondition ref="A30:A43"/>
  </sortState>
  <tableColumns count="3">
    <tableColumn id="1" name="power_id" dataDxfId="64"/>
    <tableColumn id="2" name="Power_list" dataDxfId="63"/>
    <tableColumn id="3" name="Order" dataDxfId="62"/>
  </tableColumns>
  <tableStyleInfo name="TableStyleDark9" showFirstColumn="0" showLastColumn="0" showRowStripes="1" showColumnStripes="0"/>
</table>
</file>

<file path=xl/tables/table55.xml><?xml version="1.0" encoding="utf-8"?>
<table xmlns="http://schemas.openxmlformats.org/spreadsheetml/2006/main" id="76" name="Table76" displayName="Table76" ref="A47:C333" totalsRowShown="0" headerRowDxfId="61">
  <autoFilter ref="A47:C333"/>
  <tableColumns count="3">
    <tableColumn id="1" name="Item 1" dataDxfId="60"/>
    <tableColumn id="2" name="Item 2" dataDxfId="59"/>
    <tableColumn id="3" name="Item 3" dataDxfId="58"/>
  </tableColumns>
  <tableStyleInfo name="TableStyleDark9" showFirstColumn="0" showLastColumn="0" showRowStripes="1" showColumnStripes="0"/>
</table>
</file>

<file path=xl/tables/table56.xml><?xml version="1.0" encoding="utf-8"?>
<table xmlns="http://schemas.openxmlformats.org/spreadsheetml/2006/main" id="77" name="Table7678" displayName="Table7678" ref="E47:H333" totalsRowShown="0" headerRowDxfId="57" dataDxfId="56">
  <autoFilter ref="E47:H333"/>
  <sortState ref="E47:H332">
    <sortCondition descending="1" ref="H46:H332"/>
  </sortState>
  <tableColumns count="4">
    <tableColumn id="1" name="Item 1" dataDxfId="55">
      <calculatedColumnFormula>INDEX(Table75[Power_list],Table76[[#This Row],[Item 1]])</calculatedColumnFormula>
    </tableColumn>
    <tableColumn id="2" name="Item 2" dataDxfId="54">
      <calculatedColumnFormula>INDEX(Table75[Power_list],Table76[[#This Row],[Item 2]])</calculatedColumnFormula>
    </tableColumn>
    <tableColumn id="3" name="Item 3" dataDxfId="53">
      <calculatedColumnFormula>INDEX(Table75[Power_list],Table76[[#This Row],[Item 3]])</calculatedColumnFormula>
    </tableColumn>
    <tableColumn id="4" name="Perceived_value" dataDxfId="52">
      <calculatedColumnFormula>INDEX($C$31:$C$44,MATCH(Table7678[[#This Row],[Item 2]],Table75[Power_list],0))+INDEX($C$31:$C$44,MATCH(Table7678[[#This Row],[Item 1]],Table75[Power_list],0))+INDEX($C$31:$C$44,MATCH(Table7678[[#This Row],[Item 3]],Table75[Power_list],0))</calculatedColumnFormula>
    </tableColumn>
  </tableColumns>
  <tableStyleInfo name="TableStyleDark9" showFirstColumn="0" showLastColumn="0" showRowStripes="1" showColumnStripes="0"/>
</table>
</file>

<file path=xl/tables/table57.xml><?xml version="1.0" encoding="utf-8"?>
<table xmlns="http://schemas.openxmlformats.org/spreadsheetml/2006/main" id="78" name="Table78" displayName="Table78" ref="J47:O333" totalsRowShown="0" dataDxfId="51">
  <autoFilter ref="J47:O333"/>
  <sortState ref="J51:O332">
    <sortCondition descending="1" ref="O46:O332"/>
  </sortState>
  <tableColumns count="6">
    <tableColumn id="6" name="ID" dataDxfId="50"/>
    <tableColumn id="1" name="Item 1" dataDxfId="49"/>
    <tableColumn id="2" name="Item 2" dataDxfId="48"/>
    <tableColumn id="3" name="Item 3" dataDxfId="47"/>
    <tableColumn id="4" name="Perceived_value" dataDxfId="46"/>
    <tableColumn id="5" name="Lower_damage_count" dataDxfId="45">
      <calculatedColumnFormula>(IFERROR(FIND("Lower",Table78[[#This Row],[Item 1]]),0)+IFERROR(FIND("Lower",Table78[[#This Row],[Item 2]]),0)+IFERROR(FIND("Lower",Table78[[#This Row],[Item 3]]),0))&lt;2</calculatedColumnFormula>
    </tableColumn>
  </tableColumns>
  <tableStyleInfo name="TableStyleDark9" showFirstColumn="0" showLastColumn="0" showRowStripes="1" showColumnStripes="0"/>
</table>
</file>

<file path=xl/tables/table58.xml><?xml version="1.0" encoding="utf-8"?>
<table xmlns="http://schemas.openxmlformats.org/spreadsheetml/2006/main" id="71" name="Table71" displayName="Table71" ref="Q47:V275" totalsRowShown="0" headerRowDxfId="44" dataDxfId="43">
  <autoFilter ref="Q47:V275"/>
  <sortState ref="Q47:V274">
    <sortCondition ref="U46:U274"/>
  </sortState>
  <tableColumns count="6">
    <tableColumn id="1" name="ID" dataDxfId="42"/>
    <tableColumn id="2" name="Item 1" dataDxfId="41"/>
    <tableColumn id="3" name="Item 2" dataDxfId="40"/>
    <tableColumn id="4" name="Item 3" dataDxfId="39"/>
    <tableColumn id="5" name="Perceived_value" dataDxfId="38"/>
    <tableColumn id="6" name="Filter" dataDxfId="37"/>
  </tableColumns>
  <tableStyleInfo name="TableStyleDark9" showFirstColumn="0" showLastColumn="0" showRowStripes="1" showColumnStripes="0"/>
</table>
</file>

<file path=xl/tables/table59.xml><?xml version="1.0" encoding="utf-8"?>
<table xmlns="http://schemas.openxmlformats.org/spreadsheetml/2006/main" id="81" name="Table81" displayName="Table81" ref="E30:H44" totalsRowShown="0" headerRowDxfId="36" dataDxfId="35">
  <autoFilter ref="E30:H44"/>
  <tableColumns count="4">
    <tableColumn id="1" name="power_id" dataDxfId="34"/>
    <tableColumn id="2" name="Power_list" dataDxfId="33"/>
    <tableColumn id="3" name="Order"/>
    <tableColumn id="4" name="Final order" dataDxfId="32">
      <calculatedColumnFormula>Table81[[#This Row],[Order]]+MAX(Table75[Order])</calculatedColumnFormula>
    </tableColumn>
  </tableColumns>
  <tableStyleInfo name="TableStyleDark9" showFirstColumn="0" showLastColumn="0" showRowStripes="1" showColumnStripes="0"/>
</table>
</file>

<file path=xl/tables/table60.xml><?xml version="1.0" encoding="utf-8"?>
<table xmlns="http://schemas.openxmlformats.org/spreadsheetml/2006/main" id="36" name="Table1037" displayName="Table1037" ref="A5:C15" totalsRowShown="0" headerRowDxfId="31" dataDxfId="30">
  <autoFilter ref="A5:C15"/>
  <tableColumns count="3">
    <tableColumn id="1" name="Dragon ID / Level" dataDxfId="29"/>
    <tableColumn id="22" name="Max level" dataDxfId="28">
      <calculatedColumnFormula>HLOOKUP(Table1037[[#This Row],[Dragon ID / Level]],Table86[],2,FALSE)</calculatedColumnFormula>
    </tableColumn>
    <tableColumn id="2" name="hc/min" dataDxfId="27">
      <calculatedColumnFormula>Table1037[[#This Row],[Dragon ID / Level]]*$G$2+$H$2</calculatedColumnFormula>
    </tableColumn>
  </tableColumns>
  <tableStyleInfo name="TableStyleDark9" showFirstColumn="0" showLastColumn="0" showRowStripes="1" showColumnStripes="0"/>
</table>
</file>

<file path=xl/tables/table61.xml><?xml version="1.0" encoding="utf-8"?>
<table xmlns="http://schemas.openxmlformats.org/spreadsheetml/2006/main" id="47" name="Table47" displayName="Table47" ref="A39:D45" totalsRowShown="0" headerRowDxfId="26" dataDxfId="25">
  <autoFilter ref="A39:D45"/>
  <tableColumns count="4">
    <tableColumn id="1" name="Price" dataDxfId="24"/>
    <tableColumn id="2" name="HC earned" dataDxfId="23">
      <calculatedColumnFormula>ROUND(Table47[[#This Row],[Price]]*$B$36+Table47[[#This Row],[Price]]*$B$36*Table47[[#This Row],[Discount]],0)</calculatedColumnFormula>
    </tableColumn>
    <tableColumn id="3" name="Discount" dataDxfId="22" dataCellStyle="Percent"/>
    <tableColumn id="4" name="Gacha Tries" dataDxfId="21">
      <calculatedColumnFormula>ROUND(Table47[[#This Row],[HC earned]]/AVERAGE('Gacha - Chests &amp; Eggs'!M4:M13),0)</calculatedColumnFormula>
    </tableColumn>
  </tableColumns>
  <tableStyleInfo name="TableStyleDark9" showFirstColumn="0" showLastColumn="0" showRowStripes="1" showColumnStripes="0"/>
</table>
</file>

<file path=xl/tables/table62.xml><?xml version="1.0" encoding="utf-8"?>
<table xmlns="http://schemas.openxmlformats.org/spreadsheetml/2006/main" id="29" name="Table29" displayName="Table29" ref="A75:B84" totalsRowShown="0" headerRowDxfId="20" dataDxfId="19">
  <autoFilter ref="A75:B84"/>
  <tableColumns count="2">
    <tableColumn id="1" name="Pig eaten" dataDxfId="18"/>
    <tableColumn id="2" name="Proba that a pig will spawn" dataDxfId="17">
      <calculatedColumnFormula>$B$73/(Table29[[#This Row],[Pig eaten]]*$B$74)</calculatedColumnFormula>
    </tableColumn>
  </tableColumns>
  <tableStyleInfo name="TableStyleDark9" showFirstColumn="0" showLastColumn="0" showRowStripes="1" showColumnStripes="0"/>
</table>
</file>

<file path=xl/tables/table63.xml><?xml version="1.0" encoding="utf-8"?>
<table xmlns="http://schemas.openxmlformats.org/spreadsheetml/2006/main" id="54" name="Table4755" displayName="Table4755" ref="A10:C16" totalsRowShown="0" headerRowDxfId="16" dataDxfId="15">
  <autoFilter ref="A10:C16"/>
  <tableColumns count="3">
    <tableColumn id="1" name="Price" dataDxfId="14"/>
    <tableColumn id="2" name="SC earned" dataDxfId="13">
      <calculatedColumnFormula>ROUND(Table4755[[#This Row],[Price]]*$B$8+Table4755[[#This Row],[Price]]*$B$8*Table4755[[#This Row],[Discount]],-1)</calculatedColumnFormula>
    </tableColumn>
    <tableColumn id="3" name="Discount" dataDxfId="12" dataCellStyle="Percent"/>
  </tableColumns>
  <tableStyleInfo name="TableStyleDark9" showFirstColumn="0" showLastColumn="0" showRowStripes="1" showColumnStripes="0"/>
</table>
</file>

<file path=xl/tables/table64.xml><?xml version="1.0" encoding="utf-8"?>
<table xmlns="http://schemas.openxmlformats.org/spreadsheetml/2006/main" id="30" name="Table30" displayName="Table30" ref="A7:C10" totalsRowShown="0">
  <autoFilter ref="A7:C10"/>
  <tableColumns count="3">
    <tableColumn id="1" name="Key pack"/>
    <tableColumn id="2" name="keys given"/>
    <tableColumn id="3" name="hc_price"/>
  </tableColumns>
  <tableStyleInfo name="TableStyleDark9" showFirstColumn="0" showLastColumn="0" showRowStripes="1" showColumnStripes="0"/>
</table>
</file>

<file path=xl/tables/table65.xml><?xml version="1.0" encoding="utf-8"?>
<table xmlns="http://schemas.openxmlformats.org/spreadsheetml/2006/main" id="28" name="HCtoSkipTimers" displayName="HCtoSkipTimers" ref="B8:E12" totalsRowShown="0" headerRowDxfId="11" dataDxfId="10">
  <autoFilter ref="B8:E12"/>
  <tableColumns count="4">
    <tableColumn id="1" name="Equivalence (mn)" dataDxfId="9"/>
    <tableColumn id="2" name="HC" dataDxfId="8">
      <calculatedColumnFormula>IF(ROUND(HCtoSkipTimers[[#This Row],[Equivalence (mn)]]*$F$3+$G$3,0)=0,1,ROUND(HCtoSkipTimers[[#This Row],[Equivalence (mn)]]*$F$3+$G$3,0))</calculatedColumnFormula>
    </tableColumn>
    <tableColumn id="3" name="$ min" dataDxfId="7" dataCellStyle="Currency">
      <calculatedColumnFormula>C9/'Hard currency'!$B$36</calculatedColumnFormula>
    </tableColumn>
    <tableColumn id="4" name="$ max" dataDxfId="6" dataCellStyle="Currency">
      <calculatedColumnFormula>C9/'Hard currency'!$B$37</calculatedColumnFormula>
    </tableColumn>
  </tableColumns>
  <tableStyleInfo name="TableStyleDark9" showFirstColumn="0" showLastColumn="0" showRowStripes="1" showColumnStripes="0"/>
</table>
</file>

<file path=xl/tables/table66.xml><?xml version="1.0" encoding="utf-8"?>
<table xmlns="http://schemas.openxmlformats.org/spreadsheetml/2006/main" id="46" name="Table46" displayName="Table46" ref="A18:D24" totalsRowShown="0" dataDxfId="5">
  <autoFilter ref="A18:D24"/>
  <tableColumns count="4">
    <tableColumn id="1" name="Hard currency" dataDxfId="4"/>
    <tableColumn id="2" name="Price" dataDxfId="3" dataCellStyle="Currency"/>
    <tableColumn id="3" name="Discount" dataDxfId="2" dataCellStyle="Percent"/>
    <tableColumn id="4" name="Gacha tries" dataDxfId="1">
      <calculatedColumnFormula>Table46[[#This Row],[Hard currency]]/$B$29</calculatedColumnFormula>
    </tableColumn>
  </tableColumns>
  <tableStyleInfo name="TableStyleDark9" showFirstColumn="0" showLastColumn="0" showRowStripes="1" showColumnStripes="0"/>
</table>
</file>

<file path=xl/tables/table67.xml><?xml version="1.0" encoding="utf-8"?>
<table xmlns="http://schemas.openxmlformats.org/spreadsheetml/2006/main" id="53" name="Table53" displayName="Table53" ref="F18:H24" totalsRowShown="0">
  <autoFilter ref="F18:H24"/>
  <tableColumns count="3">
    <tableColumn id="1" name="Soft Currency"/>
    <tableColumn id="2" name="Price (HC)"/>
    <tableColumn id="3" name="Discount" dataCellStyle="Percent">
      <calculatedColumnFormula>(Table53[[#This Row],[Soft Currency]]-Table53[[#This Row],[Price (HC)]]*$G$26)/Table53[[#This Row],[Soft Currency]]</calculatedColumnFormula>
    </tableColumn>
  </tableColumns>
  <tableStyleInfo name="TableStyleDark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.xml"/><Relationship Id="rId2" Type="http://schemas.openxmlformats.org/officeDocument/2006/relationships/table" Target="../tables/table20.xml"/><Relationship Id="rId1" Type="http://schemas.openxmlformats.org/officeDocument/2006/relationships/drawing" Target="../drawings/drawing7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3.xml"/><Relationship Id="rId13" Type="http://schemas.openxmlformats.org/officeDocument/2006/relationships/table" Target="../tables/table28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2.xml"/><Relationship Id="rId12" Type="http://schemas.openxmlformats.org/officeDocument/2006/relationships/table" Target="../tables/table2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3.xml"/><Relationship Id="rId11" Type="http://schemas.openxmlformats.org/officeDocument/2006/relationships/table" Target="../tables/table26.xml"/><Relationship Id="rId5" Type="http://schemas.openxmlformats.org/officeDocument/2006/relationships/ctrlProp" Target="../ctrlProps/ctrlProp2.xml"/><Relationship Id="rId10" Type="http://schemas.openxmlformats.org/officeDocument/2006/relationships/table" Target="../tables/table25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24.xml"/><Relationship Id="rId14" Type="http://schemas.openxmlformats.org/officeDocument/2006/relationships/table" Target="../tables/table29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33.xml"/><Relationship Id="rId5" Type="http://schemas.openxmlformats.org/officeDocument/2006/relationships/table" Target="../tables/table32.xml"/><Relationship Id="rId4" Type="http://schemas.openxmlformats.org/officeDocument/2006/relationships/table" Target="../tables/table31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5.xml"/><Relationship Id="rId2" Type="http://schemas.openxmlformats.org/officeDocument/2006/relationships/table" Target="../tables/table34.xml"/><Relationship Id="rId1" Type="http://schemas.openxmlformats.org/officeDocument/2006/relationships/printerSettings" Target="../printerSettings/printerSettings11.bin"/><Relationship Id="rId6" Type="http://schemas.openxmlformats.org/officeDocument/2006/relationships/table" Target="../tables/table38.xml"/><Relationship Id="rId5" Type="http://schemas.openxmlformats.org/officeDocument/2006/relationships/table" Target="../tables/table37.xml"/><Relationship Id="rId4" Type="http://schemas.openxmlformats.org/officeDocument/2006/relationships/table" Target="../tables/table36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5.xml"/><Relationship Id="rId3" Type="http://schemas.openxmlformats.org/officeDocument/2006/relationships/table" Target="../tables/table40.xml"/><Relationship Id="rId7" Type="http://schemas.openxmlformats.org/officeDocument/2006/relationships/table" Target="../tables/table44.xml"/><Relationship Id="rId2" Type="http://schemas.openxmlformats.org/officeDocument/2006/relationships/table" Target="../tables/table39.xml"/><Relationship Id="rId1" Type="http://schemas.openxmlformats.org/officeDocument/2006/relationships/drawing" Target="../drawings/drawing10.xml"/><Relationship Id="rId6" Type="http://schemas.openxmlformats.org/officeDocument/2006/relationships/table" Target="../tables/table43.xml"/><Relationship Id="rId5" Type="http://schemas.openxmlformats.org/officeDocument/2006/relationships/table" Target="../tables/table42.xml"/><Relationship Id="rId4" Type="http://schemas.openxmlformats.org/officeDocument/2006/relationships/table" Target="../tables/table41.xml"/><Relationship Id="rId9" Type="http://schemas.openxmlformats.org/officeDocument/2006/relationships/table" Target="../tables/table46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7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5" Type="http://schemas.openxmlformats.org/officeDocument/2006/relationships/table" Target="../tables/table49.xml"/><Relationship Id="rId4" Type="http://schemas.openxmlformats.org/officeDocument/2006/relationships/table" Target="../tables/table4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0.xml"/><Relationship Id="rId1" Type="http://schemas.openxmlformats.org/officeDocument/2006/relationships/printerSettings" Target="../printerSettings/printerSettings13.bin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6.xml"/><Relationship Id="rId3" Type="http://schemas.openxmlformats.org/officeDocument/2006/relationships/table" Target="../tables/table51.xml"/><Relationship Id="rId7" Type="http://schemas.openxmlformats.org/officeDocument/2006/relationships/table" Target="../tables/table55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Relationship Id="rId6" Type="http://schemas.openxmlformats.org/officeDocument/2006/relationships/table" Target="../tables/table54.xml"/><Relationship Id="rId11" Type="http://schemas.openxmlformats.org/officeDocument/2006/relationships/table" Target="../tables/table59.xml"/><Relationship Id="rId5" Type="http://schemas.openxmlformats.org/officeDocument/2006/relationships/table" Target="../tables/table53.xml"/><Relationship Id="rId10" Type="http://schemas.openxmlformats.org/officeDocument/2006/relationships/table" Target="../tables/table58.xml"/><Relationship Id="rId4" Type="http://schemas.openxmlformats.org/officeDocument/2006/relationships/table" Target="../tables/table52.xml"/><Relationship Id="rId9" Type="http://schemas.openxmlformats.org/officeDocument/2006/relationships/table" Target="../tables/table57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0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Relationship Id="rId5" Type="http://schemas.openxmlformats.org/officeDocument/2006/relationships/table" Target="../tables/table62.xml"/><Relationship Id="rId4" Type="http://schemas.openxmlformats.org/officeDocument/2006/relationships/table" Target="../tables/table61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3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4.xml"/><Relationship Id="rId1" Type="http://schemas.openxmlformats.org/officeDocument/2006/relationships/drawing" Target="../drawings/drawing15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6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Relationship Id="rId4" Type="http://schemas.openxmlformats.org/officeDocument/2006/relationships/table" Target="../tables/table6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>
    <tabColor rgb="FF92D050"/>
  </sheetPr>
  <dimension ref="A1:AP209"/>
  <sheetViews>
    <sheetView workbookViewId="0"/>
  </sheetViews>
  <sheetFormatPr defaultRowHeight="15" x14ac:dyDescent="0.25"/>
  <sheetData>
    <row r="1" spans="1:42" x14ac:dyDescent="0.25">
      <c r="A1" s="113">
        <v>6</v>
      </c>
      <c r="B1" s="114">
        <v>6</v>
      </c>
      <c r="C1" s="114">
        <v>6</v>
      </c>
      <c r="D1" s="114">
        <v>6</v>
      </c>
      <c r="E1" s="114">
        <v>6</v>
      </c>
      <c r="F1" s="114">
        <v>6</v>
      </c>
      <c r="G1" s="114">
        <v>6</v>
      </c>
      <c r="H1" s="114">
        <v>6</v>
      </c>
      <c r="I1" s="114">
        <v>6</v>
      </c>
      <c r="J1" s="114">
        <v>6</v>
      </c>
      <c r="K1" s="114">
        <v>6</v>
      </c>
      <c r="L1" s="114">
        <v>6</v>
      </c>
      <c r="M1" s="114">
        <v>6</v>
      </c>
      <c r="N1" s="115">
        <v>6</v>
      </c>
      <c r="O1" s="115">
        <v>6</v>
      </c>
      <c r="P1" s="115">
        <v>6</v>
      </c>
      <c r="Q1" s="115">
        <v>6</v>
      </c>
      <c r="R1" s="115">
        <v>6</v>
      </c>
      <c r="S1" s="115">
        <v>6</v>
      </c>
      <c r="T1" s="115">
        <v>6</v>
      </c>
      <c r="U1" s="115">
        <v>6</v>
      </c>
      <c r="V1" s="115">
        <v>5</v>
      </c>
      <c r="W1" s="115">
        <v>5</v>
      </c>
      <c r="X1" s="115">
        <v>5</v>
      </c>
      <c r="Y1" s="115">
        <v>5</v>
      </c>
      <c r="Z1" s="115">
        <v>5</v>
      </c>
      <c r="AA1" s="116">
        <v>6</v>
      </c>
      <c r="AB1" s="116">
        <v>6</v>
      </c>
      <c r="AC1" s="116">
        <v>6</v>
      </c>
      <c r="AD1" s="116">
        <v>6</v>
      </c>
      <c r="AE1" s="116">
        <v>6</v>
      </c>
      <c r="AF1" s="116">
        <v>6</v>
      </c>
      <c r="AG1" s="116">
        <v>6</v>
      </c>
      <c r="AH1" s="116">
        <v>6</v>
      </c>
      <c r="AI1" s="116">
        <v>6</v>
      </c>
      <c r="AJ1" s="116">
        <v>6</v>
      </c>
      <c r="AK1" s="116">
        <v>6</v>
      </c>
      <c r="AL1" s="116">
        <v>6</v>
      </c>
      <c r="AM1" s="116">
        <v>6</v>
      </c>
      <c r="AN1" s="116">
        <v>6</v>
      </c>
      <c r="AO1" s="116">
        <v>6</v>
      </c>
      <c r="AP1" s="117">
        <v>6</v>
      </c>
    </row>
    <row r="2" spans="1:42" x14ac:dyDescent="0.25">
      <c r="A2" s="118">
        <v>6</v>
      </c>
      <c r="B2" s="119">
        <v>6</v>
      </c>
      <c r="C2" s="119">
        <v>6</v>
      </c>
      <c r="D2" s="119">
        <v>6</v>
      </c>
      <c r="E2" s="119">
        <v>6</v>
      </c>
      <c r="F2" s="119">
        <v>6</v>
      </c>
      <c r="G2" s="119">
        <v>6</v>
      </c>
      <c r="H2" s="119">
        <v>6</v>
      </c>
      <c r="I2" s="119">
        <v>6</v>
      </c>
      <c r="J2" s="119">
        <v>6</v>
      </c>
      <c r="K2" s="119">
        <v>5</v>
      </c>
      <c r="L2" s="119">
        <v>5</v>
      </c>
      <c r="M2" s="119">
        <v>5</v>
      </c>
      <c r="N2" s="109">
        <v>5</v>
      </c>
      <c r="O2" s="109">
        <v>5</v>
      </c>
      <c r="P2" s="109">
        <v>5</v>
      </c>
      <c r="Q2" s="109">
        <v>6</v>
      </c>
      <c r="R2" s="109">
        <v>6</v>
      </c>
      <c r="S2" s="109">
        <v>6</v>
      </c>
      <c r="T2" s="109">
        <v>6</v>
      </c>
      <c r="U2" s="109">
        <v>6</v>
      </c>
      <c r="V2" s="109">
        <v>5</v>
      </c>
      <c r="W2" s="109">
        <v>5</v>
      </c>
      <c r="X2" s="109">
        <v>5</v>
      </c>
      <c r="Y2" s="109">
        <v>5</v>
      </c>
      <c r="Z2" s="109">
        <v>5</v>
      </c>
      <c r="AA2" s="120">
        <v>5</v>
      </c>
      <c r="AB2" s="120">
        <v>5</v>
      </c>
      <c r="AC2" s="120">
        <v>5</v>
      </c>
      <c r="AD2" s="120">
        <v>6</v>
      </c>
      <c r="AE2" s="120">
        <v>6</v>
      </c>
      <c r="AF2" s="120">
        <v>6</v>
      </c>
      <c r="AG2" s="120">
        <v>6</v>
      </c>
      <c r="AH2" s="120">
        <v>6</v>
      </c>
      <c r="AI2" s="120">
        <v>6</v>
      </c>
      <c r="AJ2" s="120">
        <v>6</v>
      </c>
      <c r="AK2" s="120">
        <v>6</v>
      </c>
      <c r="AL2" s="120">
        <v>6</v>
      </c>
      <c r="AM2" s="120">
        <v>6</v>
      </c>
      <c r="AN2" s="120">
        <v>6</v>
      </c>
      <c r="AO2" s="120">
        <v>6</v>
      </c>
      <c r="AP2" s="121">
        <v>6</v>
      </c>
    </row>
    <row r="3" spans="1:42" x14ac:dyDescent="0.25">
      <c r="A3" s="118">
        <v>6</v>
      </c>
      <c r="B3" s="119">
        <v>6</v>
      </c>
      <c r="C3" s="119">
        <v>6</v>
      </c>
      <c r="D3" s="119">
        <v>6</v>
      </c>
      <c r="E3" s="119">
        <v>6</v>
      </c>
      <c r="F3" s="119">
        <v>6</v>
      </c>
      <c r="G3" s="119">
        <v>6</v>
      </c>
      <c r="H3" s="119">
        <v>6</v>
      </c>
      <c r="I3" s="119">
        <v>6</v>
      </c>
      <c r="J3" s="119">
        <v>6</v>
      </c>
      <c r="K3" s="119">
        <v>6</v>
      </c>
      <c r="L3" s="119">
        <v>6</v>
      </c>
      <c r="M3" s="119">
        <v>5</v>
      </c>
      <c r="N3" s="109">
        <v>5</v>
      </c>
      <c r="O3" s="109">
        <v>4</v>
      </c>
      <c r="P3" s="109">
        <v>4</v>
      </c>
      <c r="Q3" s="109">
        <v>4</v>
      </c>
      <c r="R3" s="109">
        <v>4</v>
      </c>
      <c r="S3" s="109">
        <v>4</v>
      </c>
      <c r="T3" s="109">
        <v>4</v>
      </c>
      <c r="U3" s="109">
        <v>5</v>
      </c>
      <c r="V3" s="109">
        <v>5</v>
      </c>
      <c r="W3" s="109">
        <v>5</v>
      </c>
      <c r="X3" s="109">
        <v>5</v>
      </c>
      <c r="Y3" s="109">
        <v>5</v>
      </c>
      <c r="Z3" s="109">
        <v>5</v>
      </c>
      <c r="AA3" s="120">
        <v>6</v>
      </c>
      <c r="AB3" s="120">
        <v>6</v>
      </c>
      <c r="AC3" s="120">
        <v>6</v>
      </c>
      <c r="AD3" s="120">
        <v>6</v>
      </c>
      <c r="AE3" s="120">
        <v>6</v>
      </c>
      <c r="AF3" s="120">
        <v>6</v>
      </c>
      <c r="AG3" s="120">
        <v>6</v>
      </c>
      <c r="AH3" s="120">
        <v>6</v>
      </c>
      <c r="AI3" s="120">
        <v>6</v>
      </c>
      <c r="AJ3" s="120">
        <v>6</v>
      </c>
      <c r="AK3" s="120">
        <v>6</v>
      </c>
      <c r="AL3" s="120">
        <v>6</v>
      </c>
      <c r="AM3" s="120">
        <v>6</v>
      </c>
      <c r="AN3" s="120">
        <v>6</v>
      </c>
      <c r="AO3" s="120">
        <v>6</v>
      </c>
      <c r="AP3" s="121">
        <v>6</v>
      </c>
    </row>
    <row r="4" spans="1:42" x14ac:dyDescent="0.25">
      <c r="A4" s="118">
        <v>6</v>
      </c>
      <c r="B4" s="119">
        <v>6</v>
      </c>
      <c r="C4" s="119">
        <v>6</v>
      </c>
      <c r="D4" s="119">
        <v>6</v>
      </c>
      <c r="E4" s="119">
        <v>6</v>
      </c>
      <c r="F4" s="119">
        <v>5</v>
      </c>
      <c r="G4" s="119">
        <v>5</v>
      </c>
      <c r="H4" s="119">
        <v>5</v>
      </c>
      <c r="I4" s="119">
        <v>5</v>
      </c>
      <c r="J4" s="119">
        <v>5</v>
      </c>
      <c r="K4" s="119">
        <v>5</v>
      </c>
      <c r="L4" s="119">
        <v>5</v>
      </c>
      <c r="M4" s="119">
        <v>5</v>
      </c>
      <c r="N4" s="109">
        <v>5</v>
      </c>
      <c r="O4" s="109">
        <v>5</v>
      </c>
      <c r="P4" s="109">
        <v>5</v>
      </c>
      <c r="Q4" s="109">
        <v>5</v>
      </c>
      <c r="R4" s="109">
        <v>4</v>
      </c>
      <c r="S4" s="109">
        <v>4</v>
      </c>
      <c r="T4" s="109">
        <v>4</v>
      </c>
      <c r="U4" s="109">
        <v>4</v>
      </c>
      <c r="V4" s="109">
        <v>4</v>
      </c>
      <c r="W4" s="109">
        <v>4</v>
      </c>
      <c r="X4" s="109">
        <v>4</v>
      </c>
      <c r="Y4" s="109">
        <v>4</v>
      </c>
      <c r="Z4" s="109">
        <v>4</v>
      </c>
      <c r="AA4" s="120">
        <v>5</v>
      </c>
      <c r="AB4" s="120">
        <v>5</v>
      </c>
      <c r="AC4" s="120">
        <v>5</v>
      </c>
      <c r="AD4" s="120">
        <v>5</v>
      </c>
      <c r="AE4" s="120">
        <v>5</v>
      </c>
      <c r="AF4" s="120">
        <v>5</v>
      </c>
      <c r="AG4" s="120">
        <v>5</v>
      </c>
      <c r="AH4" s="120">
        <v>5</v>
      </c>
      <c r="AI4" s="120">
        <v>5</v>
      </c>
      <c r="AJ4" s="120">
        <v>6</v>
      </c>
      <c r="AK4" s="120">
        <v>6</v>
      </c>
      <c r="AL4" s="120">
        <v>6</v>
      </c>
      <c r="AM4" s="120">
        <v>6</v>
      </c>
      <c r="AN4" s="120">
        <v>6</v>
      </c>
      <c r="AO4" s="120">
        <v>6</v>
      </c>
      <c r="AP4" s="121">
        <v>6</v>
      </c>
    </row>
    <row r="5" spans="1:42" x14ac:dyDescent="0.25">
      <c r="A5" s="118">
        <v>6</v>
      </c>
      <c r="B5" s="119">
        <v>6</v>
      </c>
      <c r="C5" s="119">
        <v>6</v>
      </c>
      <c r="D5" s="119">
        <v>6</v>
      </c>
      <c r="E5" s="119">
        <v>6</v>
      </c>
      <c r="F5" s="119">
        <v>5</v>
      </c>
      <c r="G5" s="119">
        <v>6</v>
      </c>
      <c r="H5" s="119">
        <v>6</v>
      </c>
      <c r="I5" s="119">
        <v>6</v>
      </c>
      <c r="J5" s="119">
        <v>6</v>
      </c>
      <c r="K5" s="119">
        <v>5</v>
      </c>
      <c r="L5" s="119">
        <v>5</v>
      </c>
      <c r="M5" s="119">
        <v>5</v>
      </c>
      <c r="N5" s="109">
        <v>5</v>
      </c>
      <c r="O5" s="109">
        <v>5</v>
      </c>
      <c r="P5" s="109">
        <v>5</v>
      </c>
      <c r="Q5" s="109">
        <v>4</v>
      </c>
      <c r="R5" s="109">
        <v>2</v>
      </c>
      <c r="S5" s="109">
        <v>3</v>
      </c>
      <c r="T5" s="109">
        <v>3</v>
      </c>
      <c r="U5" s="109">
        <v>3</v>
      </c>
      <c r="V5" s="109">
        <v>2</v>
      </c>
      <c r="W5" s="109">
        <v>3</v>
      </c>
      <c r="X5" s="109">
        <v>3</v>
      </c>
      <c r="Y5" s="109">
        <v>4</v>
      </c>
      <c r="Z5" s="109">
        <v>5</v>
      </c>
      <c r="AA5" s="120">
        <v>5</v>
      </c>
      <c r="AB5" s="120">
        <v>5</v>
      </c>
      <c r="AC5" s="120">
        <v>5</v>
      </c>
      <c r="AD5" s="120">
        <v>5</v>
      </c>
      <c r="AE5" s="120">
        <v>5</v>
      </c>
      <c r="AF5" s="120">
        <v>5</v>
      </c>
      <c r="AG5" s="120">
        <v>5</v>
      </c>
      <c r="AH5" s="120">
        <v>5</v>
      </c>
      <c r="AI5" s="120">
        <v>5</v>
      </c>
      <c r="AJ5" s="120">
        <v>6</v>
      </c>
      <c r="AK5" s="120">
        <v>6</v>
      </c>
      <c r="AL5" s="120">
        <v>6</v>
      </c>
      <c r="AM5" s="120">
        <v>6</v>
      </c>
      <c r="AN5" s="120">
        <v>6</v>
      </c>
      <c r="AO5" s="120">
        <v>6</v>
      </c>
      <c r="AP5" s="121">
        <v>6</v>
      </c>
    </row>
    <row r="6" spans="1:42" x14ac:dyDescent="0.25">
      <c r="A6" s="118">
        <v>6</v>
      </c>
      <c r="B6" s="119">
        <v>6</v>
      </c>
      <c r="C6" s="119">
        <v>6</v>
      </c>
      <c r="D6" s="119">
        <v>6</v>
      </c>
      <c r="E6" s="119">
        <v>6</v>
      </c>
      <c r="F6" s="119">
        <v>5</v>
      </c>
      <c r="G6" s="119">
        <v>5</v>
      </c>
      <c r="H6" s="119">
        <v>5</v>
      </c>
      <c r="I6" s="119">
        <v>5</v>
      </c>
      <c r="J6" s="119">
        <v>5</v>
      </c>
      <c r="K6" s="119">
        <v>5</v>
      </c>
      <c r="L6" s="119">
        <v>5</v>
      </c>
      <c r="M6" s="119">
        <v>5</v>
      </c>
      <c r="N6" s="122">
        <v>5</v>
      </c>
      <c r="O6" s="122">
        <v>5</v>
      </c>
      <c r="P6" s="122">
        <v>4</v>
      </c>
      <c r="Q6" s="122">
        <v>3</v>
      </c>
      <c r="R6" s="122">
        <v>2</v>
      </c>
      <c r="S6" s="122">
        <v>2</v>
      </c>
      <c r="T6" s="122">
        <v>2</v>
      </c>
      <c r="U6" s="122">
        <v>3</v>
      </c>
      <c r="V6" s="122">
        <v>2</v>
      </c>
      <c r="W6" s="122">
        <v>2</v>
      </c>
      <c r="X6" s="122">
        <v>3</v>
      </c>
      <c r="Y6" s="122">
        <v>4</v>
      </c>
      <c r="Z6" s="122">
        <v>5</v>
      </c>
      <c r="AA6" s="120">
        <v>4</v>
      </c>
      <c r="AB6" s="120">
        <v>5</v>
      </c>
      <c r="AC6" s="120">
        <v>5</v>
      </c>
      <c r="AD6" s="120">
        <v>5</v>
      </c>
      <c r="AE6" s="120">
        <v>5</v>
      </c>
      <c r="AF6" s="120">
        <v>5</v>
      </c>
      <c r="AG6" s="120">
        <v>5</v>
      </c>
      <c r="AH6" s="120">
        <v>5</v>
      </c>
      <c r="AI6" s="120">
        <v>5</v>
      </c>
      <c r="AJ6" s="120">
        <v>6</v>
      </c>
      <c r="AK6" s="120">
        <v>6</v>
      </c>
      <c r="AL6" s="120">
        <v>6</v>
      </c>
      <c r="AM6" s="120">
        <v>6</v>
      </c>
      <c r="AN6" s="120">
        <v>6</v>
      </c>
      <c r="AO6" s="120">
        <v>6</v>
      </c>
      <c r="AP6" s="121">
        <v>6</v>
      </c>
    </row>
    <row r="7" spans="1:42" ht="15.75" thickBot="1" x14ac:dyDescent="0.3">
      <c r="A7" s="123">
        <v>6</v>
      </c>
      <c r="B7" s="124">
        <v>6</v>
      </c>
      <c r="C7" s="124">
        <v>6</v>
      </c>
      <c r="D7" s="124">
        <v>6</v>
      </c>
      <c r="E7" s="124">
        <v>6</v>
      </c>
      <c r="F7" s="124">
        <v>5</v>
      </c>
      <c r="G7" s="124">
        <v>5</v>
      </c>
      <c r="H7" s="124">
        <v>5</v>
      </c>
      <c r="I7" s="124">
        <v>5</v>
      </c>
      <c r="J7" s="124">
        <v>5</v>
      </c>
      <c r="K7" s="124">
        <v>5</v>
      </c>
      <c r="L7" s="124">
        <v>5</v>
      </c>
      <c r="M7" s="124">
        <v>5</v>
      </c>
      <c r="N7" s="122">
        <v>4</v>
      </c>
      <c r="O7" s="122">
        <v>4</v>
      </c>
      <c r="P7" s="122">
        <v>4</v>
      </c>
      <c r="Q7" s="122">
        <v>3</v>
      </c>
      <c r="R7" s="122">
        <v>2</v>
      </c>
      <c r="S7" s="122">
        <v>1</v>
      </c>
      <c r="T7" s="122">
        <v>2</v>
      </c>
      <c r="U7" s="122">
        <v>1</v>
      </c>
      <c r="V7" s="122">
        <v>1</v>
      </c>
      <c r="W7" s="122">
        <v>1</v>
      </c>
      <c r="X7" s="122">
        <v>2</v>
      </c>
      <c r="Y7" s="122">
        <v>2</v>
      </c>
      <c r="Z7" s="122">
        <v>3</v>
      </c>
      <c r="AA7" s="120">
        <v>4</v>
      </c>
      <c r="AB7" s="120">
        <v>4</v>
      </c>
      <c r="AC7" s="120">
        <v>5</v>
      </c>
      <c r="AD7" s="120">
        <v>4</v>
      </c>
      <c r="AE7" s="120">
        <v>5</v>
      </c>
      <c r="AF7" s="120">
        <v>5</v>
      </c>
      <c r="AG7" s="120">
        <v>5</v>
      </c>
      <c r="AH7" s="120">
        <v>5</v>
      </c>
      <c r="AI7" s="120">
        <v>5</v>
      </c>
      <c r="AJ7" s="120">
        <v>6</v>
      </c>
      <c r="AK7" s="120">
        <v>6</v>
      </c>
      <c r="AL7" s="120">
        <v>6</v>
      </c>
      <c r="AM7" s="120">
        <v>6</v>
      </c>
      <c r="AN7" s="120">
        <v>6</v>
      </c>
      <c r="AO7" s="120">
        <v>6</v>
      </c>
      <c r="AP7" s="121">
        <v>6</v>
      </c>
    </row>
    <row r="8" spans="1:42" ht="15.75" thickBot="1" x14ac:dyDescent="0.3">
      <c r="A8" s="123">
        <v>6</v>
      </c>
      <c r="B8" s="124">
        <v>6</v>
      </c>
      <c r="C8" s="124">
        <v>6</v>
      </c>
      <c r="D8" s="124">
        <v>6</v>
      </c>
      <c r="E8" s="124">
        <v>6</v>
      </c>
      <c r="F8" s="124">
        <v>5</v>
      </c>
      <c r="G8" s="124">
        <v>6</v>
      </c>
      <c r="H8" s="124">
        <v>6</v>
      </c>
      <c r="I8" s="124">
        <v>6</v>
      </c>
      <c r="J8" s="124">
        <v>6</v>
      </c>
      <c r="K8" s="124">
        <v>5</v>
      </c>
      <c r="L8" s="124">
        <v>5</v>
      </c>
      <c r="M8" s="124">
        <v>5</v>
      </c>
      <c r="N8" s="122">
        <v>4</v>
      </c>
      <c r="O8" s="122">
        <v>4</v>
      </c>
      <c r="P8" s="122">
        <v>3</v>
      </c>
      <c r="Q8" s="122">
        <v>3</v>
      </c>
      <c r="R8" s="122">
        <v>2</v>
      </c>
      <c r="S8" s="122">
        <v>1</v>
      </c>
      <c r="T8" s="122">
        <v>1</v>
      </c>
      <c r="U8" s="125">
        <v>1</v>
      </c>
      <c r="V8" s="122">
        <v>2</v>
      </c>
      <c r="W8" s="122">
        <v>2</v>
      </c>
      <c r="X8" s="122">
        <v>2</v>
      </c>
      <c r="Y8" s="122">
        <v>3</v>
      </c>
      <c r="Z8" s="122">
        <v>3</v>
      </c>
      <c r="AA8" s="120">
        <v>4</v>
      </c>
      <c r="AB8" s="120">
        <v>4</v>
      </c>
      <c r="AC8" s="120">
        <v>4</v>
      </c>
      <c r="AD8" s="120">
        <v>6</v>
      </c>
      <c r="AE8" s="120">
        <v>6</v>
      </c>
      <c r="AF8" s="120">
        <v>6</v>
      </c>
      <c r="AG8" s="120">
        <v>6</v>
      </c>
      <c r="AH8" s="120">
        <v>5</v>
      </c>
      <c r="AI8" s="120">
        <v>5</v>
      </c>
      <c r="AJ8" s="120">
        <v>5</v>
      </c>
      <c r="AK8" s="120">
        <v>5</v>
      </c>
      <c r="AL8" s="120">
        <v>6</v>
      </c>
      <c r="AM8" s="120">
        <v>6</v>
      </c>
      <c r="AN8" s="120">
        <v>6</v>
      </c>
      <c r="AO8" s="120">
        <v>6</v>
      </c>
      <c r="AP8" s="121">
        <v>6</v>
      </c>
    </row>
    <row r="9" spans="1:42" x14ac:dyDescent="0.25">
      <c r="A9" s="123">
        <v>6</v>
      </c>
      <c r="B9" s="124">
        <v>6</v>
      </c>
      <c r="C9" s="124">
        <v>6</v>
      </c>
      <c r="D9" s="124">
        <v>6</v>
      </c>
      <c r="E9" s="124">
        <v>6</v>
      </c>
      <c r="F9" s="124">
        <v>5</v>
      </c>
      <c r="G9" s="124">
        <v>6</v>
      </c>
      <c r="H9" s="124">
        <v>6</v>
      </c>
      <c r="I9" s="124">
        <v>6</v>
      </c>
      <c r="J9" s="124">
        <v>6</v>
      </c>
      <c r="K9" s="124">
        <v>5</v>
      </c>
      <c r="L9" s="124">
        <v>5</v>
      </c>
      <c r="M9" s="124">
        <v>5</v>
      </c>
      <c r="N9" s="126">
        <v>4</v>
      </c>
      <c r="O9" s="126">
        <v>4</v>
      </c>
      <c r="P9" s="126">
        <v>4</v>
      </c>
      <c r="Q9" s="126">
        <v>2</v>
      </c>
      <c r="R9" s="124">
        <v>2</v>
      </c>
      <c r="S9" s="124">
        <v>2</v>
      </c>
      <c r="T9" s="124">
        <v>2</v>
      </c>
      <c r="U9" s="124">
        <v>3</v>
      </c>
      <c r="V9" s="124">
        <v>3</v>
      </c>
      <c r="W9" s="127">
        <v>1</v>
      </c>
      <c r="X9" s="127">
        <v>1</v>
      </c>
      <c r="Y9" s="127">
        <v>1</v>
      </c>
      <c r="Z9" s="127">
        <v>1</v>
      </c>
      <c r="AA9" s="124">
        <v>4</v>
      </c>
      <c r="AB9" s="124">
        <v>4</v>
      </c>
      <c r="AC9" s="124">
        <v>4</v>
      </c>
      <c r="AD9" s="124">
        <v>4</v>
      </c>
      <c r="AE9" s="124">
        <v>4</v>
      </c>
      <c r="AF9" s="124">
        <v>4</v>
      </c>
      <c r="AG9" s="124">
        <v>4</v>
      </c>
      <c r="AH9" s="124">
        <v>5</v>
      </c>
      <c r="AI9" s="124">
        <v>5</v>
      </c>
      <c r="AJ9" s="124">
        <v>5</v>
      </c>
      <c r="AK9" s="124">
        <v>5</v>
      </c>
      <c r="AL9" s="124">
        <v>5</v>
      </c>
      <c r="AM9" s="124">
        <v>5</v>
      </c>
      <c r="AN9" s="124">
        <v>5</v>
      </c>
      <c r="AO9" s="124">
        <v>5</v>
      </c>
      <c r="AP9" s="128">
        <v>5</v>
      </c>
    </row>
    <row r="10" spans="1:42" ht="15.75" thickBot="1" x14ac:dyDescent="0.3">
      <c r="A10" s="129">
        <v>6</v>
      </c>
      <c r="B10" s="130">
        <v>6</v>
      </c>
      <c r="C10" s="130">
        <v>6</v>
      </c>
      <c r="D10" s="130">
        <v>6</v>
      </c>
      <c r="E10" s="130">
        <v>6</v>
      </c>
      <c r="F10" s="130">
        <v>5</v>
      </c>
      <c r="G10" s="130">
        <v>6</v>
      </c>
      <c r="H10" s="130">
        <v>6</v>
      </c>
      <c r="I10" s="130">
        <v>6</v>
      </c>
      <c r="J10" s="130">
        <v>6</v>
      </c>
      <c r="K10" s="130">
        <v>5</v>
      </c>
      <c r="L10" s="130">
        <v>5</v>
      </c>
      <c r="M10" s="130">
        <v>5</v>
      </c>
      <c r="N10" s="131">
        <v>5</v>
      </c>
      <c r="O10" s="131">
        <v>5</v>
      </c>
      <c r="P10" s="131">
        <v>5</v>
      </c>
      <c r="Q10" s="131">
        <v>5</v>
      </c>
      <c r="R10" s="130">
        <v>5</v>
      </c>
      <c r="S10" s="130">
        <v>5</v>
      </c>
      <c r="T10" s="130">
        <v>5</v>
      </c>
      <c r="U10" s="130">
        <v>5</v>
      </c>
      <c r="V10" s="130">
        <v>5</v>
      </c>
      <c r="W10" s="132">
        <v>2</v>
      </c>
      <c r="X10" s="132">
        <v>2</v>
      </c>
      <c r="Y10" s="132">
        <v>2</v>
      </c>
      <c r="Z10" s="132">
        <v>2</v>
      </c>
      <c r="AA10" s="130">
        <v>6</v>
      </c>
      <c r="AB10" s="130">
        <v>6</v>
      </c>
      <c r="AC10" s="130">
        <v>6</v>
      </c>
      <c r="AD10" s="130">
        <v>6</v>
      </c>
      <c r="AE10" s="130">
        <v>6</v>
      </c>
      <c r="AF10" s="130">
        <v>6</v>
      </c>
      <c r="AG10" s="130">
        <v>6</v>
      </c>
      <c r="AH10" s="130">
        <v>6</v>
      </c>
      <c r="AI10" s="130">
        <v>6</v>
      </c>
      <c r="AJ10" s="130">
        <v>6</v>
      </c>
      <c r="AK10" s="130">
        <v>6</v>
      </c>
      <c r="AL10" s="130">
        <v>6</v>
      </c>
      <c r="AM10" s="130">
        <v>6</v>
      </c>
      <c r="AN10" s="130">
        <v>6</v>
      </c>
      <c r="AO10" s="130">
        <v>6</v>
      </c>
      <c r="AP10" s="133">
        <v>6</v>
      </c>
    </row>
    <row r="11" spans="1:42" x14ac:dyDescent="0.25">
      <c r="A11" s="134">
        <v>0</v>
      </c>
      <c r="B11" s="134">
        <v>0</v>
      </c>
      <c r="C11" s="134">
        <v>0</v>
      </c>
      <c r="D11" s="134">
        <v>0</v>
      </c>
      <c r="E11" s="134">
        <v>0</v>
      </c>
      <c r="F11" s="134">
        <v>0</v>
      </c>
      <c r="G11" s="134">
        <v>0</v>
      </c>
      <c r="H11" s="134">
        <v>0</v>
      </c>
      <c r="I11" s="134">
        <v>0</v>
      </c>
      <c r="J11" s="134">
        <v>0</v>
      </c>
      <c r="K11" s="134">
        <v>0</v>
      </c>
      <c r="L11" s="134">
        <v>0</v>
      </c>
      <c r="M11" s="134">
        <v>0</v>
      </c>
      <c r="N11" s="134">
        <v>0</v>
      </c>
      <c r="O11" s="134">
        <v>0</v>
      </c>
      <c r="P11" s="134">
        <v>0</v>
      </c>
      <c r="Q11" s="134">
        <v>0</v>
      </c>
      <c r="R11" s="134">
        <v>0</v>
      </c>
      <c r="S11" s="134">
        <v>0</v>
      </c>
      <c r="T11" s="134">
        <v>0</v>
      </c>
      <c r="U11" s="134">
        <v>0</v>
      </c>
      <c r="V11" s="134">
        <v>0</v>
      </c>
      <c r="W11" s="134">
        <v>0</v>
      </c>
      <c r="X11" s="134">
        <v>0</v>
      </c>
      <c r="Y11" s="134">
        <v>0</v>
      </c>
      <c r="Z11" s="134">
        <v>0</v>
      </c>
      <c r="AA11" s="134">
        <v>0</v>
      </c>
      <c r="AB11" s="134">
        <v>0</v>
      </c>
      <c r="AC11" s="134">
        <v>0</v>
      </c>
      <c r="AD11" s="134">
        <v>0</v>
      </c>
      <c r="AE11" s="134">
        <v>0</v>
      </c>
      <c r="AF11" s="134">
        <v>0</v>
      </c>
      <c r="AG11" s="134">
        <v>0</v>
      </c>
      <c r="AH11" s="134">
        <v>0</v>
      </c>
      <c r="AI11" s="134">
        <v>0</v>
      </c>
      <c r="AJ11" s="134">
        <v>0</v>
      </c>
      <c r="AK11" s="134">
        <v>0</v>
      </c>
      <c r="AL11" s="134">
        <v>0</v>
      </c>
      <c r="AM11" s="134">
        <v>0</v>
      </c>
      <c r="AN11" s="134">
        <v>0</v>
      </c>
      <c r="AO11" s="134">
        <v>0</v>
      </c>
      <c r="AP11" s="134">
        <v>0</v>
      </c>
    </row>
    <row r="12" spans="1:42" x14ac:dyDescent="0.25">
      <c r="A12" s="134">
        <v>0</v>
      </c>
      <c r="B12" s="134">
        <v>0</v>
      </c>
      <c r="C12" s="134">
        <v>0</v>
      </c>
      <c r="D12" s="134">
        <v>0</v>
      </c>
      <c r="E12" s="134">
        <v>0</v>
      </c>
      <c r="F12" s="134">
        <v>0</v>
      </c>
      <c r="G12" s="134">
        <v>0</v>
      </c>
      <c r="H12" s="134">
        <v>0</v>
      </c>
      <c r="I12" s="134">
        <v>0</v>
      </c>
      <c r="J12" s="134">
        <v>0</v>
      </c>
      <c r="K12" s="134">
        <v>0</v>
      </c>
      <c r="L12" s="134">
        <v>0</v>
      </c>
      <c r="M12" s="134">
        <v>0</v>
      </c>
      <c r="N12" s="134">
        <v>0</v>
      </c>
      <c r="O12" s="134">
        <v>0</v>
      </c>
      <c r="P12" s="134">
        <v>0</v>
      </c>
      <c r="Q12" s="134">
        <v>0</v>
      </c>
      <c r="R12" s="134">
        <v>0</v>
      </c>
      <c r="S12" s="134">
        <v>0</v>
      </c>
      <c r="T12" s="134">
        <v>0</v>
      </c>
      <c r="U12" s="134">
        <v>0</v>
      </c>
      <c r="V12" s="134">
        <v>0</v>
      </c>
      <c r="W12" s="134">
        <v>0</v>
      </c>
      <c r="X12" s="134">
        <v>0</v>
      </c>
      <c r="Y12" s="134">
        <v>0</v>
      </c>
      <c r="Z12" s="134">
        <v>0</v>
      </c>
      <c r="AA12" s="134">
        <v>0</v>
      </c>
      <c r="AB12" s="134">
        <v>0</v>
      </c>
      <c r="AC12" s="134">
        <v>0</v>
      </c>
      <c r="AD12" s="134">
        <v>0</v>
      </c>
      <c r="AE12" s="134">
        <v>0</v>
      </c>
      <c r="AF12" s="134">
        <v>0</v>
      </c>
      <c r="AG12" s="134">
        <v>0</v>
      </c>
      <c r="AH12" s="134">
        <v>0</v>
      </c>
      <c r="AI12" s="134">
        <v>0</v>
      </c>
      <c r="AJ12" s="134">
        <v>0</v>
      </c>
      <c r="AK12" s="134">
        <v>0</v>
      </c>
      <c r="AL12" s="134">
        <v>0</v>
      </c>
      <c r="AM12" s="134">
        <v>0</v>
      </c>
      <c r="AN12" s="134">
        <v>0</v>
      </c>
      <c r="AO12" s="134">
        <v>0</v>
      </c>
      <c r="AP12" s="134">
        <v>0</v>
      </c>
    </row>
    <row r="13" spans="1:42" x14ac:dyDescent="0.25">
      <c r="A13" s="134">
        <v>0</v>
      </c>
      <c r="B13" s="134">
        <v>0</v>
      </c>
      <c r="C13" s="134">
        <v>0</v>
      </c>
      <c r="D13" s="134">
        <v>0</v>
      </c>
      <c r="E13" s="134">
        <v>0</v>
      </c>
      <c r="F13" s="134">
        <v>0</v>
      </c>
      <c r="G13" s="134">
        <v>0</v>
      </c>
      <c r="H13" s="134">
        <v>0</v>
      </c>
      <c r="I13" s="134">
        <v>0</v>
      </c>
      <c r="J13" s="134">
        <v>0</v>
      </c>
      <c r="K13" s="134">
        <v>0</v>
      </c>
      <c r="L13" s="134">
        <v>0</v>
      </c>
      <c r="M13" s="134">
        <v>0</v>
      </c>
      <c r="N13" s="134">
        <v>0</v>
      </c>
      <c r="O13" s="134">
        <v>0</v>
      </c>
      <c r="P13" s="134">
        <v>0</v>
      </c>
      <c r="Q13" s="134">
        <v>0</v>
      </c>
      <c r="R13" s="134">
        <v>0</v>
      </c>
      <c r="S13" s="134">
        <v>0</v>
      </c>
      <c r="T13" s="134">
        <v>0</v>
      </c>
      <c r="U13" s="134">
        <v>0</v>
      </c>
      <c r="V13" s="134">
        <v>0</v>
      </c>
      <c r="W13" s="134">
        <v>0</v>
      </c>
      <c r="X13" s="134">
        <v>0</v>
      </c>
      <c r="Y13" s="134">
        <v>0</v>
      </c>
      <c r="Z13" s="134">
        <v>0</v>
      </c>
      <c r="AA13" s="134">
        <v>0</v>
      </c>
      <c r="AB13" s="134">
        <v>0</v>
      </c>
      <c r="AC13" s="134">
        <v>0</v>
      </c>
      <c r="AD13" s="134">
        <v>0</v>
      </c>
      <c r="AE13" s="134">
        <v>0</v>
      </c>
      <c r="AF13" s="134">
        <v>0</v>
      </c>
      <c r="AG13" s="134">
        <v>0</v>
      </c>
      <c r="AH13" s="134">
        <v>0</v>
      </c>
      <c r="AI13" s="134">
        <v>0</v>
      </c>
      <c r="AJ13" s="134">
        <v>0</v>
      </c>
      <c r="AK13" s="134">
        <v>0</v>
      </c>
      <c r="AL13" s="134">
        <v>0</v>
      </c>
      <c r="AM13" s="134">
        <v>0</v>
      </c>
      <c r="AN13" s="134">
        <v>0</v>
      </c>
      <c r="AO13" s="134">
        <v>0</v>
      </c>
      <c r="AP13" s="134">
        <v>0</v>
      </c>
    </row>
    <row r="14" spans="1:42" x14ac:dyDescent="0.25">
      <c r="A14" s="134">
        <v>0</v>
      </c>
      <c r="B14" s="134">
        <v>0</v>
      </c>
      <c r="C14" s="134">
        <v>0</v>
      </c>
      <c r="D14" s="134">
        <v>0</v>
      </c>
      <c r="E14" s="134">
        <v>0</v>
      </c>
      <c r="F14" s="134">
        <v>0</v>
      </c>
      <c r="G14" s="134">
        <v>0</v>
      </c>
      <c r="H14" s="134">
        <v>0</v>
      </c>
      <c r="I14" s="134">
        <v>0</v>
      </c>
      <c r="J14" s="134">
        <v>0</v>
      </c>
      <c r="K14" s="134">
        <v>0</v>
      </c>
      <c r="L14" s="134">
        <v>0</v>
      </c>
      <c r="M14" s="134">
        <v>0</v>
      </c>
      <c r="N14" s="134">
        <v>0</v>
      </c>
      <c r="O14" s="134">
        <v>0</v>
      </c>
      <c r="P14" s="134">
        <v>0</v>
      </c>
      <c r="Q14" s="134">
        <v>0</v>
      </c>
      <c r="R14" s="134">
        <v>0</v>
      </c>
      <c r="S14" s="134">
        <v>0</v>
      </c>
      <c r="T14" s="134">
        <v>0</v>
      </c>
      <c r="U14" s="134">
        <v>0</v>
      </c>
      <c r="V14" s="134">
        <v>0</v>
      </c>
      <c r="W14" s="134">
        <v>0</v>
      </c>
      <c r="X14" s="134">
        <v>0</v>
      </c>
      <c r="Y14" s="134">
        <v>0</v>
      </c>
      <c r="Z14" s="134">
        <v>0</v>
      </c>
      <c r="AA14" s="134">
        <v>0</v>
      </c>
      <c r="AB14" s="134">
        <v>0</v>
      </c>
      <c r="AC14" s="134">
        <v>0</v>
      </c>
      <c r="AD14" s="134">
        <v>0</v>
      </c>
      <c r="AE14" s="134">
        <v>0</v>
      </c>
      <c r="AF14" s="134">
        <v>0</v>
      </c>
      <c r="AG14" s="134">
        <v>0</v>
      </c>
      <c r="AH14" s="134">
        <v>0</v>
      </c>
      <c r="AI14" s="134">
        <v>0</v>
      </c>
      <c r="AJ14" s="134">
        <v>0</v>
      </c>
      <c r="AK14" s="134">
        <v>0</v>
      </c>
      <c r="AL14" s="134">
        <v>0</v>
      </c>
      <c r="AM14" s="134">
        <v>0</v>
      </c>
      <c r="AN14" s="134">
        <v>0</v>
      </c>
      <c r="AO14" s="134">
        <v>0</v>
      </c>
      <c r="AP14" s="134">
        <v>0</v>
      </c>
    </row>
    <row r="15" spans="1:42" x14ac:dyDescent="0.25">
      <c r="A15" s="134">
        <v>0</v>
      </c>
      <c r="B15" s="134">
        <v>0</v>
      </c>
      <c r="C15" s="134">
        <v>0</v>
      </c>
      <c r="D15" s="134">
        <v>0</v>
      </c>
      <c r="E15" s="134">
        <v>0</v>
      </c>
      <c r="F15" s="134">
        <v>0</v>
      </c>
      <c r="G15" s="134">
        <v>0</v>
      </c>
      <c r="H15" s="134">
        <v>0</v>
      </c>
      <c r="I15" s="134">
        <v>0</v>
      </c>
      <c r="J15" s="134">
        <v>0</v>
      </c>
      <c r="K15" s="134">
        <v>0</v>
      </c>
      <c r="L15" s="134">
        <v>0</v>
      </c>
      <c r="M15" s="134">
        <v>0</v>
      </c>
      <c r="N15" s="134">
        <v>0</v>
      </c>
      <c r="O15" s="134">
        <v>0</v>
      </c>
      <c r="P15" s="134">
        <v>0</v>
      </c>
      <c r="Q15" s="134">
        <v>0</v>
      </c>
      <c r="R15" s="134">
        <v>0</v>
      </c>
      <c r="S15" s="134">
        <v>0</v>
      </c>
      <c r="T15" s="134">
        <v>32</v>
      </c>
      <c r="U15" s="134">
        <v>0</v>
      </c>
      <c r="V15" s="134">
        <v>51</v>
      </c>
      <c r="W15" s="134">
        <v>0</v>
      </c>
      <c r="X15" s="134">
        <v>0</v>
      </c>
      <c r="Y15" s="134">
        <v>12</v>
      </c>
      <c r="Z15" s="134">
        <v>0</v>
      </c>
      <c r="AA15" s="134">
        <v>0</v>
      </c>
      <c r="AB15" s="134">
        <v>0</v>
      </c>
      <c r="AC15" s="134">
        <v>0</v>
      </c>
      <c r="AD15" s="134">
        <v>0</v>
      </c>
      <c r="AE15" s="134">
        <v>0</v>
      </c>
      <c r="AF15" s="134">
        <v>0</v>
      </c>
      <c r="AG15" s="134">
        <v>0</v>
      </c>
      <c r="AH15" s="134">
        <v>0</v>
      </c>
      <c r="AI15" s="134">
        <v>0</v>
      </c>
      <c r="AJ15" s="134">
        <v>0</v>
      </c>
      <c r="AK15" s="134">
        <v>0</v>
      </c>
      <c r="AL15" s="134">
        <v>0</v>
      </c>
      <c r="AM15" s="134">
        <v>0</v>
      </c>
      <c r="AN15" s="134">
        <v>0</v>
      </c>
      <c r="AO15" s="134">
        <v>0</v>
      </c>
      <c r="AP15" s="134">
        <v>0</v>
      </c>
    </row>
    <row r="16" spans="1:42" x14ac:dyDescent="0.25">
      <c r="A16" s="134">
        <v>0</v>
      </c>
      <c r="B16" s="134">
        <v>0</v>
      </c>
      <c r="C16" s="134">
        <v>0</v>
      </c>
      <c r="D16" s="134">
        <v>0</v>
      </c>
      <c r="E16" s="134">
        <v>0</v>
      </c>
      <c r="F16" s="134">
        <v>0</v>
      </c>
      <c r="G16" s="134">
        <v>0</v>
      </c>
      <c r="H16" s="134">
        <v>0</v>
      </c>
      <c r="I16" s="134">
        <v>0</v>
      </c>
      <c r="J16" s="134">
        <v>0</v>
      </c>
      <c r="K16" s="134">
        <v>0</v>
      </c>
      <c r="L16" s="134">
        <v>0</v>
      </c>
      <c r="M16" s="134">
        <v>0</v>
      </c>
      <c r="N16" s="134">
        <v>0</v>
      </c>
      <c r="O16" s="134">
        <v>0</v>
      </c>
      <c r="P16" s="134">
        <v>0</v>
      </c>
      <c r="Q16" s="134">
        <v>41</v>
      </c>
      <c r="R16" s="134">
        <v>0</v>
      </c>
      <c r="S16" s="134">
        <v>31</v>
      </c>
      <c r="T16" s="134">
        <v>0</v>
      </c>
      <c r="U16" s="134">
        <v>0</v>
      </c>
      <c r="V16" s="134">
        <v>41</v>
      </c>
      <c r="W16" s="134">
        <v>31</v>
      </c>
      <c r="X16" s="134">
        <v>13</v>
      </c>
      <c r="Y16" s="134">
        <v>0</v>
      </c>
      <c r="Z16" s="134">
        <v>0</v>
      </c>
      <c r="AA16" s="134">
        <v>0</v>
      </c>
      <c r="AB16" s="134">
        <v>0</v>
      </c>
      <c r="AC16" s="134">
        <v>0</v>
      </c>
      <c r="AD16" s="134">
        <v>0</v>
      </c>
      <c r="AE16" s="134">
        <v>0</v>
      </c>
      <c r="AF16" s="134">
        <v>0</v>
      </c>
      <c r="AG16" s="134">
        <v>0</v>
      </c>
      <c r="AH16" s="134">
        <v>0</v>
      </c>
      <c r="AI16" s="134">
        <v>0</v>
      </c>
      <c r="AJ16" s="134">
        <v>0</v>
      </c>
      <c r="AK16" s="134">
        <v>0</v>
      </c>
      <c r="AL16" s="134">
        <v>0</v>
      </c>
      <c r="AM16" s="134">
        <v>0</v>
      </c>
      <c r="AN16" s="134">
        <v>0</v>
      </c>
      <c r="AO16" s="134">
        <v>0</v>
      </c>
      <c r="AP16" s="134">
        <v>0</v>
      </c>
    </row>
    <row r="17" spans="1:42" x14ac:dyDescent="0.25">
      <c r="A17" s="134">
        <v>0</v>
      </c>
      <c r="B17" s="134">
        <v>0</v>
      </c>
      <c r="C17" s="134">
        <v>0</v>
      </c>
      <c r="D17" s="134">
        <v>0</v>
      </c>
      <c r="E17" s="134">
        <v>0</v>
      </c>
      <c r="F17" s="134">
        <v>0</v>
      </c>
      <c r="G17" s="134">
        <v>0</v>
      </c>
      <c r="H17" s="134">
        <v>0</v>
      </c>
      <c r="I17" s="134">
        <v>0</v>
      </c>
      <c r="J17" s="134">
        <v>0</v>
      </c>
      <c r="K17" s="134">
        <v>0</v>
      </c>
      <c r="L17" s="134">
        <v>0</v>
      </c>
      <c r="M17" s="134">
        <v>0</v>
      </c>
      <c r="N17" s="134">
        <v>0</v>
      </c>
      <c r="O17" s="134">
        <v>0</v>
      </c>
      <c r="P17" s="134">
        <v>0</v>
      </c>
      <c r="Q17" s="134">
        <v>0</v>
      </c>
      <c r="R17" s="134">
        <v>21</v>
      </c>
      <c r="S17" s="134">
        <v>0</v>
      </c>
      <c r="T17" s="134">
        <v>24</v>
      </c>
      <c r="U17" s="134">
        <v>32</v>
      </c>
      <c r="V17" s="134">
        <v>21</v>
      </c>
      <c r="W17" s="134">
        <v>0</v>
      </c>
      <c r="X17" s="134">
        <v>0</v>
      </c>
      <c r="Y17" s="134">
        <v>0</v>
      </c>
      <c r="Z17" s="134">
        <v>0</v>
      </c>
      <c r="AA17" s="134">
        <v>0</v>
      </c>
      <c r="AB17" s="134">
        <v>0</v>
      </c>
      <c r="AC17" s="134">
        <v>0</v>
      </c>
      <c r="AD17" s="134">
        <v>0</v>
      </c>
      <c r="AE17" s="134">
        <v>0</v>
      </c>
      <c r="AF17" s="134">
        <v>0</v>
      </c>
      <c r="AG17" s="134">
        <v>0</v>
      </c>
      <c r="AH17" s="134">
        <v>0</v>
      </c>
      <c r="AI17" s="134">
        <v>0</v>
      </c>
      <c r="AJ17" s="134">
        <v>0</v>
      </c>
      <c r="AK17" s="134">
        <v>0</v>
      </c>
      <c r="AL17" s="134">
        <v>0</v>
      </c>
      <c r="AM17" s="134">
        <v>0</v>
      </c>
      <c r="AN17" s="134">
        <v>0</v>
      </c>
      <c r="AO17" s="134">
        <v>0</v>
      </c>
      <c r="AP17" s="134">
        <v>0</v>
      </c>
    </row>
    <row r="18" spans="1:42" x14ac:dyDescent="0.25">
      <c r="A18" s="134">
        <v>0</v>
      </c>
      <c r="B18" s="134">
        <v>0</v>
      </c>
      <c r="C18" s="134">
        <v>0</v>
      </c>
      <c r="D18" s="134">
        <v>0</v>
      </c>
      <c r="E18" s="134">
        <v>0</v>
      </c>
      <c r="F18" s="134">
        <v>0</v>
      </c>
      <c r="G18" s="134">
        <v>0</v>
      </c>
      <c r="H18" s="134">
        <v>0</v>
      </c>
      <c r="I18" s="134">
        <v>0</v>
      </c>
      <c r="J18" s="134">
        <v>0</v>
      </c>
      <c r="K18" s="134">
        <v>0</v>
      </c>
      <c r="L18" s="134">
        <v>0</v>
      </c>
      <c r="M18" s="134">
        <v>0</v>
      </c>
      <c r="N18" s="134">
        <v>0</v>
      </c>
      <c r="O18" s="134">
        <v>0</v>
      </c>
      <c r="P18" s="134">
        <v>0</v>
      </c>
      <c r="Q18" s="134">
        <v>12</v>
      </c>
      <c r="R18" s="134">
        <v>0</v>
      </c>
      <c r="S18" s="134">
        <v>21</v>
      </c>
      <c r="T18" s="134">
        <v>0</v>
      </c>
      <c r="U18" s="134">
        <v>52</v>
      </c>
      <c r="V18" s="134">
        <v>0</v>
      </c>
      <c r="W18" s="134">
        <v>0</v>
      </c>
      <c r="X18" s="134">
        <v>0</v>
      </c>
      <c r="Y18" s="134">
        <v>12</v>
      </c>
      <c r="Z18" s="134">
        <v>0</v>
      </c>
      <c r="AA18" s="134">
        <v>0</v>
      </c>
      <c r="AB18" s="134">
        <v>0</v>
      </c>
      <c r="AC18" s="134">
        <v>0</v>
      </c>
      <c r="AD18" s="134">
        <v>0</v>
      </c>
      <c r="AE18" s="134">
        <v>0</v>
      </c>
      <c r="AF18" s="134">
        <v>0</v>
      </c>
      <c r="AG18" s="134">
        <v>0</v>
      </c>
      <c r="AH18" s="134">
        <v>0</v>
      </c>
      <c r="AI18" s="134">
        <v>0</v>
      </c>
      <c r="AJ18" s="134">
        <v>0</v>
      </c>
      <c r="AK18" s="134">
        <v>0</v>
      </c>
      <c r="AL18" s="134">
        <v>0</v>
      </c>
      <c r="AM18" s="134">
        <v>0</v>
      </c>
      <c r="AN18" s="134">
        <v>0</v>
      </c>
      <c r="AO18" s="134">
        <v>0</v>
      </c>
      <c r="AP18" s="134">
        <v>0</v>
      </c>
    </row>
    <row r="19" spans="1:42" x14ac:dyDescent="0.25">
      <c r="A19" s="134">
        <v>0</v>
      </c>
      <c r="B19" s="134">
        <v>0</v>
      </c>
      <c r="C19" s="134">
        <v>0</v>
      </c>
      <c r="D19" s="134">
        <v>0</v>
      </c>
      <c r="E19" s="134">
        <v>0</v>
      </c>
      <c r="F19" s="134">
        <v>0</v>
      </c>
      <c r="G19" s="134">
        <v>0</v>
      </c>
      <c r="H19" s="134">
        <v>0</v>
      </c>
      <c r="I19" s="134">
        <v>0</v>
      </c>
      <c r="J19" s="134">
        <v>0</v>
      </c>
      <c r="K19" s="134">
        <v>0</v>
      </c>
      <c r="L19" s="134">
        <v>0</v>
      </c>
      <c r="M19" s="134">
        <v>0</v>
      </c>
      <c r="N19" s="134">
        <v>0</v>
      </c>
      <c r="O19" s="134">
        <v>0</v>
      </c>
      <c r="P19" s="134">
        <v>0</v>
      </c>
      <c r="Q19" s="134">
        <v>0</v>
      </c>
      <c r="R19" s="134">
        <v>0</v>
      </c>
      <c r="S19" s="134">
        <v>0</v>
      </c>
      <c r="T19" s="134">
        <v>13</v>
      </c>
      <c r="U19" s="134">
        <v>23</v>
      </c>
      <c r="V19" s="134">
        <v>0</v>
      </c>
      <c r="W19" s="134">
        <v>61</v>
      </c>
      <c r="X19" s="134">
        <v>0</v>
      </c>
      <c r="Y19" s="134">
        <v>0</v>
      </c>
      <c r="Z19" s="134">
        <v>0</v>
      </c>
      <c r="AA19" s="134">
        <v>0</v>
      </c>
      <c r="AB19" s="134">
        <v>0</v>
      </c>
      <c r="AC19" s="134">
        <v>0</v>
      </c>
      <c r="AD19" s="134">
        <v>0</v>
      </c>
      <c r="AE19" s="134">
        <v>0</v>
      </c>
      <c r="AF19" s="134">
        <v>0</v>
      </c>
      <c r="AG19" s="134">
        <v>0</v>
      </c>
      <c r="AH19" s="134">
        <v>0</v>
      </c>
      <c r="AI19" s="134">
        <v>0</v>
      </c>
      <c r="AJ19" s="134">
        <v>0</v>
      </c>
      <c r="AK19" s="134">
        <v>0</v>
      </c>
      <c r="AL19" s="134">
        <v>0</v>
      </c>
      <c r="AM19" s="134">
        <v>0</v>
      </c>
      <c r="AN19" s="134">
        <v>0</v>
      </c>
      <c r="AO19" s="134">
        <v>0</v>
      </c>
      <c r="AP19" s="134">
        <v>0</v>
      </c>
    </row>
    <row r="20" spans="1:42" x14ac:dyDescent="0.25">
      <c r="A20" s="134">
        <v>0</v>
      </c>
      <c r="B20" s="134">
        <v>0</v>
      </c>
      <c r="C20" s="134">
        <v>0</v>
      </c>
      <c r="D20" s="134">
        <v>0</v>
      </c>
      <c r="E20" s="134">
        <v>0</v>
      </c>
      <c r="F20" s="134">
        <v>0</v>
      </c>
      <c r="G20" s="134">
        <v>0</v>
      </c>
      <c r="H20" s="134">
        <v>0</v>
      </c>
      <c r="I20" s="134">
        <v>0</v>
      </c>
      <c r="J20" s="134">
        <v>0</v>
      </c>
      <c r="K20" s="134">
        <v>0</v>
      </c>
      <c r="L20" s="134">
        <v>0</v>
      </c>
      <c r="M20" s="134">
        <v>0</v>
      </c>
      <c r="N20" s="134">
        <v>0</v>
      </c>
      <c r="O20" s="134">
        <v>0</v>
      </c>
      <c r="P20" s="134">
        <v>0</v>
      </c>
      <c r="Q20" s="134">
        <v>0</v>
      </c>
      <c r="R20" s="134">
        <v>0</v>
      </c>
      <c r="S20" s="134">
        <v>0</v>
      </c>
      <c r="T20" s="134">
        <v>0</v>
      </c>
      <c r="U20" s="134">
        <v>0</v>
      </c>
      <c r="V20" s="134">
        <v>0</v>
      </c>
      <c r="W20" s="134">
        <v>0</v>
      </c>
      <c r="X20" s="134">
        <v>0</v>
      </c>
      <c r="Y20" s="134">
        <v>0</v>
      </c>
      <c r="Z20" s="134">
        <v>0</v>
      </c>
      <c r="AA20" s="134">
        <v>0</v>
      </c>
      <c r="AB20" s="134">
        <v>0</v>
      </c>
      <c r="AC20" s="134">
        <v>0</v>
      </c>
      <c r="AD20" s="134">
        <v>0</v>
      </c>
      <c r="AE20" s="134">
        <v>0</v>
      </c>
      <c r="AF20" s="134">
        <v>0</v>
      </c>
      <c r="AG20" s="134">
        <v>0</v>
      </c>
      <c r="AH20" s="134">
        <v>0</v>
      </c>
      <c r="AI20" s="134">
        <v>0</v>
      </c>
      <c r="AJ20" s="134">
        <v>0</v>
      </c>
      <c r="AK20" s="134">
        <v>0</v>
      </c>
      <c r="AL20" s="134">
        <v>0</v>
      </c>
      <c r="AM20" s="134">
        <v>0</v>
      </c>
      <c r="AN20" s="134">
        <v>0</v>
      </c>
      <c r="AO20" s="134">
        <v>0</v>
      </c>
      <c r="AP20" s="134">
        <v>0</v>
      </c>
    </row>
    <row r="21" spans="1:42" ht="15.75" thickBot="1" x14ac:dyDescent="0.3"/>
    <row r="22" spans="1:42" x14ac:dyDescent="0.25">
      <c r="A22" s="113">
        <v>6</v>
      </c>
      <c r="B22" s="114">
        <v>6</v>
      </c>
      <c r="C22" s="114">
        <v>6</v>
      </c>
      <c r="D22" s="114">
        <v>6</v>
      </c>
      <c r="E22" s="114">
        <v>6</v>
      </c>
      <c r="F22" s="114">
        <v>6</v>
      </c>
      <c r="G22" s="114">
        <v>6</v>
      </c>
      <c r="H22" s="114">
        <v>6</v>
      </c>
      <c r="I22" s="114">
        <v>6</v>
      </c>
      <c r="J22" s="114">
        <v>6</v>
      </c>
      <c r="K22" s="114">
        <v>6</v>
      </c>
      <c r="L22" s="114">
        <v>6</v>
      </c>
      <c r="M22" s="114">
        <v>6</v>
      </c>
      <c r="N22" s="115">
        <v>6</v>
      </c>
      <c r="O22" s="115">
        <v>6</v>
      </c>
      <c r="P22" s="115">
        <v>6</v>
      </c>
      <c r="Q22" s="115">
        <v>6</v>
      </c>
      <c r="R22" s="115">
        <v>6</v>
      </c>
      <c r="S22" s="115">
        <v>6</v>
      </c>
      <c r="T22" s="115">
        <v>6</v>
      </c>
      <c r="U22" s="115">
        <v>6</v>
      </c>
      <c r="V22" s="115">
        <v>5</v>
      </c>
      <c r="W22" s="115">
        <v>5</v>
      </c>
      <c r="X22" s="115">
        <v>5</v>
      </c>
      <c r="Y22" s="115">
        <v>5</v>
      </c>
      <c r="Z22" s="115">
        <v>5</v>
      </c>
      <c r="AA22" s="116">
        <v>6</v>
      </c>
      <c r="AB22" s="116">
        <v>6</v>
      </c>
      <c r="AC22" s="116">
        <v>6</v>
      </c>
      <c r="AD22" s="116">
        <v>6</v>
      </c>
      <c r="AE22" s="116">
        <v>6</v>
      </c>
      <c r="AF22" s="116">
        <v>6</v>
      </c>
      <c r="AG22" s="116">
        <v>6</v>
      </c>
      <c r="AH22" s="116">
        <v>6</v>
      </c>
      <c r="AI22" s="116">
        <v>6</v>
      </c>
      <c r="AJ22" s="116">
        <v>6</v>
      </c>
      <c r="AK22" s="116">
        <v>6</v>
      </c>
      <c r="AL22" s="116">
        <v>6</v>
      </c>
      <c r="AM22" s="116">
        <v>6</v>
      </c>
      <c r="AN22" s="116">
        <v>6</v>
      </c>
      <c r="AO22" s="116">
        <v>6</v>
      </c>
      <c r="AP22" s="117">
        <v>6</v>
      </c>
    </row>
    <row r="23" spans="1:42" x14ac:dyDescent="0.25">
      <c r="A23" s="118">
        <v>6</v>
      </c>
      <c r="B23" s="119">
        <v>6</v>
      </c>
      <c r="C23" s="119">
        <v>6</v>
      </c>
      <c r="D23" s="119">
        <v>6</v>
      </c>
      <c r="E23" s="119">
        <v>6</v>
      </c>
      <c r="F23" s="119">
        <v>6</v>
      </c>
      <c r="G23" s="119">
        <v>6</v>
      </c>
      <c r="H23" s="119">
        <v>6</v>
      </c>
      <c r="I23" s="119">
        <v>6</v>
      </c>
      <c r="J23" s="119">
        <v>6</v>
      </c>
      <c r="K23" s="119">
        <v>5</v>
      </c>
      <c r="L23" s="119">
        <v>5</v>
      </c>
      <c r="M23" s="119">
        <v>5</v>
      </c>
      <c r="N23" s="109">
        <v>5</v>
      </c>
      <c r="O23" s="109">
        <v>5</v>
      </c>
      <c r="P23" s="109">
        <v>5</v>
      </c>
      <c r="Q23" s="109">
        <v>6</v>
      </c>
      <c r="R23" s="109">
        <v>6</v>
      </c>
      <c r="S23" s="109">
        <v>6</v>
      </c>
      <c r="T23" s="109">
        <v>6</v>
      </c>
      <c r="U23" s="109">
        <v>6</v>
      </c>
      <c r="V23" s="109">
        <v>5</v>
      </c>
      <c r="W23" s="109">
        <v>5</v>
      </c>
      <c r="X23" s="109">
        <v>5</v>
      </c>
      <c r="Y23" s="109">
        <v>5</v>
      </c>
      <c r="Z23" s="109">
        <v>5</v>
      </c>
      <c r="AA23" s="120">
        <v>5</v>
      </c>
      <c r="AB23" s="120">
        <v>5</v>
      </c>
      <c r="AC23" s="120">
        <v>5</v>
      </c>
      <c r="AD23" s="120">
        <v>6</v>
      </c>
      <c r="AE23" s="120">
        <v>6</v>
      </c>
      <c r="AF23" s="120">
        <v>6</v>
      </c>
      <c r="AG23" s="120">
        <v>6</v>
      </c>
      <c r="AH23" s="120">
        <v>6</v>
      </c>
      <c r="AI23" s="120">
        <v>6</v>
      </c>
      <c r="AJ23" s="120">
        <v>6</v>
      </c>
      <c r="AK23" s="120">
        <v>6</v>
      </c>
      <c r="AL23" s="120">
        <v>6</v>
      </c>
      <c r="AM23" s="120">
        <v>6</v>
      </c>
      <c r="AN23" s="120">
        <v>6</v>
      </c>
      <c r="AO23" s="120">
        <v>6</v>
      </c>
      <c r="AP23" s="121">
        <v>6</v>
      </c>
    </row>
    <row r="24" spans="1:42" x14ac:dyDescent="0.25">
      <c r="A24" s="118">
        <v>6</v>
      </c>
      <c r="B24" s="119">
        <v>6</v>
      </c>
      <c r="C24" s="119">
        <v>6</v>
      </c>
      <c r="D24" s="119">
        <v>6</v>
      </c>
      <c r="E24" s="119">
        <v>6</v>
      </c>
      <c r="F24" s="119">
        <v>6</v>
      </c>
      <c r="G24" s="119">
        <v>6</v>
      </c>
      <c r="H24" s="119">
        <v>6</v>
      </c>
      <c r="I24" s="119">
        <v>6</v>
      </c>
      <c r="J24" s="119">
        <v>6</v>
      </c>
      <c r="K24" s="119">
        <v>6</v>
      </c>
      <c r="L24" s="119">
        <v>6</v>
      </c>
      <c r="M24" s="119">
        <v>5</v>
      </c>
      <c r="N24" s="109">
        <v>5</v>
      </c>
      <c r="O24" s="109">
        <v>4</v>
      </c>
      <c r="P24" s="109">
        <v>4</v>
      </c>
      <c r="Q24" s="109">
        <v>4</v>
      </c>
      <c r="R24" s="109">
        <v>4</v>
      </c>
      <c r="S24" s="109">
        <v>4</v>
      </c>
      <c r="T24" s="109">
        <v>4</v>
      </c>
      <c r="U24" s="109">
        <v>5</v>
      </c>
      <c r="V24" s="109">
        <v>5</v>
      </c>
      <c r="W24" s="109">
        <v>5</v>
      </c>
      <c r="X24" s="109">
        <v>5</v>
      </c>
      <c r="Y24" s="109">
        <v>5</v>
      </c>
      <c r="Z24" s="109">
        <v>5</v>
      </c>
      <c r="AA24" s="120">
        <v>6</v>
      </c>
      <c r="AB24" s="120">
        <v>6</v>
      </c>
      <c r="AC24" s="120">
        <v>6</v>
      </c>
      <c r="AD24" s="120">
        <v>6</v>
      </c>
      <c r="AE24" s="120">
        <v>6</v>
      </c>
      <c r="AF24" s="120">
        <v>6</v>
      </c>
      <c r="AG24" s="120">
        <v>6</v>
      </c>
      <c r="AH24" s="120">
        <v>6</v>
      </c>
      <c r="AI24" s="120">
        <v>6</v>
      </c>
      <c r="AJ24" s="120">
        <v>6</v>
      </c>
      <c r="AK24" s="120">
        <v>6</v>
      </c>
      <c r="AL24" s="120">
        <v>6</v>
      </c>
      <c r="AM24" s="120">
        <v>6</v>
      </c>
      <c r="AN24" s="120">
        <v>6</v>
      </c>
      <c r="AO24" s="120">
        <v>6</v>
      </c>
      <c r="AP24" s="121">
        <v>6</v>
      </c>
    </row>
    <row r="25" spans="1:42" x14ac:dyDescent="0.25">
      <c r="A25" s="118">
        <v>6</v>
      </c>
      <c r="B25" s="119">
        <v>6</v>
      </c>
      <c r="C25" s="119">
        <v>6</v>
      </c>
      <c r="D25" s="119">
        <v>6</v>
      </c>
      <c r="E25" s="119">
        <v>6</v>
      </c>
      <c r="F25" s="119">
        <v>5</v>
      </c>
      <c r="G25" s="119">
        <v>5</v>
      </c>
      <c r="H25" s="119">
        <v>5</v>
      </c>
      <c r="I25" s="119">
        <v>5</v>
      </c>
      <c r="J25" s="119">
        <v>5</v>
      </c>
      <c r="K25" s="119">
        <v>5</v>
      </c>
      <c r="L25" s="119">
        <v>5</v>
      </c>
      <c r="M25" s="119">
        <v>5</v>
      </c>
      <c r="N25" s="109">
        <v>5</v>
      </c>
      <c r="O25" s="109">
        <v>5</v>
      </c>
      <c r="P25" s="109">
        <v>5</v>
      </c>
      <c r="Q25" s="109">
        <v>5</v>
      </c>
      <c r="R25" s="109">
        <v>4</v>
      </c>
      <c r="S25" s="109">
        <v>4</v>
      </c>
      <c r="T25" s="109">
        <v>4</v>
      </c>
      <c r="U25" s="109">
        <v>4</v>
      </c>
      <c r="V25" s="109">
        <v>4</v>
      </c>
      <c r="W25" s="109">
        <v>4</v>
      </c>
      <c r="X25" s="109">
        <v>4</v>
      </c>
      <c r="Y25" s="109">
        <v>4</v>
      </c>
      <c r="Z25" s="109">
        <v>4</v>
      </c>
      <c r="AA25" s="120">
        <v>5</v>
      </c>
      <c r="AB25" s="120">
        <v>5</v>
      </c>
      <c r="AC25" s="120">
        <v>5</v>
      </c>
      <c r="AD25" s="120">
        <v>5</v>
      </c>
      <c r="AE25" s="120">
        <v>5</v>
      </c>
      <c r="AF25" s="120">
        <v>5</v>
      </c>
      <c r="AG25" s="120">
        <v>5</v>
      </c>
      <c r="AH25" s="120">
        <v>5</v>
      </c>
      <c r="AI25" s="120">
        <v>5</v>
      </c>
      <c r="AJ25" s="120">
        <v>6</v>
      </c>
      <c r="AK25" s="120">
        <v>6</v>
      </c>
      <c r="AL25" s="120">
        <v>6</v>
      </c>
      <c r="AM25" s="120">
        <v>6</v>
      </c>
      <c r="AN25" s="120">
        <v>6</v>
      </c>
      <c r="AO25" s="120">
        <v>6</v>
      </c>
      <c r="AP25" s="121">
        <v>6</v>
      </c>
    </row>
    <row r="26" spans="1:42" x14ac:dyDescent="0.25">
      <c r="A26" s="118">
        <v>6</v>
      </c>
      <c r="B26" s="119">
        <v>6</v>
      </c>
      <c r="C26" s="119">
        <v>6</v>
      </c>
      <c r="D26" s="119">
        <v>6</v>
      </c>
      <c r="E26" s="119">
        <v>6</v>
      </c>
      <c r="F26" s="119">
        <v>5</v>
      </c>
      <c r="G26" s="119">
        <v>6</v>
      </c>
      <c r="H26" s="119">
        <v>6</v>
      </c>
      <c r="I26" s="119">
        <v>6</v>
      </c>
      <c r="J26" s="119">
        <v>6</v>
      </c>
      <c r="K26" s="119">
        <v>5</v>
      </c>
      <c r="L26" s="119">
        <v>5</v>
      </c>
      <c r="M26" s="119">
        <v>5</v>
      </c>
      <c r="N26" s="109">
        <v>5</v>
      </c>
      <c r="O26" s="109">
        <v>5</v>
      </c>
      <c r="P26" s="109">
        <v>5</v>
      </c>
      <c r="Q26" s="109">
        <v>4</v>
      </c>
      <c r="R26" s="109">
        <v>2</v>
      </c>
      <c r="S26" s="109">
        <v>3</v>
      </c>
      <c r="T26" s="109">
        <v>3</v>
      </c>
      <c r="U26" s="109">
        <v>3</v>
      </c>
      <c r="V26" s="109">
        <v>2</v>
      </c>
      <c r="W26" s="109">
        <v>3</v>
      </c>
      <c r="X26" s="109">
        <v>3</v>
      </c>
      <c r="Y26" s="109">
        <v>4</v>
      </c>
      <c r="Z26" s="109">
        <v>5</v>
      </c>
      <c r="AA26" s="120">
        <v>5</v>
      </c>
      <c r="AB26" s="120">
        <v>5</v>
      </c>
      <c r="AC26" s="120">
        <v>5</v>
      </c>
      <c r="AD26" s="120">
        <v>5</v>
      </c>
      <c r="AE26" s="120">
        <v>5</v>
      </c>
      <c r="AF26" s="120">
        <v>5</v>
      </c>
      <c r="AG26" s="120">
        <v>5</v>
      </c>
      <c r="AH26" s="120">
        <v>5</v>
      </c>
      <c r="AI26" s="120">
        <v>5</v>
      </c>
      <c r="AJ26" s="120">
        <v>6</v>
      </c>
      <c r="AK26" s="120">
        <v>6</v>
      </c>
      <c r="AL26" s="120">
        <v>6</v>
      </c>
      <c r="AM26" s="120">
        <v>6</v>
      </c>
      <c r="AN26" s="120">
        <v>6</v>
      </c>
      <c r="AO26" s="120">
        <v>6</v>
      </c>
      <c r="AP26" s="121">
        <v>6</v>
      </c>
    </row>
    <row r="27" spans="1:42" x14ac:dyDescent="0.25">
      <c r="A27" s="118">
        <v>6</v>
      </c>
      <c r="B27" s="119">
        <v>6</v>
      </c>
      <c r="C27" s="119">
        <v>6</v>
      </c>
      <c r="D27" s="119">
        <v>6</v>
      </c>
      <c r="E27" s="119">
        <v>6</v>
      </c>
      <c r="F27" s="119">
        <v>5</v>
      </c>
      <c r="G27" s="119">
        <v>5</v>
      </c>
      <c r="H27" s="119">
        <v>5</v>
      </c>
      <c r="I27" s="119">
        <v>5</v>
      </c>
      <c r="J27" s="119">
        <v>5</v>
      </c>
      <c r="K27" s="119">
        <v>5</v>
      </c>
      <c r="L27" s="119">
        <v>5</v>
      </c>
      <c r="M27" s="119">
        <v>5</v>
      </c>
      <c r="N27" s="122">
        <v>5</v>
      </c>
      <c r="O27" s="122">
        <v>5</v>
      </c>
      <c r="P27" s="122">
        <v>4</v>
      </c>
      <c r="Q27" s="122">
        <v>3</v>
      </c>
      <c r="R27" s="122">
        <v>2</v>
      </c>
      <c r="S27" s="122">
        <v>2</v>
      </c>
      <c r="T27" s="122">
        <v>2</v>
      </c>
      <c r="U27" s="122">
        <v>3</v>
      </c>
      <c r="V27" s="122">
        <v>2</v>
      </c>
      <c r="W27" s="122">
        <v>2</v>
      </c>
      <c r="X27" s="122">
        <v>3</v>
      </c>
      <c r="Y27" s="122">
        <v>4</v>
      </c>
      <c r="Z27" s="122">
        <v>5</v>
      </c>
      <c r="AA27" s="120">
        <v>4</v>
      </c>
      <c r="AB27" s="120">
        <v>5</v>
      </c>
      <c r="AC27" s="120">
        <v>5</v>
      </c>
      <c r="AD27" s="120">
        <v>5</v>
      </c>
      <c r="AE27" s="120">
        <v>5</v>
      </c>
      <c r="AF27" s="120">
        <v>5</v>
      </c>
      <c r="AG27" s="120">
        <v>5</v>
      </c>
      <c r="AH27" s="120">
        <v>5</v>
      </c>
      <c r="AI27" s="120">
        <v>5</v>
      </c>
      <c r="AJ27" s="120">
        <v>6</v>
      </c>
      <c r="AK27" s="120">
        <v>6</v>
      </c>
      <c r="AL27" s="120">
        <v>6</v>
      </c>
      <c r="AM27" s="120">
        <v>6</v>
      </c>
      <c r="AN27" s="120">
        <v>6</v>
      </c>
      <c r="AO27" s="120">
        <v>6</v>
      </c>
      <c r="AP27" s="121">
        <v>6</v>
      </c>
    </row>
    <row r="28" spans="1:42" ht="15.75" thickBot="1" x14ac:dyDescent="0.3">
      <c r="A28" s="123">
        <v>6</v>
      </c>
      <c r="B28" s="124">
        <v>6</v>
      </c>
      <c r="C28" s="124">
        <v>6</v>
      </c>
      <c r="D28" s="124">
        <v>6</v>
      </c>
      <c r="E28" s="124">
        <v>6</v>
      </c>
      <c r="F28" s="124">
        <v>5</v>
      </c>
      <c r="G28" s="124">
        <v>5</v>
      </c>
      <c r="H28" s="124">
        <v>5</v>
      </c>
      <c r="I28" s="124">
        <v>5</v>
      </c>
      <c r="J28" s="124">
        <v>5</v>
      </c>
      <c r="K28" s="124">
        <v>5</v>
      </c>
      <c r="L28" s="124">
        <v>5</v>
      </c>
      <c r="M28" s="124">
        <v>5</v>
      </c>
      <c r="N28" s="122">
        <v>4</v>
      </c>
      <c r="O28" s="122">
        <v>4</v>
      </c>
      <c r="P28" s="122">
        <v>4</v>
      </c>
      <c r="Q28" s="122">
        <v>3</v>
      </c>
      <c r="R28" s="122">
        <v>2</v>
      </c>
      <c r="S28" s="122">
        <v>1</v>
      </c>
      <c r="T28" s="122">
        <v>2</v>
      </c>
      <c r="U28" s="122">
        <v>1</v>
      </c>
      <c r="V28" s="122">
        <v>1</v>
      </c>
      <c r="W28" s="122">
        <v>1</v>
      </c>
      <c r="X28" s="122">
        <v>2</v>
      </c>
      <c r="Y28" s="122">
        <v>2</v>
      </c>
      <c r="Z28" s="122">
        <v>3</v>
      </c>
      <c r="AA28" s="120">
        <v>4</v>
      </c>
      <c r="AB28" s="120">
        <v>4</v>
      </c>
      <c r="AC28" s="120">
        <v>5</v>
      </c>
      <c r="AD28" s="120">
        <v>4</v>
      </c>
      <c r="AE28" s="120">
        <v>5</v>
      </c>
      <c r="AF28" s="120">
        <v>5</v>
      </c>
      <c r="AG28" s="120">
        <v>5</v>
      </c>
      <c r="AH28" s="120">
        <v>5</v>
      </c>
      <c r="AI28" s="120">
        <v>5</v>
      </c>
      <c r="AJ28" s="120">
        <v>6</v>
      </c>
      <c r="AK28" s="120">
        <v>6</v>
      </c>
      <c r="AL28" s="120">
        <v>6</v>
      </c>
      <c r="AM28" s="120">
        <v>6</v>
      </c>
      <c r="AN28" s="120">
        <v>6</v>
      </c>
      <c r="AO28" s="120">
        <v>6</v>
      </c>
      <c r="AP28" s="121">
        <v>6</v>
      </c>
    </row>
    <row r="29" spans="1:42" ht="15.75" thickBot="1" x14ac:dyDescent="0.3">
      <c r="A29" s="123">
        <v>6</v>
      </c>
      <c r="B29" s="124">
        <v>6</v>
      </c>
      <c r="C29" s="124">
        <v>6</v>
      </c>
      <c r="D29" s="124">
        <v>6</v>
      </c>
      <c r="E29" s="124">
        <v>6</v>
      </c>
      <c r="F29" s="124">
        <v>5</v>
      </c>
      <c r="G29" s="124">
        <v>6</v>
      </c>
      <c r="H29" s="124">
        <v>6</v>
      </c>
      <c r="I29" s="124">
        <v>6</v>
      </c>
      <c r="J29" s="124">
        <v>6</v>
      </c>
      <c r="K29" s="124">
        <v>5</v>
      </c>
      <c r="L29" s="124">
        <v>5</v>
      </c>
      <c r="M29" s="124">
        <v>5</v>
      </c>
      <c r="N29" s="122">
        <v>4</v>
      </c>
      <c r="O29" s="122">
        <v>4</v>
      </c>
      <c r="P29" s="122">
        <v>3</v>
      </c>
      <c r="Q29" s="122">
        <v>3</v>
      </c>
      <c r="R29" s="122">
        <v>2</v>
      </c>
      <c r="S29" s="122">
        <v>1</v>
      </c>
      <c r="T29" s="122">
        <v>1</v>
      </c>
      <c r="U29" s="125">
        <v>1</v>
      </c>
      <c r="V29" s="122">
        <v>2</v>
      </c>
      <c r="W29" s="122">
        <v>2</v>
      </c>
      <c r="X29" s="122">
        <v>2</v>
      </c>
      <c r="Y29" s="122">
        <v>3</v>
      </c>
      <c r="Z29" s="122">
        <v>3</v>
      </c>
      <c r="AA29" s="120">
        <v>4</v>
      </c>
      <c r="AB29" s="120">
        <v>4</v>
      </c>
      <c r="AC29" s="120">
        <v>4</v>
      </c>
      <c r="AD29" s="120">
        <v>6</v>
      </c>
      <c r="AE29" s="120">
        <v>6</v>
      </c>
      <c r="AF29" s="120">
        <v>6</v>
      </c>
      <c r="AG29" s="120">
        <v>6</v>
      </c>
      <c r="AH29" s="120">
        <v>5</v>
      </c>
      <c r="AI29" s="120">
        <v>5</v>
      </c>
      <c r="AJ29" s="120">
        <v>5</v>
      </c>
      <c r="AK29" s="120">
        <v>5</v>
      </c>
      <c r="AL29" s="120">
        <v>6</v>
      </c>
      <c r="AM29" s="120">
        <v>6</v>
      </c>
      <c r="AN29" s="120">
        <v>6</v>
      </c>
      <c r="AO29" s="120">
        <v>6</v>
      </c>
      <c r="AP29" s="121">
        <v>6</v>
      </c>
    </row>
    <row r="30" spans="1:42" x14ac:dyDescent="0.25">
      <c r="A30" s="123">
        <v>6</v>
      </c>
      <c r="B30" s="124">
        <v>6</v>
      </c>
      <c r="C30" s="124">
        <v>6</v>
      </c>
      <c r="D30" s="124">
        <v>6</v>
      </c>
      <c r="E30" s="124">
        <v>6</v>
      </c>
      <c r="F30" s="124">
        <v>5</v>
      </c>
      <c r="G30" s="124">
        <v>6</v>
      </c>
      <c r="H30" s="124">
        <v>6</v>
      </c>
      <c r="I30" s="124">
        <v>6</v>
      </c>
      <c r="J30" s="124">
        <v>6</v>
      </c>
      <c r="K30" s="124">
        <v>5</v>
      </c>
      <c r="L30" s="124">
        <v>5</v>
      </c>
      <c r="M30" s="124">
        <v>5</v>
      </c>
      <c r="N30" s="126">
        <v>4</v>
      </c>
      <c r="O30" s="126">
        <v>4</v>
      </c>
      <c r="P30" s="126">
        <v>4</v>
      </c>
      <c r="Q30" s="126">
        <v>2</v>
      </c>
      <c r="R30" s="124">
        <v>2</v>
      </c>
      <c r="S30" s="124">
        <v>2</v>
      </c>
      <c r="T30" s="124">
        <v>2</v>
      </c>
      <c r="U30" s="124">
        <v>3</v>
      </c>
      <c r="V30" s="124">
        <v>3</v>
      </c>
      <c r="W30" s="127">
        <v>1</v>
      </c>
      <c r="X30" s="127">
        <v>1</v>
      </c>
      <c r="Y30" s="127">
        <v>1</v>
      </c>
      <c r="Z30" s="127">
        <v>1</v>
      </c>
      <c r="AA30" s="124">
        <v>4</v>
      </c>
      <c r="AB30" s="124">
        <v>4</v>
      </c>
      <c r="AC30" s="124">
        <v>4</v>
      </c>
      <c r="AD30" s="124">
        <v>4</v>
      </c>
      <c r="AE30" s="124">
        <v>4</v>
      </c>
      <c r="AF30" s="124">
        <v>4</v>
      </c>
      <c r="AG30" s="124">
        <v>4</v>
      </c>
      <c r="AH30" s="124">
        <v>5</v>
      </c>
      <c r="AI30" s="124">
        <v>5</v>
      </c>
      <c r="AJ30" s="124">
        <v>5</v>
      </c>
      <c r="AK30" s="124">
        <v>5</v>
      </c>
      <c r="AL30" s="124">
        <v>5</v>
      </c>
      <c r="AM30" s="124">
        <v>5</v>
      </c>
      <c r="AN30" s="124">
        <v>5</v>
      </c>
      <c r="AO30" s="124">
        <v>5</v>
      </c>
      <c r="AP30" s="128">
        <v>5</v>
      </c>
    </row>
    <row r="31" spans="1:42" ht="15.75" thickBot="1" x14ac:dyDescent="0.3">
      <c r="A31" s="129">
        <v>6</v>
      </c>
      <c r="B31" s="130">
        <v>6</v>
      </c>
      <c r="C31" s="130">
        <v>6</v>
      </c>
      <c r="D31" s="130">
        <v>6</v>
      </c>
      <c r="E31" s="130">
        <v>6</v>
      </c>
      <c r="F31" s="130">
        <v>5</v>
      </c>
      <c r="G31" s="130">
        <v>6</v>
      </c>
      <c r="H31" s="130">
        <v>6</v>
      </c>
      <c r="I31" s="130">
        <v>6</v>
      </c>
      <c r="J31" s="130">
        <v>6</v>
      </c>
      <c r="K31" s="130">
        <v>5</v>
      </c>
      <c r="L31" s="130">
        <v>5</v>
      </c>
      <c r="M31" s="130">
        <v>5</v>
      </c>
      <c r="N31" s="131">
        <v>5</v>
      </c>
      <c r="O31" s="131">
        <v>5</v>
      </c>
      <c r="P31" s="131">
        <v>5</v>
      </c>
      <c r="Q31" s="131">
        <v>5</v>
      </c>
      <c r="R31" s="130">
        <v>5</v>
      </c>
      <c r="S31" s="130">
        <v>5</v>
      </c>
      <c r="T31" s="130">
        <v>5</v>
      </c>
      <c r="U31" s="130">
        <v>5</v>
      </c>
      <c r="V31" s="130">
        <v>5</v>
      </c>
      <c r="W31" s="132">
        <v>2</v>
      </c>
      <c r="X31" s="132">
        <v>2</v>
      </c>
      <c r="Y31" s="132">
        <v>2</v>
      </c>
      <c r="Z31" s="132">
        <v>2</v>
      </c>
      <c r="AA31" s="130">
        <v>6</v>
      </c>
      <c r="AB31" s="130">
        <v>6</v>
      </c>
      <c r="AC31" s="130">
        <v>6</v>
      </c>
      <c r="AD31" s="130">
        <v>6</v>
      </c>
      <c r="AE31" s="130">
        <v>6</v>
      </c>
      <c r="AF31" s="130">
        <v>6</v>
      </c>
      <c r="AG31" s="130">
        <v>6</v>
      </c>
      <c r="AH31" s="130">
        <v>6</v>
      </c>
      <c r="AI31" s="130">
        <v>6</v>
      </c>
      <c r="AJ31" s="130">
        <v>6</v>
      </c>
      <c r="AK31" s="130">
        <v>6</v>
      </c>
      <c r="AL31" s="130">
        <v>6</v>
      </c>
      <c r="AM31" s="130">
        <v>6</v>
      </c>
      <c r="AN31" s="130">
        <v>6</v>
      </c>
      <c r="AO31" s="130">
        <v>6</v>
      </c>
      <c r="AP31" s="133">
        <v>6</v>
      </c>
    </row>
    <row r="32" spans="1:42" x14ac:dyDescent="0.25">
      <c r="A32" s="134">
        <v>0</v>
      </c>
      <c r="B32" s="134">
        <v>0</v>
      </c>
      <c r="C32" s="134">
        <v>0</v>
      </c>
      <c r="D32" s="134">
        <v>0</v>
      </c>
      <c r="E32" s="134">
        <v>0</v>
      </c>
      <c r="F32" s="134">
        <v>0</v>
      </c>
      <c r="G32" s="134">
        <v>0</v>
      </c>
      <c r="H32" s="134">
        <v>0</v>
      </c>
      <c r="I32" s="134">
        <v>0</v>
      </c>
      <c r="J32" s="134">
        <v>0</v>
      </c>
      <c r="K32" s="134">
        <v>0</v>
      </c>
      <c r="L32" s="134">
        <v>0</v>
      </c>
      <c r="M32" s="134">
        <v>0</v>
      </c>
      <c r="N32" s="134">
        <v>0</v>
      </c>
      <c r="O32" s="134">
        <v>0</v>
      </c>
      <c r="P32" s="134">
        <v>0</v>
      </c>
      <c r="Q32" s="134">
        <v>0</v>
      </c>
      <c r="R32" s="134">
        <v>0</v>
      </c>
      <c r="S32" s="134">
        <v>0</v>
      </c>
      <c r="T32" s="134">
        <v>0</v>
      </c>
      <c r="U32" s="134">
        <v>0</v>
      </c>
      <c r="V32" s="134">
        <v>0</v>
      </c>
      <c r="W32" s="134">
        <v>0</v>
      </c>
      <c r="X32" s="134">
        <v>0</v>
      </c>
      <c r="Y32" s="134">
        <v>0</v>
      </c>
      <c r="Z32" s="134">
        <v>0</v>
      </c>
      <c r="AA32" s="134">
        <v>0</v>
      </c>
      <c r="AB32" s="134">
        <v>0</v>
      </c>
      <c r="AC32" s="134">
        <v>0</v>
      </c>
      <c r="AD32" s="134">
        <v>0</v>
      </c>
      <c r="AE32" s="134">
        <v>0</v>
      </c>
      <c r="AF32" s="134">
        <v>0</v>
      </c>
      <c r="AG32" s="134">
        <v>0</v>
      </c>
      <c r="AH32" s="134">
        <v>0</v>
      </c>
      <c r="AI32" s="134">
        <v>0</v>
      </c>
      <c r="AJ32" s="134">
        <v>0</v>
      </c>
      <c r="AK32" s="134">
        <v>0</v>
      </c>
      <c r="AL32" s="134">
        <v>0</v>
      </c>
      <c r="AM32" s="134">
        <v>0</v>
      </c>
      <c r="AN32" s="134">
        <v>0</v>
      </c>
      <c r="AO32" s="134">
        <v>0</v>
      </c>
      <c r="AP32" s="134">
        <v>0</v>
      </c>
    </row>
    <row r="33" spans="1:42" x14ac:dyDescent="0.25">
      <c r="A33" s="134">
        <v>0</v>
      </c>
      <c r="B33" s="134">
        <v>0</v>
      </c>
      <c r="C33" s="134">
        <v>0</v>
      </c>
      <c r="D33" s="134">
        <v>0</v>
      </c>
      <c r="E33" s="134">
        <v>0</v>
      </c>
      <c r="F33" s="134">
        <v>0</v>
      </c>
      <c r="G33" s="134">
        <v>0</v>
      </c>
      <c r="H33" s="134">
        <v>0</v>
      </c>
      <c r="I33" s="134">
        <v>0</v>
      </c>
      <c r="J33" s="134">
        <v>0</v>
      </c>
      <c r="K33" s="134">
        <v>0</v>
      </c>
      <c r="L33" s="134">
        <v>0</v>
      </c>
      <c r="M33" s="134">
        <v>0</v>
      </c>
      <c r="N33" s="134">
        <v>0</v>
      </c>
      <c r="O33" s="134">
        <v>0</v>
      </c>
      <c r="P33" s="134">
        <v>0</v>
      </c>
      <c r="Q33" s="134">
        <v>0</v>
      </c>
      <c r="R33" s="134">
        <v>0</v>
      </c>
      <c r="S33" s="134">
        <v>0</v>
      </c>
      <c r="T33" s="134">
        <v>0</v>
      </c>
      <c r="U33" s="134">
        <v>0</v>
      </c>
      <c r="V33" s="134">
        <v>0</v>
      </c>
      <c r="W33" s="134">
        <v>0</v>
      </c>
      <c r="X33" s="134">
        <v>0</v>
      </c>
      <c r="Y33" s="134">
        <v>0</v>
      </c>
      <c r="Z33" s="134">
        <v>0</v>
      </c>
      <c r="AA33" s="134">
        <v>0</v>
      </c>
      <c r="AB33" s="134">
        <v>0</v>
      </c>
      <c r="AC33" s="134">
        <v>0</v>
      </c>
      <c r="AD33" s="134">
        <v>0</v>
      </c>
      <c r="AE33" s="134">
        <v>0</v>
      </c>
      <c r="AF33" s="134">
        <v>0</v>
      </c>
      <c r="AG33" s="134">
        <v>0</v>
      </c>
      <c r="AH33" s="134">
        <v>0</v>
      </c>
      <c r="AI33" s="134">
        <v>0</v>
      </c>
      <c r="AJ33" s="134">
        <v>0</v>
      </c>
      <c r="AK33" s="134">
        <v>0</v>
      </c>
      <c r="AL33" s="134">
        <v>0</v>
      </c>
      <c r="AM33" s="134">
        <v>0</v>
      </c>
      <c r="AN33" s="134">
        <v>0</v>
      </c>
      <c r="AO33" s="134">
        <v>0</v>
      </c>
      <c r="AP33" s="134">
        <v>0</v>
      </c>
    </row>
    <row r="34" spans="1:42" x14ac:dyDescent="0.25">
      <c r="A34" s="134">
        <v>0</v>
      </c>
      <c r="B34" s="134">
        <v>0</v>
      </c>
      <c r="C34" s="134">
        <v>0</v>
      </c>
      <c r="D34" s="134">
        <v>0</v>
      </c>
      <c r="E34" s="134">
        <v>0</v>
      </c>
      <c r="F34" s="134">
        <v>0</v>
      </c>
      <c r="G34" s="134">
        <v>0</v>
      </c>
      <c r="H34" s="134">
        <v>0</v>
      </c>
      <c r="I34" s="134">
        <v>0</v>
      </c>
      <c r="J34" s="134">
        <v>0</v>
      </c>
      <c r="K34" s="134">
        <v>0</v>
      </c>
      <c r="L34" s="134">
        <v>0</v>
      </c>
      <c r="M34" s="134">
        <v>0</v>
      </c>
      <c r="N34" s="134">
        <v>0</v>
      </c>
      <c r="O34" s="134">
        <v>0</v>
      </c>
      <c r="P34" s="134">
        <v>0</v>
      </c>
      <c r="Q34" s="134">
        <v>0</v>
      </c>
      <c r="R34" s="134">
        <v>0</v>
      </c>
      <c r="S34" s="134">
        <v>0</v>
      </c>
      <c r="T34" s="134">
        <v>0</v>
      </c>
      <c r="U34" s="134">
        <v>0</v>
      </c>
      <c r="V34" s="134">
        <v>0</v>
      </c>
      <c r="W34" s="134">
        <v>0</v>
      </c>
      <c r="X34" s="134">
        <v>0</v>
      </c>
      <c r="Y34" s="134">
        <v>0</v>
      </c>
      <c r="Z34" s="134">
        <v>0</v>
      </c>
      <c r="AA34" s="134">
        <v>0</v>
      </c>
      <c r="AB34" s="134">
        <v>0</v>
      </c>
      <c r="AC34" s="134">
        <v>0</v>
      </c>
      <c r="AD34" s="134">
        <v>0</v>
      </c>
      <c r="AE34" s="134">
        <v>0</v>
      </c>
      <c r="AF34" s="134">
        <v>0</v>
      </c>
      <c r="AG34" s="134">
        <v>0</v>
      </c>
      <c r="AH34" s="134">
        <v>0</v>
      </c>
      <c r="AI34" s="134">
        <v>0</v>
      </c>
      <c r="AJ34" s="134">
        <v>0</v>
      </c>
      <c r="AK34" s="134">
        <v>0</v>
      </c>
      <c r="AL34" s="134">
        <v>0</v>
      </c>
      <c r="AM34" s="134">
        <v>0</v>
      </c>
      <c r="AN34" s="134">
        <v>0</v>
      </c>
      <c r="AO34" s="134">
        <v>0</v>
      </c>
      <c r="AP34" s="134">
        <v>0</v>
      </c>
    </row>
    <row r="35" spans="1:42" x14ac:dyDescent="0.25">
      <c r="A35" s="134">
        <v>0</v>
      </c>
      <c r="B35" s="134">
        <v>0</v>
      </c>
      <c r="C35" s="134">
        <v>0</v>
      </c>
      <c r="D35" s="134">
        <v>0</v>
      </c>
      <c r="E35" s="134">
        <v>0</v>
      </c>
      <c r="F35" s="134">
        <v>0</v>
      </c>
      <c r="G35" s="134">
        <v>0</v>
      </c>
      <c r="H35" s="134">
        <v>0</v>
      </c>
      <c r="I35" s="134">
        <v>0</v>
      </c>
      <c r="J35" s="134">
        <v>0</v>
      </c>
      <c r="K35" s="134">
        <v>0</v>
      </c>
      <c r="L35" s="134">
        <v>0</v>
      </c>
      <c r="M35" s="134">
        <v>0</v>
      </c>
      <c r="N35" s="134">
        <v>0</v>
      </c>
      <c r="O35" s="134">
        <v>0</v>
      </c>
      <c r="P35" s="134">
        <v>0</v>
      </c>
      <c r="Q35" s="134">
        <v>0</v>
      </c>
      <c r="R35" s="134">
        <v>0</v>
      </c>
      <c r="S35" s="134">
        <v>0</v>
      </c>
      <c r="T35" s="134">
        <v>0</v>
      </c>
      <c r="U35" s="134">
        <v>0</v>
      </c>
      <c r="V35" s="134">
        <v>0</v>
      </c>
      <c r="W35" s="134">
        <v>0</v>
      </c>
      <c r="X35" s="134">
        <v>0</v>
      </c>
      <c r="Y35" s="134">
        <v>0</v>
      </c>
      <c r="Z35" s="134">
        <v>0</v>
      </c>
      <c r="AA35" s="134">
        <v>0</v>
      </c>
      <c r="AB35" s="134">
        <v>0</v>
      </c>
      <c r="AC35" s="134">
        <v>0</v>
      </c>
      <c r="AD35" s="134">
        <v>0</v>
      </c>
      <c r="AE35" s="134">
        <v>0</v>
      </c>
      <c r="AF35" s="134">
        <v>0</v>
      </c>
      <c r="AG35" s="134">
        <v>0</v>
      </c>
      <c r="AH35" s="134">
        <v>0</v>
      </c>
      <c r="AI35" s="134">
        <v>0</v>
      </c>
      <c r="AJ35" s="134">
        <v>0</v>
      </c>
      <c r="AK35" s="134">
        <v>0</v>
      </c>
      <c r="AL35" s="134">
        <v>0</v>
      </c>
      <c r="AM35" s="134">
        <v>0</v>
      </c>
      <c r="AN35" s="134">
        <v>0</v>
      </c>
      <c r="AO35" s="134">
        <v>0</v>
      </c>
      <c r="AP35" s="134">
        <v>0</v>
      </c>
    </row>
    <row r="36" spans="1:42" x14ac:dyDescent="0.25">
      <c r="A36" s="134">
        <v>0</v>
      </c>
      <c r="B36" s="134">
        <v>0</v>
      </c>
      <c r="C36" s="134">
        <v>0</v>
      </c>
      <c r="D36" s="134">
        <v>0</v>
      </c>
      <c r="E36" s="134">
        <v>0</v>
      </c>
      <c r="F36" s="134">
        <v>0</v>
      </c>
      <c r="G36" s="134">
        <v>0</v>
      </c>
      <c r="H36" s="134">
        <v>0</v>
      </c>
      <c r="I36" s="134">
        <v>0</v>
      </c>
      <c r="J36" s="134">
        <v>0</v>
      </c>
      <c r="K36" s="134">
        <v>0</v>
      </c>
      <c r="L36" s="134">
        <v>0</v>
      </c>
      <c r="M36" s="134">
        <v>0</v>
      </c>
      <c r="N36" s="134">
        <v>0</v>
      </c>
      <c r="O36" s="134">
        <v>0</v>
      </c>
      <c r="P36" s="134">
        <v>0</v>
      </c>
      <c r="Q36" s="134">
        <v>0</v>
      </c>
      <c r="R36" s="134">
        <v>0</v>
      </c>
      <c r="S36" s="134">
        <v>0</v>
      </c>
      <c r="T36" s="134">
        <v>32</v>
      </c>
      <c r="U36" s="134">
        <v>0</v>
      </c>
      <c r="V36" s="134">
        <v>51</v>
      </c>
      <c r="W36" s="134">
        <v>0</v>
      </c>
      <c r="X36" s="134">
        <v>0</v>
      </c>
      <c r="Y36" s="134">
        <v>12</v>
      </c>
      <c r="Z36" s="134">
        <v>0</v>
      </c>
      <c r="AA36" s="134">
        <v>0</v>
      </c>
      <c r="AB36" s="134">
        <v>0</v>
      </c>
      <c r="AC36" s="134">
        <v>0</v>
      </c>
      <c r="AD36" s="134">
        <v>0</v>
      </c>
      <c r="AE36" s="134">
        <v>0</v>
      </c>
      <c r="AF36" s="134">
        <v>0</v>
      </c>
      <c r="AG36" s="134">
        <v>0</v>
      </c>
      <c r="AH36" s="134">
        <v>0</v>
      </c>
      <c r="AI36" s="134">
        <v>0</v>
      </c>
      <c r="AJ36" s="134">
        <v>0</v>
      </c>
      <c r="AK36" s="134">
        <v>0</v>
      </c>
      <c r="AL36" s="134">
        <v>0</v>
      </c>
      <c r="AM36" s="134">
        <v>0</v>
      </c>
      <c r="AN36" s="134">
        <v>0</v>
      </c>
      <c r="AO36" s="134">
        <v>0</v>
      </c>
      <c r="AP36" s="134">
        <v>0</v>
      </c>
    </row>
    <row r="37" spans="1:42" x14ac:dyDescent="0.25">
      <c r="A37" s="134">
        <v>0</v>
      </c>
      <c r="B37" s="134">
        <v>0</v>
      </c>
      <c r="C37" s="134">
        <v>0</v>
      </c>
      <c r="D37" s="134">
        <v>0</v>
      </c>
      <c r="E37" s="134">
        <v>0</v>
      </c>
      <c r="F37" s="134">
        <v>0</v>
      </c>
      <c r="G37" s="134">
        <v>0</v>
      </c>
      <c r="H37" s="134">
        <v>0</v>
      </c>
      <c r="I37" s="134">
        <v>0</v>
      </c>
      <c r="J37" s="134">
        <v>0</v>
      </c>
      <c r="K37" s="134">
        <v>0</v>
      </c>
      <c r="L37" s="134">
        <v>0</v>
      </c>
      <c r="M37" s="134">
        <v>0</v>
      </c>
      <c r="N37" s="134">
        <v>0</v>
      </c>
      <c r="O37" s="134">
        <v>0</v>
      </c>
      <c r="P37" s="134">
        <v>0</v>
      </c>
      <c r="Q37" s="134">
        <v>41</v>
      </c>
      <c r="R37" s="134">
        <v>0</v>
      </c>
      <c r="S37" s="134">
        <v>31</v>
      </c>
      <c r="T37" s="134">
        <v>0</v>
      </c>
      <c r="U37" s="134">
        <v>0</v>
      </c>
      <c r="V37" s="134">
        <v>41</v>
      </c>
      <c r="W37" s="134">
        <v>31</v>
      </c>
      <c r="X37" s="134">
        <v>13</v>
      </c>
      <c r="Y37" s="134">
        <v>0</v>
      </c>
      <c r="Z37" s="134">
        <v>0</v>
      </c>
      <c r="AA37" s="134">
        <v>0</v>
      </c>
      <c r="AB37" s="134">
        <v>0</v>
      </c>
      <c r="AC37" s="134">
        <v>0</v>
      </c>
      <c r="AD37" s="134">
        <v>0</v>
      </c>
      <c r="AE37" s="134">
        <v>0</v>
      </c>
      <c r="AF37" s="134">
        <v>0</v>
      </c>
      <c r="AG37" s="134">
        <v>0</v>
      </c>
      <c r="AH37" s="134">
        <v>0</v>
      </c>
      <c r="AI37" s="134">
        <v>0</v>
      </c>
      <c r="AJ37" s="134">
        <v>0</v>
      </c>
      <c r="AK37" s="134">
        <v>0</v>
      </c>
      <c r="AL37" s="134">
        <v>0</v>
      </c>
      <c r="AM37" s="134">
        <v>0</v>
      </c>
      <c r="AN37" s="134">
        <v>0</v>
      </c>
      <c r="AO37" s="134">
        <v>0</v>
      </c>
      <c r="AP37" s="134">
        <v>0</v>
      </c>
    </row>
    <row r="38" spans="1:42" x14ac:dyDescent="0.25">
      <c r="A38" s="134">
        <v>0</v>
      </c>
      <c r="B38" s="134">
        <v>0</v>
      </c>
      <c r="C38" s="134">
        <v>0</v>
      </c>
      <c r="D38" s="134">
        <v>0</v>
      </c>
      <c r="E38" s="134">
        <v>0</v>
      </c>
      <c r="F38" s="134">
        <v>0</v>
      </c>
      <c r="G38" s="134">
        <v>0</v>
      </c>
      <c r="H38" s="134">
        <v>0</v>
      </c>
      <c r="I38" s="134">
        <v>0</v>
      </c>
      <c r="J38" s="134">
        <v>0</v>
      </c>
      <c r="K38" s="134">
        <v>0</v>
      </c>
      <c r="L38" s="134">
        <v>0</v>
      </c>
      <c r="M38" s="134">
        <v>0</v>
      </c>
      <c r="N38" s="134">
        <v>0</v>
      </c>
      <c r="O38" s="134">
        <v>0</v>
      </c>
      <c r="P38" s="134">
        <v>0</v>
      </c>
      <c r="Q38" s="134">
        <v>0</v>
      </c>
      <c r="R38" s="134">
        <v>21</v>
      </c>
      <c r="S38" s="134">
        <v>0</v>
      </c>
      <c r="T38" s="134">
        <v>24</v>
      </c>
      <c r="U38" s="134">
        <v>32</v>
      </c>
      <c r="V38" s="134">
        <v>21</v>
      </c>
      <c r="W38" s="134">
        <v>0</v>
      </c>
      <c r="X38" s="134">
        <v>0</v>
      </c>
      <c r="Y38" s="134">
        <v>0</v>
      </c>
      <c r="Z38" s="134">
        <v>0</v>
      </c>
      <c r="AA38" s="134">
        <v>0</v>
      </c>
      <c r="AB38" s="134">
        <v>0</v>
      </c>
      <c r="AC38" s="134">
        <v>0</v>
      </c>
      <c r="AD38" s="134">
        <v>0</v>
      </c>
      <c r="AE38" s="134">
        <v>0</v>
      </c>
      <c r="AF38" s="134">
        <v>0</v>
      </c>
      <c r="AG38" s="134">
        <v>0</v>
      </c>
      <c r="AH38" s="134">
        <v>0</v>
      </c>
      <c r="AI38" s="134">
        <v>0</v>
      </c>
      <c r="AJ38" s="134">
        <v>0</v>
      </c>
      <c r="AK38" s="134">
        <v>0</v>
      </c>
      <c r="AL38" s="134">
        <v>0</v>
      </c>
      <c r="AM38" s="134">
        <v>0</v>
      </c>
      <c r="AN38" s="134">
        <v>0</v>
      </c>
      <c r="AO38" s="134">
        <v>0</v>
      </c>
      <c r="AP38" s="134">
        <v>0</v>
      </c>
    </row>
    <row r="39" spans="1:42" x14ac:dyDescent="0.25">
      <c r="A39" s="134">
        <v>0</v>
      </c>
      <c r="B39" s="134">
        <v>0</v>
      </c>
      <c r="C39" s="134">
        <v>0</v>
      </c>
      <c r="D39" s="134">
        <v>0</v>
      </c>
      <c r="E39" s="134">
        <v>0</v>
      </c>
      <c r="F39" s="134">
        <v>0</v>
      </c>
      <c r="G39" s="134">
        <v>0</v>
      </c>
      <c r="H39" s="134">
        <v>0</v>
      </c>
      <c r="I39" s="134">
        <v>0</v>
      </c>
      <c r="J39" s="134">
        <v>0</v>
      </c>
      <c r="K39" s="134">
        <v>0</v>
      </c>
      <c r="L39" s="134">
        <v>0</v>
      </c>
      <c r="M39" s="134">
        <v>0</v>
      </c>
      <c r="N39" s="134">
        <v>0</v>
      </c>
      <c r="O39" s="134">
        <v>0</v>
      </c>
      <c r="P39" s="134">
        <v>0</v>
      </c>
      <c r="Q39" s="134">
        <v>12</v>
      </c>
      <c r="R39" s="134">
        <v>0</v>
      </c>
      <c r="S39" s="134">
        <v>21</v>
      </c>
      <c r="T39" s="134">
        <v>0</v>
      </c>
      <c r="U39" s="134">
        <v>52</v>
      </c>
      <c r="V39" s="134">
        <v>0</v>
      </c>
      <c r="W39" s="134">
        <v>0</v>
      </c>
      <c r="X39" s="134">
        <v>0</v>
      </c>
      <c r="Y39" s="134">
        <v>12</v>
      </c>
      <c r="Z39" s="134">
        <v>0</v>
      </c>
      <c r="AA39" s="134">
        <v>0</v>
      </c>
      <c r="AB39" s="134">
        <v>0</v>
      </c>
      <c r="AC39" s="134">
        <v>0</v>
      </c>
      <c r="AD39" s="134">
        <v>0</v>
      </c>
      <c r="AE39" s="134">
        <v>0</v>
      </c>
      <c r="AF39" s="134">
        <v>0</v>
      </c>
      <c r="AG39" s="134">
        <v>0</v>
      </c>
      <c r="AH39" s="134">
        <v>0</v>
      </c>
      <c r="AI39" s="134">
        <v>0</v>
      </c>
      <c r="AJ39" s="134">
        <v>0</v>
      </c>
      <c r="AK39" s="134">
        <v>0</v>
      </c>
      <c r="AL39" s="134">
        <v>0</v>
      </c>
      <c r="AM39" s="134">
        <v>0</v>
      </c>
      <c r="AN39" s="134">
        <v>0</v>
      </c>
      <c r="AO39" s="134">
        <v>0</v>
      </c>
      <c r="AP39" s="134">
        <v>0</v>
      </c>
    </row>
    <row r="40" spans="1:42" x14ac:dyDescent="0.25">
      <c r="A40" s="134">
        <v>0</v>
      </c>
      <c r="B40" s="134">
        <v>0</v>
      </c>
      <c r="C40" s="134">
        <v>0</v>
      </c>
      <c r="D40" s="134">
        <v>0</v>
      </c>
      <c r="E40" s="134">
        <v>0</v>
      </c>
      <c r="F40" s="134">
        <v>0</v>
      </c>
      <c r="G40" s="134">
        <v>0</v>
      </c>
      <c r="H40" s="134">
        <v>0</v>
      </c>
      <c r="I40" s="134">
        <v>0</v>
      </c>
      <c r="J40" s="134">
        <v>0</v>
      </c>
      <c r="K40" s="134">
        <v>0</v>
      </c>
      <c r="L40" s="134">
        <v>0</v>
      </c>
      <c r="M40" s="134">
        <v>0</v>
      </c>
      <c r="N40" s="134">
        <v>0</v>
      </c>
      <c r="O40" s="134">
        <v>0</v>
      </c>
      <c r="P40" s="134">
        <v>0</v>
      </c>
      <c r="Q40" s="134">
        <v>0</v>
      </c>
      <c r="R40" s="134">
        <v>0</v>
      </c>
      <c r="S40" s="134">
        <v>0</v>
      </c>
      <c r="T40" s="134">
        <v>13</v>
      </c>
      <c r="U40" s="134">
        <v>23</v>
      </c>
      <c r="V40" s="134">
        <v>0</v>
      </c>
      <c r="W40" s="134">
        <v>61</v>
      </c>
      <c r="X40" s="134">
        <v>0</v>
      </c>
      <c r="Y40" s="134">
        <v>0</v>
      </c>
      <c r="Z40" s="134">
        <v>0</v>
      </c>
      <c r="AA40" s="134">
        <v>0</v>
      </c>
      <c r="AB40" s="134">
        <v>0</v>
      </c>
      <c r="AC40" s="134">
        <v>0</v>
      </c>
      <c r="AD40" s="134">
        <v>0</v>
      </c>
      <c r="AE40" s="134">
        <v>0</v>
      </c>
      <c r="AF40" s="134">
        <v>0</v>
      </c>
      <c r="AG40" s="134">
        <v>0</v>
      </c>
      <c r="AH40" s="134">
        <v>0</v>
      </c>
      <c r="AI40" s="134">
        <v>0</v>
      </c>
      <c r="AJ40" s="134">
        <v>0</v>
      </c>
      <c r="AK40" s="134">
        <v>0</v>
      </c>
      <c r="AL40" s="134">
        <v>0</v>
      </c>
      <c r="AM40" s="134">
        <v>0</v>
      </c>
      <c r="AN40" s="134">
        <v>0</v>
      </c>
      <c r="AO40" s="134">
        <v>0</v>
      </c>
      <c r="AP40" s="134">
        <v>0</v>
      </c>
    </row>
    <row r="41" spans="1:42" x14ac:dyDescent="0.25">
      <c r="A41" s="134">
        <v>0</v>
      </c>
      <c r="B41" s="134">
        <v>0</v>
      </c>
      <c r="C41" s="134">
        <v>0</v>
      </c>
      <c r="D41" s="134">
        <v>0</v>
      </c>
      <c r="E41" s="134">
        <v>0</v>
      </c>
      <c r="F41" s="134">
        <v>0</v>
      </c>
      <c r="G41" s="134">
        <v>0</v>
      </c>
      <c r="H41" s="134">
        <v>0</v>
      </c>
      <c r="I41" s="134">
        <v>0</v>
      </c>
      <c r="J41" s="134">
        <v>0</v>
      </c>
      <c r="K41" s="134">
        <v>0</v>
      </c>
      <c r="L41" s="134">
        <v>0</v>
      </c>
      <c r="M41" s="134">
        <v>0</v>
      </c>
      <c r="N41" s="134">
        <v>0</v>
      </c>
      <c r="O41" s="134">
        <v>0</v>
      </c>
      <c r="P41" s="134">
        <v>0</v>
      </c>
      <c r="Q41" s="134">
        <v>0</v>
      </c>
      <c r="R41" s="134">
        <v>0</v>
      </c>
      <c r="S41" s="134">
        <v>0</v>
      </c>
      <c r="T41" s="134">
        <v>0</v>
      </c>
      <c r="U41" s="134">
        <v>0</v>
      </c>
      <c r="V41" s="134">
        <v>0</v>
      </c>
      <c r="W41" s="134">
        <v>0</v>
      </c>
      <c r="X41" s="134">
        <v>0</v>
      </c>
      <c r="Y41" s="134">
        <v>0</v>
      </c>
      <c r="Z41" s="134">
        <v>0</v>
      </c>
      <c r="AA41" s="134">
        <v>0</v>
      </c>
      <c r="AB41" s="134">
        <v>0</v>
      </c>
      <c r="AC41" s="134">
        <v>0</v>
      </c>
      <c r="AD41" s="134">
        <v>0</v>
      </c>
      <c r="AE41" s="134">
        <v>0</v>
      </c>
      <c r="AF41" s="134">
        <v>0</v>
      </c>
      <c r="AG41" s="134">
        <v>0</v>
      </c>
      <c r="AH41" s="134">
        <v>0</v>
      </c>
      <c r="AI41" s="134">
        <v>0</v>
      </c>
      <c r="AJ41" s="134">
        <v>0</v>
      </c>
      <c r="AK41" s="134">
        <v>0</v>
      </c>
      <c r="AL41" s="134">
        <v>0</v>
      </c>
      <c r="AM41" s="134">
        <v>0</v>
      </c>
      <c r="AN41" s="134">
        <v>0</v>
      </c>
      <c r="AO41" s="134">
        <v>0</v>
      </c>
      <c r="AP41" s="134">
        <v>0</v>
      </c>
    </row>
    <row r="42" spans="1:42" ht="15.75" thickBot="1" x14ac:dyDescent="0.3"/>
    <row r="43" spans="1:42" x14ac:dyDescent="0.25">
      <c r="A43" s="113">
        <v>6</v>
      </c>
      <c r="B43" s="114">
        <v>6</v>
      </c>
      <c r="C43" s="114">
        <v>6</v>
      </c>
      <c r="D43" s="114">
        <v>6</v>
      </c>
      <c r="E43" s="114">
        <v>6</v>
      </c>
      <c r="F43" s="114">
        <v>6</v>
      </c>
      <c r="G43" s="114">
        <v>6</v>
      </c>
      <c r="H43" s="114">
        <v>6</v>
      </c>
      <c r="I43" s="114">
        <v>6</v>
      </c>
      <c r="J43" s="114">
        <v>6</v>
      </c>
      <c r="K43" s="114">
        <v>6</v>
      </c>
      <c r="L43" s="114">
        <v>6</v>
      </c>
      <c r="M43" s="114">
        <v>6</v>
      </c>
      <c r="N43" s="115">
        <v>6</v>
      </c>
      <c r="O43" s="115">
        <v>6</v>
      </c>
      <c r="P43" s="115">
        <v>6</v>
      </c>
      <c r="Q43" s="115">
        <v>6</v>
      </c>
      <c r="R43" s="115">
        <v>6</v>
      </c>
      <c r="S43" s="115">
        <v>6</v>
      </c>
      <c r="T43" s="115">
        <v>6</v>
      </c>
      <c r="U43" s="115">
        <v>6</v>
      </c>
      <c r="V43" s="115">
        <v>5</v>
      </c>
      <c r="W43" s="115">
        <v>5</v>
      </c>
      <c r="X43" s="115">
        <v>5</v>
      </c>
      <c r="Y43" s="115">
        <v>5</v>
      </c>
      <c r="Z43" s="115">
        <v>5</v>
      </c>
      <c r="AA43" s="116">
        <v>6</v>
      </c>
      <c r="AB43" s="116">
        <v>6</v>
      </c>
      <c r="AC43" s="116">
        <v>6</v>
      </c>
      <c r="AD43" s="116">
        <v>6</v>
      </c>
      <c r="AE43" s="116">
        <v>6</v>
      </c>
      <c r="AF43" s="116">
        <v>6</v>
      </c>
      <c r="AG43" s="116">
        <v>6</v>
      </c>
      <c r="AH43" s="116">
        <v>6</v>
      </c>
      <c r="AI43" s="116">
        <v>6</v>
      </c>
      <c r="AJ43" s="116">
        <v>6</v>
      </c>
      <c r="AK43" s="116">
        <v>6</v>
      </c>
      <c r="AL43" s="116">
        <v>6</v>
      </c>
      <c r="AM43" s="116">
        <v>6</v>
      </c>
      <c r="AN43" s="116">
        <v>6</v>
      </c>
      <c r="AO43" s="116">
        <v>6</v>
      </c>
      <c r="AP43" s="117">
        <v>6</v>
      </c>
    </row>
    <row r="44" spans="1:42" x14ac:dyDescent="0.25">
      <c r="A44" s="118">
        <v>6</v>
      </c>
      <c r="B44" s="119">
        <v>6</v>
      </c>
      <c r="C44" s="119">
        <v>6</v>
      </c>
      <c r="D44" s="119">
        <v>6</v>
      </c>
      <c r="E44" s="119">
        <v>6</v>
      </c>
      <c r="F44" s="119">
        <v>6</v>
      </c>
      <c r="G44" s="119">
        <v>6</v>
      </c>
      <c r="H44" s="119">
        <v>6</v>
      </c>
      <c r="I44" s="119">
        <v>6</v>
      </c>
      <c r="J44" s="119">
        <v>6</v>
      </c>
      <c r="K44" s="119">
        <v>5</v>
      </c>
      <c r="L44" s="119">
        <v>5</v>
      </c>
      <c r="M44" s="119">
        <v>5</v>
      </c>
      <c r="N44" s="109">
        <v>5</v>
      </c>
      <c r="O44" s="109">
        <v>5</v>
      </c>
      <c r="P44" s="109">
        <v>5</v>
      </c>
      <c r="Q44" s="109">
        <v>6</v>
      </c>
      <c r="R44" s="109">
        <v>6</v>
      </c>
      <c r="S44" s="109">
        <v>6</v>
      </c>
      <c r="T44" s="109">
        <v>6</v>
      </c>
      <c r="U44" s="109">
        <v>6</v>
      </c>
      <c r="V44" s="109">
        <v>5</v>
      </c>
      <c r="W44" s="109">
        <v>5</v>
      </c>
      <c r="X44" s="109">
        <v>5</v>
      </c>
      <c r="Y44" s="109">
        <v>5</v>
      </c>
      <c r="Z44" s="109">
        <v>5</v>
      </c>
      <c r="AA44" s="120">
        <v>5</v>
      </c>
      <c r="AB44" s="120">
        <v>5</v>
      </c>
      <c r="AC44" s="120">
        <v>5</v>
      </c>
      <c r="AD44" s="120">
        <v>6</v>
      </c>
      <c r="AE44" s="120">
        <v>6</v>
      </c>
      <c r="AF44" s="120">
        <v>6</v>
      </c>
      <c r="AG44" s="120">
        <v>6</v>
      </c>
      <c r="AH44" s="120">
        <v>6</v>
      </c>
      <c r="AI44" s="120">
        <v>6</v>
      </c>
      <c r="AJ44" s="120">
        <v>6</v>
      </c>
      <c r="AK44" s="120">
        <v>6</v>
      </c>
      <c r="AL44" s="120">
        <v>6</v>
      </c>
      <c r="AM44" s="120">
        <v>6</v>
      </c>
      <c r="AN44" s="120">
        <v>6</v>
      </c>
      <c r="AO44" s="120">
        <v>6</v>
      </c>
      <c r="AP44" s="121">
        <v>6</v>
      </c>
    </row>
    <row r="45" spans="1:42" x14ac:dyDescent="0.25">
      <c r="A45" s="118">
        <v>6</v>
      </c>
      <c r="B45" s="119">
        <v>6</v>
      </c>
      <c r="C45" s="119">
        <v>6</v>
      </c>
      <c r="D45" s="119">
        <v>6</v>
      </c>
      <c r="E45" s="119">
        <v>6</v>
      </c>
      <c r="F45" s="119">
        <v>6</v>
      </c>
      <c r="G45" s="119">
        <v>6</v>
      </c>
      <c r="H45" s="119">
        <v>6</v>
      </c>
      <c r="I45" s="119">
        <v>6</v>
      </c>
      <c r="J45" s="119">
        <v>6</v>
      </c>
      <c r="K45" s="119">
        <v>6</v>
      </c>
      <c r="L45" s="119">
        <v>6</v>
      </c>
      <c r="M45" s="119">
        <v>5</v>
      </c>
      <c r="N45" s="109">
        <v>5</v>
      </c>
      <c r="O45" s="109">
        <v>4</v>
      </c>
      <c r="P45" s="109">
        <v>4</v>
      </c>
      <c r="Q45" s="109">
        <v>4</v>
      </c>
      <c r="R45" s="109">
        <v>4</v>
      </c>
      <c r="S45" s="109">
        <v>4</v>
      </c>
      <c r="T45" s="109">
        <v>4</v>
      </c>
      <c r="U45" s="109">
        <v>5</v>
      </c>
      <c r="V45" s="109">
        <v>5</v>
      </c>
      <c r="W45" s="109">
        <v>5</v>
      </c>
      <c r="X45" s="109">
        <v>5</v>
      </c>
      <c r="Y45" s="109">
        <v>5</v>
      </c>
      <c r="Z45" s="109">
        <v>5</v>
      </c>
      <c r="AA45" s="120">
        <v>6</v>
      </c>
      <c r="AB45" s="120">
        <v>6</v>
      </c>
      <c r="AC45" s="120">
        <v>6</v>
      </c>
      <c r="AD45" s="120">
        <v>6</v>
      </c>
      <c r="AE45" s="120">
        <v>6</v>
      </c>
      <c r="AF45" s="120">
        <v>6</v>
      </c>
      <c r="AG45" s="120">
        <v>6</v>
      </c>
      <c r="AH45" s="120">
        <v>6</v>
      </c>
      <c r="AI45" s="120">
        <v>6</v>
      </c>
      <c r="AJ45" s="120">
        <v>6</v>
      </c>
      <c r="AK45" s="120">
        <v>6</v>
      </c>
      <c r="AL45" s="120">
        <v>6</v>
      </c>
      <c r="AM45" s="120">
        <v>6</v>
      </c>
      <c r="AN45" s="120">
        <v>6</v>
      </c>
      <c r="AO45" s="120">
        <v>6</v>
      </c>
      <c r="AP45" s="121">
        <v>6</v>
      </c>
    </row>
    <row r="46" spans="1:42" x14ac:dyDescent="0.25">
      <c r="A46" s="118">
        <v>6</v>
      </c>
      <c r="B46" s="119">
        <v>6</v>
      </c>
      <c r="C46" s="119">
        <v>6</v>
      </c>
      <c r="D46" s="119">
        <v>6</v>
      </c>
      <c r="E46" s="119">
        <v>6</v>
      </c>
      <c r="F46" s="119">
        <v>5</v>
      </c>
      <c r="G46" s="119">
        <v>5</v>
      </c>
      <c r="H46" s="119">
        <v>5</v>
      </c>
      <c r="I46" s="119">
        <v>5</v>
      </c>
      <c r="J46" s="119">
        <v>5</v>
      </c>
      <c r="K46" s="119">
        <v>5</v>
      </c>
      <c r="L46" s="119">
        <v>5</v>
      </c>
      <c r="M46" s="119">
        <v>5</v>
      </c>
      <c r="N46" s="109">
        <v>5</v>
      </c>
      <c r="O46" s="109">
        <v>5</v>
      </c>
      <c r="P46" s="109">
        <v>5</v>
      </c>
      <c r="Q46" s="109">
        <v>5</v>
      </c>
      <c r="R46" s="109">
        <v>4</v>
      </c>
      <c r="S46" s="109">
        <v>4</v>
      </c>
      <c r="T46" s="109">
        <v>4</v>
      </c>
      <c r="U46" s="109">
        <v>4</v>
      </c>
      <c r="V46" s="109">
        <v>4</v>
      </c>
      <c r="W46" s="109">
        <v>4</v>
      </c>
      <c r="X46" s="109">
        <v>4</v>
      </c>
      <c r="Y46" s="109">
        <v>4</v>
      </c>
      <c r="Z46" s="109">
        <v>4</v>
      </c>
      <c r="AA46" s="120">
        <v>5</v>
      </c>
      <c r="AB46" s="120">
        <v>5</v>
      </c>
      <c r="AC46" s="120">
        <v>5</v>
      </c>
      <c r="AD46" s="120">
        <v>5</v>
      </c>
      <c r="AE46" s="120">
        <v>5</v>
      </c>
      <c r="AF46" s="120">
        <v>5</v>
      </c>
      <c r="AG46" s="120">
        <v>5</v>
      </c>
      <c r="AH46" s="120">
        <v>5</v>
      </c>
      <c r="AI46" s="120">
        <v>5</v>
      </c>
      <c r="AJ46" s="120">
        <v>6</v>
      </c>
      <c r="AK46" s="120">
        <v>6</v>
      </c>
      <c r="AL46" s="120">
        <v>6</v>
      </c>
      <c r="AM46" s="120">
        <v>6</v>
      </c>
      <c r="AN46" s="120">
        <v>6</v>
      </c>
      <c r="AO46" s="120">
        <v>6</v>
      </c>
      <c r="AP46" s="121">
        <v>6</v>
      </c>
    </row>
    <row r="47" spans="1:42" x14ac:dyDescent="0.25">
      <c r="A47" s="118">
        <v>6</v>
      </c>
      <c r="B47" s="119">
        <v>6</v>
      </c>
      <c r="C47" s="119">
        <v>6</v>
      </c>
      <c r="D47" s="119">
        <v>6</v>
      </c>
      <c r="E47" s="119">
        <v>6</v>
      </c>
      <c r="F47" s="119">
        <v>5</v>
      </c>
      <c r="G47" s="119">
        <v>6</v>
      </c>
      <c r="H47" s="119">
        <v>6</v>
      </c>
      <c r="I47" s="119">
        <v>6</v>
      </c>
      <c r="J47" s="119">
        <v>6</v>
      </c>
      <c r="K47" s="119">
        <v>5</v>
      </c>
      <c r="L47" s="119">
        <v>5</v>
      </c>
      <c r="M47" s="119">
        <v>5</v>
      </c>
      <c r="N47" s="109">
        <v>5</v>
      </c>
      <c r="O47" s="109">
        <v>5</v>
      </c>
      <c r="P47" s="109">
        <v>5</v>
      </c>
      <c r="Q47" s="109">
        <v>4</v>
      </c>
      <c r="R47" s="109">
        <v>2</v>
      </c>
      <c r="S47" s="109">
        <v>3</v>
      </c>
      <c r="T47" s="109">
        <v>3</v>
      </c>
      <c r="U47" s="109">
        <v>3</v>
      </c>
      <c r="V47" s="109">
        <v>2</v>
      </c>
      <c r="W47" s="109">
        <v>3</v>
      </c>
      <c r="X47" s="109">
        <v>3</v>
      </c>
      <c r="Y47" s="109">
        <v>4</v>
      </c>
      <c r="Z47" s="109">
        <v>5</v>
      </c>
      <c r="AA47" s="120">
        <v>5</v>
      </c>
      <c r="AB47" s="120">
        <v>5</v>
      </c>
      <c r="AC47" s="120">
        <v>5</v>
      </c>
      <c r="AD47" s="120">
        <v>5</v>
      </c>
      <c r="AE47" s="120">
        <v>5</v>
      </c>
      <c r="AF47" s="120">
        <v>5</v>
      </c>
      <c r="AG47" s="120">
        <v>5</v>
      </c>
      <c r="AH47" s="120">
        <v>5</v>
      </c>
      <c r="AI47" s="120">
        <v>5</v>
      </c>
      <c r="AJ47" s="120">
        <v>6</v>
      </c>
      <c r="AK47" s="120">
        <v>6</v>
      </c>
      <c r="AL47" s="120">
        <v>6</v>
      </c>
      <c r="AM47" s="120">
        <v>6</v>
      </c>
      <c r="AN47" s="120">
        <v>6</v>
      </c>
      <c r="AO47" s="120">
        <v>6</v>
      </c>
      <c r="AP47" s="121">
        <v>6</v>
      </c>
    </row>
    <row r="48" spans="1:42" x14ac:dyDescent="0.25">
      <c r="A48" s="118">
        <v>6</v>
      </c>
      <c r="B48" s="119">
        <v>6</v>
      </c>
      <c r="C48" s="119">
        <v>6</v>
      </c>
      <c r="D48" s="119">
        <v>6</v>
      </c>
      <c r="E48" s="119">
        <v>6</v>
      </c>
      <c r="F48" s="119">
        <v>5</v>
      </c>
      <c r="G48" s="119">
        <v>5</v>
      </c>
      <c r="H48" s="119">
        <v>5</v>
      </c>
      <c r="I48" s="119">
        <v>5</v>
      </c>
      <c r="J48" s="119">
        <v>5</v>
      </c>
      <c r="K48" s="119">
        <v>5</v>
      </c>
      <c r="L48" s="119">
        <v>5</v>
      </c>
      <c r="M48" s="119">
        <v>5</v>
      </c>
      <c r="N48" s="122">
        <v>5</v>
      </c>
      <c r="O48" s="122">
        <v>5</v>
      </c>
      <c r="P48" s="122">
        <v>4</v>
      </c>
      <c r="Q48" s="122">
        <v>3</v>
      </c>
      <c r="R48" s="122">
        <v>2</v>
      </c>
      <c r="S48" s="122">
        <v>2</v>
      </c>
      <c r="T48" s="122">
        <v>2</v>
      </c>
      <c r="U48" s="122">
        <v>3</v>
      </c>
      <c r="V48" s="122">
        <v>2</v>
      </c>
      <c r="W48" s="122">
        <v>2</v>
      </c>
      <c r="X48" s="122">
        <v>3</v>
      </c>
      <c r="Y48" s="122">
        <v>4</v>
      </c>
      <c r="Z48" s="122">
        <v>5</v>
      </c>
      <c r="AA48" s="120">
        <v>4</v>
      </c>
      <c r="AB48" s="120">
        <v>5</v>
      </c>
      <c r="AC48" s="120">
        <v>5</v>
      </c>
      <c r="AD48" s="120">
        <v>5</v>
      </c>
      <c r="AE48" s="120">
        <v>5</v>
      </c>
      <c r="AF48" s="120">
        <v>5</v>
      </c>
      <c r="AG48" s="120">
        <v>5</v>
      </c>
      <c r="AH48" s="120">
        <v>5</v>
      </c>
      <c r="AI48" s="120">
        <v>5</v>
      </c>
      <c r="AJ48" s="120">
        <v>6</v>
      </c>
      <c r="AK48" s="120">
        <v>6</v>
      </c>
      <c r="AL48" s="120">
        <v>6</v>
      </c>
      <c r="AM48" s="120">
        <v>6</v>
      </c>
      <c r="AN48" s="120">
        <v>6</v>
      </c>
      <c r="AO48" s="120">
        <v>6</v>
      </c>
      <c r="AP48" s="121">
        <v>6</v>
      </c>
    </row>
    <row r="49" spans="1:42" ht="15.75" thickBot="1" x14ac:dyDescent="0.3">
      <c r="A49" s="123">
        <v>6</v>
      </c>
      <c r="B49" s="124">
        <v>6</v>
      </c>
      <c r="C49" s="124">
        <v>6</v>
      </c>
      <c r="D49" s="124">
        <v>6</v>
      </c>
      <c r="E49" s="124">
        <v>6</v>
      </c>
      <c r="F49" s="124">
        <v>5</v>
      </c>
      <c r="G49" s="124">
        <v>5</v>
      </c>
      <c r="H49" s="124">
        <v>5</v>
      </c>
      <c r="I49" s="124">
        <v>5</v>
      </c>
      <c r="J49" s="124">
        <v>5</v>
      </c>
      <c r="K49" s="124">
        <v>5</v>
      </c>
      <c r="L49" s="124">
        <v>5</v>
      </c>
      <c r="M49" s="124">
        <v>5</v>
      </c>
      <c r="N49" s="122">
        <v>4</v>
      </c>
      <c r="O49" s="122">
        <v>4</v>
      </c>
      <c r="P49" s="122">
        <v>4</v>
      </c>
      <c r="Q49" s="122">
        <v>3</v>
      </c>
      <c r="R49" s="122">
        <v>2</v>
      </c>
      <c r="S49" s="122">
        <v>1</v>
      </c>
      <c r="T49" s="122">
        <v>2</v>
      </c>
      <c r="U49" s="122">
        <v>1</v>
      </c>
      <c r="V49" s="122">
        <v>1</v>
      </c>
      <c r="W49" s="122">
        <v>1</v>
      </c>
      <c r="X49" s="122">
        <v>2</v>
      </c>
      <c r="Y49" s="122">
        <v>2</v>
      </c>
      <c r="Z49" s="122">
        <v>3</v>
      </c>
      <c r="AA49" s="120">
        <v>4</v>
      </c>
      <c r="AB49" s="120">
        <v>4</v>
      </c>
      <c r="AC49" s="120">
        <v>5</v>
      </c>
      <c r="AD49" s="120">
        <v>4</v>
      </c>
      <c r="AE49" s="120">
        <v>5</v>
      </c>
      <c r="AF49" s="120">
        <v>5</v>
      </c>
      <c r="AG49" s="120">
        <v>5</v>
      </c>
      <c r="AH49" s="120">
        <v>5</v>
      </c>
      <c r="AI49" s="120">
        <v>5</v>
      </c>
      <c r="AJ49" s="120">
        <v>6</v>
      </c>
      <c r="AK49" s="120">
        <v>6</v>
      </c>
      <c r="AL49" s="120">
        <v>6</v>
      </c>
      <c r="AM49" s="120">
        <v>6</v>
      </c>
      <c r="AN49" s="120">
        <v>6</v>
      </c>
      <c r="AO49" s="120">
        <v>6</v>
      </c>
      <c r="AP49" s="121">
        <v>6</v>
      </c>
    </row>
    <row r="50" spans="1:42" ht="15.75" thickBot="1" x14ac:dyDescent="0.3">
      <c r="A50" s="123">
        <v>6</v>
      </c>
      <c r="B50" s="124">
        <v>6</v>
      </c>
      <c r="C50" s="124">
        <v>6</v>
      </c>
      <c r="D50" s="124">
        <v>6</v>
      </c>
      <c r="E50" s="124">
        <v>6</v>
      </c>
      <c r="F50" s="124">
        <v>5</v>
      </c>
      <c r="G50" s="124">
        <v>6</v>
      </c>
      <c r="H50" s="124">
        <v>6</v>
      </c>
      <c r="I50" s="124">
        <v>6</v>
      </c>
      <c r="J50" s="124">
        <v>6</v>
      </c>
      <c r="K50" s="124">
        <v>5</v>
      </c>
      <c r="L50" s="124">
        <v>5</v>
      </c>
      <c r="M50" s="124">
        <v>5</v>
      </c>
      <c r="N50" s="122">
        <v>4</v>
      </c>
      <c r="O50" s="122">
        <v>4</v>
      </c>
      <c r="P50" s="122">
        <v>3</v>
      </c>
      <c r="Q50" s="122">
        <v>3</v>
      </c>
      <c r="R50" s="122">
        <v>2</v>
      </c>
      <c r="S50" s="122">
        <v>1</v>
      </c>
      <c r="T50" s="122">
        <v>1</v>
      </c>
      <c r="U50" s="125">
        <v>1</v>
      </c>
      <c r="V50" s="122">
        <v>2</v>
      </c>
      <c r="W50" s="122">
        <v>2</v>
      </c>
      <c r="X50" s="122">
        <v>2</v>
      </c>
      <c r="Y50" s="122">
        <v>3</v>
      </c>
      <c r="Z50" s="122">
        <v>3</v>
      </c>
      <c r="AA50" s="120">
        <v>4</v>
      </c>
      <c r="AB50" s="120">
        <v>4</v>
      </c>
      <c r="AC50" s="120">
        <v>4</v>
      </c>
      <c r="AD50" s="120">
        <v>6</v>
      </c>
      <c r="AE50" s="120">
        <v>6</v>
      </c>
      <c r="AF50" s="120">
        <v>6</v>
      </c>
      <c r="AG50" s="120">
        <v>6</v>
      </c>
      <c r="AH50" s="120">
        <v>5</v>
      </c>
      <c r="AI50" s="120">
        <v>5</v>
      </c>
      <c r="AJ50" s="120">
        <v>5</v>
      </c>
      <c r="AK50" s="120">
        <v>5</v>
      </c>
      <c r="AL50" s="120">
        <v>6</v>
      </c>
      <c r="AM50" s="120">
        <v>6</v>
      </c>
      <c r="AN50" s="120">
        <v>6</v>
      </c>
      <c r="AO50" s="120">
        <v>6</v>
      </c>
      <c r="AP50" s="121">
        <v>6</v>
      </c>
    </row>
    <row r="51" spans="1:42" x14ac:dyDescent="0.25">
      <c r="A51" s="123">
        <v>6</v>
      </c>
      <c r="B51" s="124">
        <v>6</v>
      </c>
      <c r="C51" s="124">
        <v>6</v>
      </c>
      <c r="D51" s="124">
        <v>6</v>
      </c>
      <c r="E51" s="124">
        <v>6</v>
      </c>
      <c r="F51" s="124">
        <v>5</v>
      </c>
      <c r="G51" s="124">
        <v>6</v>
      </c>
      <c r="H51" s="124">
        <v>6</v>
      </c>
      <c r="I51" s="124">
        <v>6</v>
      </c>
      <c r="J51" s="124">
        <v>6</v>
      </c>
      <c r="K51" s="124">
        <v>5</v>
      </c>
      <c r="L51" s="124">
        <v>5</v>
      </c>
      <c r="M51" s="124">
        <v>5</v>
      </c>
      <c r="N51" s="126">
        <v>4</v>
      </c>
      <c r="O51" s="126">
        <v>4</v>
      </c>
      <c r="P51" s="126">
        <v>4</v>
      </c>
      <c r="Q51" s="126">
        <v>2</v>
      </c>
      <c r="R51" s="124">
        <v>2</v>
      </c>
      <c r="S51" s="124">
        <v>2</v>
      </c>
      <c r="T51" s="124">
        <v>2</v>
      </c>
      <c r="U51" s="124">
        <v>3</v>
      </c>
      <c r="V51" s="124">
        <v>3</v>
      </c>
      <c r="W51" s="127">
        <v>1</v>
      </c>
      <c r="X51" s="127">
        <v>1</v>
      </c>
      <c r="Y51" s="127">
        <v>1</v>
      </c>
      <c r="Z51" s="127">
        <v>1</v>
      </c>
      <c r="AA51" s="124">
        <v>4</v>
      </c>
      <c r="AB51" s="124">
        <v>4</v>
      </c>
      <c r="AC51" s="124">
        <v>4</v>
      </c>
      <c r="AD51" s="124">
        <v>4</v>
      </c>
      <c r="AE51" s="124">
        <v>4</v>
      </c>
      <c r="AF51" s="124">
        <v>4</v>
      </c>
      <c r="AG51" s="124">
        <v>4</v>
      </c>
      <c r="AH51" s="124">
        <v>5</v>
      </c>
      <c r="AI51" s="124">
        <v>5</v>
      </c>
      <c r="AJ51" s="124">
        <v>5</v>
      </c>
      <c r="AK51" s="124">
        <v>5</v>
      </c>
      <c r="AL51" s="124">
        <v>5</v>
      </c>
      <c r="AM51" s="124">
        <v>5</v>
      </c>
      <c r="AN51" s="124">
        <v>5</v>
      </c>
      <c r="AO51" s="124">
        <v>5</v>
      </c>
      <c r="AP51" s="128">
        <v>5</v>
      </c>
    </row>
    <row r="52" spans="1:42" ht="15.75" thickBot="1" x14ac:dyDescent="0.3">
      <c r="A52" s="129">
        <v>6</v>
      </c>
      <c r="B52" s="130">
        <v>6</v>
      </c>
      <c r="C52" s="130">
        <v>6</v>
      </c>
      <c r="D52" s="130">
        <v>6</v>
      </c>
      <c r="E52" s="130">
        <v>6</v>
      </c>
      <c r="F52" s="130">
        <v>5</v>
      </c>
      <c r="G52" s="130">
        <v>6</v>
      </c>
      <c r="H52" s="130">
        <v>6</v>
      </c>
      <c r="I52" s="130">
        <v>6</v>
      </c>
      <c r="J52" s="130">
        <v>6</v>
      </c>
      <c r="K52" s="130">
        <v>5</v>
      </c>
      <c r="L52" s="130">
        <v>5</v>
      </c>
      <c r="M52" s="130">
        <v>5</v>
      </c>
      <c r="N52" s="131">
        <v>5</v>
      </c>
      <c r="O52" s="131">
        <v>5</v>
      </c>
      <c r="P52" s="131">
        <v>5</v>
      </c>
      <c r="Q52" s="131">
        <v>5</v>
      </c>
      <c r="R52" s="130">
        <v>5</v>
      </c>
      <c r="S52" s="130">
        <v>5</v>
      </c>
      <c r="T52" s="130">
        <v>5</v>
      </c>
      <c r="U52" s="130">
        <v>5</v>
      </c>
      <c r="V52" s="130">
        <v>5</v>
      </c>
      <c r="W52" s="132">
        <v>2</v>
      </c>
      <c r="X52" s="132">
        <v>2</v>
      </c>
      <c r="Y52" s="132">
        <v>2</v>
      </c>
      <c r="Z52" s="132">
        <v>2</v>
      </c>
      <c r="AA52" s="130">
        <v>6</v>
      </c>
      <c r="AB52" s="130">
        <v>6</v>
      </c>
      <c r="AC52" s="130">
        <v>6</v>
      </c>
      <c r="AD52" s="130">
        <v>6</v>
      </c>
      <c r="AE52" s="130">
        <v>6</v>
      </c>
      <c r="AF52" s="130">
        <v>6</v>
      </c>
      <c r="AG52" s="130">
        <v>6</v>
      </c>
      <c r="AH52" s="130">
        <v>6</v>
      </c>
      <c r="AI52" s="130">
        <v>6</v>
      </c>
      <c r="AJ52" s="130">
        <v>6</v>
      </c>
      <c r="AK52" s="130">
        <v>6</v>
      </c>
      <c r="AL52" s="130">
        <v>6</v>
      </c>
      <c r="AM52" s="130">
        <v>6</v>
      </c>
      <c r="AN52" s="130">
        <v>6</v>
      </c>
      <c r="AO52" s="130">
        <v>6</v>
      </c>
      <c r="AP52" s="133">
        <v>6</v>
      </c>
    </row>
    <row r="53" spans="1:42" x14ac:dyDescent="0.25">
      <c r="A53" s="134">
        <v>0</v>
      </c>
      <c r="B53" s="134">
        <v>0</v>
      </c>
      <c r="C53" s="134">
        <v>0</v>
      </c>
      <c r="D53" s="134">
        <v>0</v>
      </c>
      <c r="E53" s="134">
        <v>0</v>
      </c>
      <c r="F53" s="134">
        <v>0</v>
      </c>
      <c r="G53" s="134">
        <v>0</v>
      </c>
      <c r="H53" s="134">
        <v>0</v>
      </c>
      <c r="I53" s="134">
        <v>0</v>
      </c>
      <c r="J53" s="134">
        <v>0</v>
      </c>
      <c r="K53" s="134">
        <v>0</v>
      </c>
      <c r="L53" s="134">
        <v>0</v>
      </c>
      <c r="M53" s="134">
        <v>0</v>
      </c>
      <c r="N53" s="134">
        <v>0</v>
      </c>
      <c r="O53" s="134">
        <v>0</v>
      </c>
      <c r="P53" s="134">
        <v>0</v>
      </c>
      <c r="Q53" s="134">
        <v>0</v>
      </c>
      <c r="R53" s="134">
        <v>0</v>
      </c>
      <c r="S53" s="134">
        <v>0</v>
      </c>
      <c r="T53" s="134">
        <v>0</v>
      </c>
      <c r="U53" s="134">
        <v>0</v>
      </c>
      <c r="V53" s="134">
        <v>0</v>
      </c>
      <c r="W53" s="134">
        <v>0</v>
      </c>
      <c r="X53" s="134">
        <v>0</v>
      </c>
      <c r="Y53" s="134">
        <v>0</v>
      </c>
      <c r="Z53" s="134">
        <v>0</v>
      </c>
      <c r="AA53" s="134">
        <v>0</v>
      </c>
      <c r="AB53" s="134">
        <v>0</v>
      </c>
      <c r="AC53" s="134">
        <v>0</v>
      </c>
      <c r="AD53" s="134">
        <v>0</v>
      </c>
      <c r="AE53" s="134">
        <v>0</v>
      </c>
      <c r="AF53" s="134">
        <v>0</v>
      </c>
      <c r="AG53" s="134">
        <v>0</v>
      </c>
      <c r="AH53" s="134">
        <v>0</v>
      </c>
      <c r="AI53" s="134">
        <v>0</v>
      </c>
      <c r="AJ53" s="134">
        <v>0</v>
      </c>
      <c r="AK53" s="134">
        <v>0</v>
      </c>
      <c r="AL53" s="134">
        <v>0</v>
      </c>
      <c r="AM53" s="134">
        <v>0</v>
      </c>
      <c r="AN53" s="134">
        <v>0</v>
      </c>
      <c r="AO53" s="134">
        <v>0</v>
      </c>
      <c r="AP53" s="134">
        <v>0</v>
      </c>
    </row>
    <row r="54" spans="1:42" x14ac:dyDescent="0.25">
      <c r="A54" s="134">
        <v>0</v>
      </c>
      <c r="B54" s="134">
        <v>0</v>
      </c>
      <c r="C54" s="134">
        <v>0</v>
      </c>
      <c r="D54" s="134">
        <v>0</v>
      </c>
      <c r="E54" s="134">
        <v>0</v>
      </c>
      <c r="F54" s="134">
        <v>0</v>
      </c>
      <c r="G54" s="134">
        <v>0</v>
      </c>
      <c r="H54" s="134">
        <v>0</v>
      </c>
      <c r="I54" s="134">
        <v>0</v>
      </c>
      <c r="J54" s="134">
        <v>0</v>
      </c>
      <c r="K54" s="134">
        <v>0</v>
      </c>
      <c r="L54" s="134">
        <v>0</v>
      </c>
      <c r="M54" s="134">
        <v>0</v>
      </c>
      <c r="N54" s="134">
        <v>0</v>
      </c>
      <c r="O54" s="134">
        <v>0</v>
      </c>
      <c r="P54" s="134">
        <v>0</v>
      </c>
      <c r="Q54" s="134">
        <v>0</v>
      </c>
      <c r="R54" s="134">
        <v>0</v>
      </c>
      <c r="S54" s="134">
        <v>0</v>
      </c>
      <c r="T54" s="134">
        <v>0</v>
      </c>
      <c r="U54" s="134">
        <v>0</v>
      </c>
      <c r="V54" s="134">
        <v>0</v>
      </c>
      <c r="W54" s="134">
        <v>0</v>
      </c>
      <c r="X54" s="134">
        <v>0</v>
      </c>
      <c r="Y54" s="134">
        <v>0</v>
      </c>
      <c r="Z54" s="134">
        <v>0</v>
      </c>
      <c r="AA54" s="134">
        <v>0</v>
      </c>
      <c r="AB54" s="134">
        <v>0</v>
      </c>
      <c r="AC54" s="134">
        <v>0</v>
      </c>
      <c r="AD54" s="134">
        <v>0</v>
      </c>
      <c r="AE54" s="134">
        <v>0</v>
      </c>
      <c r="AF54" s="134">
        <v>0</v>
      </c>
      <c r="AG54" s="134">
        <v>0</v>
      </c>
      <c r="AH54" s="134">
        <v>0</v>
      </c>
      <c r="AI54" s="134">
        <v>0</v>
      </c>
      <c r="AJ54" s="134">
        <v>0</v>
      </c>
      <c r="AK54" s="134">
        <v>0</v>
      </c>
      <c r="AL54" s="134">
        <v>0</v>
      </c>
      <c r="AM54" s="134">
        <v>0</v>
      </c>
      <c r="AN54" s="134">
        <v>0</v>
      </c>
      <c r="AO54" s="134">
        <v>0</v>
      </c>
      <c r="AP54" s="134">
        <v>0</v>
      </c>
    </row>
    <row r="55" spans="1:42" x14ac:dyDescent="0.25">
      <c r="A55" s="134">
        <v>0</v>
      </c>
      <c r="B55" s="134">
        <v>0</v>
      </c>
      <c r="C55" s="134">
        <v>0</v>
      </c>
      <c r="D55" s="134">
        <v>0</v>
      </c>
      <c r="E55" s="134">
        <v>0</v>
      </c>
      <c r="F55" s="134">
        <v>0</v>
      </c>
      <c r="G55" s="134">
        <v>0</v>
      </c>
      <c r="H55" s="134">
        <v>0</v>
      </c>
      <c r="I55" s="134">
        <v>0</v>
      </c>
      <c r="J55" s="134">
        <v>0</v>
      </c>
      <c r="K55" s="134">
        <v>0</v>
      </c>
      <c r="L55" s="134">
        <v>0</v>
      </c>
      <c r="M55" s="134">
        <v>0</v>
      </c>
      <c r="N55" s="134">
        <v>0</v>
      </c>
      <c r="O55" s="134">
        <v>0</v>
      </c>
      <c r="P55" s="134">
        <v>0</v>
      </c>
      <c r="Q55" s="134">
        <v>0</v>
      </c>
      <c r="R55" s="134">
        <v>0</v>
      </c>
      <c r="S55" s="134">
        <v>0</v>
      </c>
      <c r="T55" s="134">
        <v>0</v>
      </c>
      <c r="U55" s="134">
        <v>0</v>
      </c>
      <c r="V55" s="134">
        <v>0</v>
      </c>
      <c r="W55" s="134">
        <v>0</v>
      </c>
      <c r="X55" s="134">
        <v>0</v>
      </c>
      <c r="Y55" s="134">
        <v>0</v>
      </c>
      <c r="Z55" s="134">
        <v>0</v>
      </c>
      <c r="AA55" s="134">
        <v>0</v>
      </c>
      <c r="AB55" s="134">
        <v>0</v>
      </c>
      <c r="AC55" s="134">
        <v>0</v>
      </c>
      <c r="AD55" s="134">
        <v>0</v>
      </c>
      <c r="AE55" s="134">
        <v>0</v>
      </c>
      <c r="AF55" s="134">
        <v>0</v>
      </c>
      <c r="AG55" s="134">
        <v>0</v>
      </c>
      <c r="AH55" s="134">
        <v>0</v>
      </c>
      <c r="AI55" s="134">
        <v>0</v>
      </c>
      <c r="AJ55" s="134">
        <v>0</v>
      </c>
      <c r="AK55" s="134">
        <v>0</v>
      </c>
      <c r="AL55" s="134">
        <v>0</v>
      </c>
      <c r="AM55" s="134">
        <v>0</v>
      </c>
      <c r="AN55" s="134">
        <v>0</v>
      </c>
      <c r="AO55" s="134">
        <v>0</v>
      </c>
      <c r="AP55" s="134">
        <v>0</v>
      </c>
    </row>
    <row r="56" spans="1:42" x14ac:dyDescent="0.25">
      <c r="A56" s="134">
        <v>0</v>
      </c>
      <c r="B56" s="134">
        <v>0</v>
      </c>
      <c r="C56" s="134">
        <v>0</v>
      </c>
      <c r="D56" s="134">
        <v>0</v>
      </c>
      <c r="E56" s="134">
        <v>0</v>
      </c>
      <c r="F56" s="134">
        <v>0</v>
      </c>
      <c r="G56" s="134">
        <v>0</v>
      </c>
      <c r="H56" s="134">
        <v>0</v>
      </c>
      <c r="I56" s="134">
        <v>0</v>
      </c>
      <c r="J56" s="134">
        <v>0</v>
      </c>
      <c r="K56" s="134">
        <v>0</v>
      </c>
      <c r="L56" s="134">
        <v>0</v>
      </c>
      <c r="M56" s="134">
        <v>0</v>
      </c>
      <c r="N56" s="134">
        <v>0</v>
      </c>
      <c r="O56" s="134">
        <v>0</v>
      </c>
      <c r="P56" s="134">
        <v>0</v>
      </c>
      <c r="Q56" s="134">
        <v>0</v>
      </c>
      <c r="R56" s="134">
        <v>0</v>
      </c>
      <c r="S56" s="134">
        <v>0</v>
      </c>
      <c r="T56" s="134">
        <v>0</v>
      </c>
      <c r="U56" s="134">
        <v>0</v>
      </c>
      <c r="V56" s="134">
        <v>0</v>
      </c>
      <c r="W56" s="134">
        <v>0</v>
      </c>
      <c r="X56" s="134">
        <v>0</v>
      </c>
      <c r="Y56" s="134">
        <v>0</v>
      </c>
      <c r="Z56" s="134">
        <v>0</v>
      </c>
      <c r="AA56" s="134">
        <v>0</v>
      </c>
      <c r="AB56" s="134">
        <v>0</v>
      </c>
      <c r="AC56" s="134">
        <v>0</v>
      </c>
      <c r="AD56" s="134">
        <v>0</v>
      </c>
      <c r="AE56" s="134">
        <v>0</v>
      </c>
      <c r="AF56" s="134">
        <v>0</v>
      </c>
      <c r="AG56" s="134">
        <v>0</v>
      </c>
      <c r="AH56" s="134">
        <v>0</v>
      </c>
      <c r="AI56" s="134">
        <v>0</v>
      </c>
      <c r="AJ56" s="134">
        <v>0</v>
      </c>
      <c r="AK56" s="134">
        <v>0</v>
      </c>
      <c r="AL56" s="134">
        <v>0</v>
      </c>
      <c r="AM56" s="134">
        <v>0</v>
      </c>
      <c r="AN56" s="134">
        <v>0</v>
      </c>
      <c r="AO56" s="134">
        <v>0</v>
      </c>
      <c r="AP56" s="134">
        <v>0</v>
      </c>
    </row>
    <row r="57" spans="1:42" x14ac:dyDescent="0.25">
      <c r="A57" s="134">
        <v>0</v>
      </c>
      <c r="B57" s="134">
        <v>0</v>
      </c>
      <c r="C57" s="134">
        <v>0</v>
      </c>
      <c r="D57" s="134">
        <v>0</v>
      </c>
      <c r="E57" s="134">
        <v>0</v>
      </c>
      <c r="F57" s="134">
        <v>0</v>
      </c>
      <c r="G57" s="134">
        <v>0</v>
      </c>
      <c r="H57" s="134">
        <v>0</v>
      </c>
      <c r="I57" s="134">
        <v>0</v>
      </c>
      <c r="J57" s="134">
        <v>0</v>
      </c>
      <c r="K57" s="134">
        <v>0</v>
      </c>
      <c r="L57" s="134">
        <v>0</v>
      </c>
      <c r="M57" s="134">
        <v>0</v>
      </c>
      <c r="N57" s="134">
        <v>0</v>
      </c>
      <c r="O57" s="134">
        <v>0</v>
      </c>
      <c r="P57" s="134">
        <v>0</v>
      </c>
      <c r="Q57" s="134">
        <v>0</v>
      </c>
      <c r="R57" s="134">
        <v>0</v>
      </c>
      <c r="S57" s="134">
        <v>0</v>
      </c>
      <c r="T57" s="134">
        <v>32</v>
      </c>
      <c r="U57" s="134">
        <v>0</v>
      </c>
      <c r="V57" s="134">
        <v>51</v>
      </c>
      <c r="W57" s="134">
        <v>0</v>
      </c>
      <c r="X57" s="134">
        <v>0</v>
      </c>
      <c r="Y57" s="134">
        <v>12</v>
      </c>
      <c r="Z57" s="134">
        <v>0</v>
      </c>
      <c r="AA57" s="134">
        <v>0</v>
      </c>
      <c r="AB57" s="134">
        <v>0</v>
      </c>
      <c r="AC57" s="134">
        <v>0</v>
      </c>
      <c r="AD57" s="134">
        <v>0</v>
      </c>
      <c r="AE57" s="134">
        <v>0</v>
      </c>
      <c r="AF57" s="134">
        <v>0</v>
      </c>
      <c r="AG57" s="134">
        <v>0</v>
      </c>
      <c r="AH57" s="134">
        <v>0</v>
      </c>
      <c r="AI57" s="134">
        <v>0</v>
      </c>
      <c r="AJ57" s="134">
        <v>0</v>
      </c>
      <c r="AK57" s="134">
        <v>0</v>
      </c>
      <c r="AL57" s="134">
        <v>0</v>
      </c>
      <c r="AM57" s="134">
        <v>0</v>
      </c>
      <c r="AN57" s="134">
        <v>0</v>
      </c>
      <c r="AO57" s="134">
        <v>0</v>
      </c>
      <c r="AP57" s="134">
        <v>0</v>
      </c>
    </row>
    <row r="58" spans="1:42" x14ac:dyDescent="0.25">
      <c r="A58" s="134">
        <v>0</v>
      </c>
      <c r="B58" s="134">
        <v>0</v>
      </c>
      <c r="C58" s="134">
        <v>0</v>
      </c>
      <c r="D58" s="134">
        <v>0</v>
      </c>
      <c r="E58" s="134">
        <v>0</v>
      </c>
      <c r="F58" s="134">
        <v>0</v>
      </c>
      <c r="G58" s="134">
        <v>0</v>
      </c>
      <c r="H58" s="134">
        <v>0</v>
      </c>
      <c r="I58" s="134">
        <v>0</v>
      </c>
      <c r="J58" s="134">
        <v>0</v>
      </c>
      <c r="K58" s="134">
        <v>0</v>
      </c>
      <c r="L58" s="134">
        <v>0</v>
      </c>
      <c r="M58" s="134">
        <v>0</v>
      </c>
      <c r="N58" s="134">
        <v>0</v>
      </c>
      <c r="O58" s="134">
        <v>0</v>
      </c>
      <c r="P58" s="134">
        <v>0</v>
      </c>
      <c r="Q58" s="134">
        <v>41</v>
      </c>
      <c r="R58" s="134">
        <v>0</v>
      </c>
      <c r="S58" s="134">
        <v>31</v>
      </c>
      <c r="T58" s="134">
        <v>0</v>
      </c>
      <c r="U58" s="134">
        <v>0</v>
      </c>
      <c r="V58" s="134">
        <v>41</v>
      </c>
      <c r="W58" s="134">
        <v>31</v>
      </c>
      <c r="X58" s="134">
        <v>13</v>
      </c>
      <c r="Y58" s="134">
        <v>0</v>
      </c>
      <c r="Z58" s="134">
        <v>0</v>
      </c>
      <c r="AA58" s="134">
        <v>0</v>
      </c>
      <c r="AB58" s="134">
        <v>0</v>
      </c>
      <c r="AC58" s="134">
        <v>0</v>
      </c>
      <c r="AD58" s="134">
        <v>0</v>
      </c>
      <c r="AE58" s="134">
        <v>0</v>
      </c>
      <c r="AF58" s="134">
        <v>0</v>
      </c>
      <c r="AG58" s="134">
        <v>0</v>
      </c>
      <c r="AH58" s="134">
        <v>0</v>
      </c>
      <c r="AI58" s="134">
        <v>0</v>
      </c>
      <c r="AJ58" s="134">
        <v>0</v>
      </c>
      <c r="AK58" s="134">
        <v>0</v>
      </c>
      <c r="AL58" s="134">
        <v>0</v>
      </c>
      <c r="AM58" s="134">
        <v>0</v>
      </c>
      <c r="AN58" s="134">
        <v>0</v>
      </c>
      <c r="AO58" s="134">
        <v>0</v>
      </c>
      <c r="AP58" s="134">
        <v>0</v>
      </c>
    </row>
    <row r="59" spans="1:42" x14ac:dyDescent="0.25">
      <c r="A59" s="134">
        <v>0</v>
      </c>
      <c r="B59" s="134">
        <v>0</v>
      </c>
      <c r="C59" s="134">
        <v>0</v>
      </c>
      <c r="D59" s="134">
        <v>0</v>
      </c>
      <c r="E59" s="134">
        <v>0</v>
      </c>
      <c r="F59" s="134">
        <v>0</v>
      </c>
      <c r="G59" s="134">
        <v>0</v>
      </c>
      <c r="H59" s="134">
        <v>0</v>
      </c>
      <c r="I59" s="134">
        <v>0</v>
      </c>
      <c r="J59" s="134">
        <v>0</v>
      </c>
      <c r="K59" s="134">
        <v>0</v>
      </c>
      <c r="L59" s="134">
        <v>0</v>
      </c>
      <c r="M59" s="134">
        <v>0</v>
      </c>
      <c r="N59" s="134">
        <v>0</v>
      </c>
      <c r="O59" s="134">
        <v>0</v>
      </c>
      <c r="P59" s="134">
        <v>0</v>
      </c>
      <c r="Q59" s="134">
        <v>0</v>
      </c>
      <c r="R59" s="134">
        <v>21</v>
      </c>
      <c r="S59" s="134">
        <v>0</v>
      </c>
      <c r="T59" s="134">
        <v>24</v>
      </c>
      <c r="U59" s="134">
        <v>32</v>
      </c>
      <c r="V59" s="134">
        <v>21</v>
      </c>
      <c r="W59" s="134">
        <v>0</v>
      </c>
      <c r="X59" s="134">
        <v>0</v>
      </c>
      <c r="Y59" s="134">
        <v>0</v>
      </c>
      <c r="Z59" s="134">
        <v>0</v>
      </c>
      <c r="AA59" s="134">
        <v>0</v>
      </c>
      <c r="AB59" s="134">
        <v>0</v>
      </c>
      <c r="AC59" s="134">
        <v>0</v>
      </c>
      <c r="AD59" s="134">
        <v>0</v>
      </c>
      <c r="AE59" s="134">
        <v>0</v>
      </c>
      <c r="AF59" s="134">
        <v>0</v>
      </c>
      <c r="AG59" s="134">
        <v>0</v>
      </c>
      <c r="AH59" s="134">
        <v>0</v>
      </c>
      <c r="AI59" s="134">
        <v>0</v>
      </c>
      <c r="AJ59" s="134">
        <v>0</v>
      </c>
      <c r="AK59" s="134">
        <v>0</v>
      </c>
      <c r="AL59" s="134">
        <v>0</v>
      </c>
      <c r="AM59" s="134">
        <v>0</v>
      </c>
      <c r="AN59" s="134">
        <v>0</v>
      </c>
      <c r="AO59" s="134">
        <v>0</v>
      </c>
      <c r="AP59" s="134">
        <v>0</v>
      </c>
    </row>
    <row r="60" spans="1:42" x14ac:dyDescent="0.25">
      <c r="A60" s="134">
        <v>0</v>
      </c>
      <c r="B60" s="134">
        <v>0</v>
      </c>
      <c r="C60" s="134">
        <v>0</v>
      </c>
      <c r="D60" s="134">
        <v>0</v>
      </c>
      <c r="E60" s="134">
        <v>0</v>
      </c>
      <c r="F60" s="134">
        <v>0</v>
      </c>
      <c r="G60" s="134">
        <v>0</v>
      </c>
      <c r="H60" s="134">
        <v>0</v>
      </c>
      <c r="I60" s="134">
        <v>0</v>
      </c>
      <c r="J60" s="134">
        <v>0</v>
      </c>
      <c r="K60" s="134">
        <v>0</v>
      </c>
      <c r="L60" s="134">
        <v>0</v>
      </c>
      <c r="M60" s="134">
        <v>0</v>
      </c>
      <c r="N60" s="134">
        <v>0</v>
      </c>
      <c r="O60" s="134">
        <v>0</v>
      </c>
      <c r="P60" s="134">
        <v>0</v>
      </c>
      <c r="Q60" s="134">
        <v>12</v>
      </c>
      <c r="R60" s="134">
        <v>0</v>
      </c>
      <c r="S60" s="134">
        <v>21</v>
      </c>
      <c r="T60" s="134">
        <v>0</v>
      </c>
      <c r="U60" s="134">
        <v>52</v>
      </c>
      <c r="V60" s="134">
        <v>0</v>
      </c>
      <c r="W60" s="134">
        <v>0</v>
      </c>
      <c r="X60" s="134">
        <v>0</v>
      </c>
      <c r="Y60" s="134">
        <v>12</v>
      </c>
      <c r="Z60" s="134">
        <v>0</v>
      </c>
      <c r="AA60" s="134">
        <v>0</v>
      </c>
      <c r="AB60" s="134">
        <v>0</v>
      </c>
      <c r="AC60" s="134">
        <v>0</v>
      </c>
      <c r="AD60" s="134">
        <v>0</v>
      </c>
      <c r="AE60" s="134">
        <v>0</v>
      </c>
      <c r="AF60" s="134">
        <v>0</v>
      </c>
      <c r="AG60" s="134">
        <v>0</v>
      </c>
      <c r="AH60" s="134">
        <v>0</v>
      </c>
      <c r="AI60" s="134">
        <v>0</v>
      </c>
      <c r="AJ60" s="134">
        <v>0</v>
      </c>
      <c r="AK60" s="134">
        <v>0</v>
      </c>
      <c r="AL60" s="134">
        <v>0</v>
      </c>
      <c r="AM60" s="134">
        <v>0</v>
      </c>
      <c r="AN60" s="134">
        <v>0</v>
      </c>
      <c r="AO60" s="134">
        <v>0</v>
      </c>
      <c r="AP60" s="134">
        <v>0</v>
      </c>
    </row>
    <row r="61" spans="1:42" x14ac:dyDescent="0.25">
      <c r="A61" s="134">
        <v>0</v>
      </c>
      <c r="B61" s="134">
        <v>0</v>
      </c>
      <c r="C61" s="134">
        <v>0</v>
      </c>
      <c r="D61" s="134">
        <v>0</v>
      </c>
      <c r="E61" s="134">
        <v>0</v>
      </c>
      <c r="F61" s="134">
        <v>0</v>
      </c>
      <c r="G61" s="134">
        <v>0</v>
      </c>
      <c r="H61" s="134">
        <v>0</v>
      </c>
      <c r="I61" s="134">
        <v>0</v>
      </c>
      <c r="J61" s="134">
        <v>0</v>
      </c>
      <c r="K61" s="134">
        <v>0</v>
      </c>
      <c r="L61" s="134">
        <v>0</v>
      </c>
      <c r="M61" s="134">
        <v>0</v>
      </c>
      <c r="N61" s="134">
        <v>0</v>
      </c>
      <c r="O61" s="134">
        <v>0</v>
      </c>
      <c r="P61" s="134">
        <v>0</v>
      </c>
      <c r="Q61" s="134">
        <v>0</v>
      </c>
      <c r="R61" s="134">
        <v>0</v>
      </c>
      <c r="S61" s="134">
        <v>0</v>
      </c>
      <c r="T61" s="134">
        <v>13</v>
      </c>
      <c r="U61" s="134">
        <v>23</v>
      </c>
      <c r="V61" s="134">
        <v>0</v>
      </c>
      <c r="W61" s="134">
        <v>61</v>
      </c>
      <c r="X61" s="134">
        <v>0</v>
      </c>
      <c r="Y61" s="134">
        <v>0</v>
      </c>
      <c r="Z61" s="134">
        <v>0</v>
      </c>
      <c r="AA61" s="134">
        <v>0</v>
      </c>
      <c r="AB61" s="134">
        <v>0</v>
      </c>
      <c r="AC61" s="134">
        <v>0</v>
      </c>
      <c r="AD61" s="134">
        <v>0</v>
      </c>
      <c r="AE61" s="134">
        <v>0</v>
      </c>
      <c r="AF61" s="134">
        <v>0</v>
      </c>
      <c r="AG61" s="134">
        <v>0</v>
      </c>
      <c r="AH61" s="134">
        <v>0</v>
      </c>
      <c r="AI61" s="134">
        <v>0</v>
      </c>
      <c r="AJ61" s="134">
        <v>0</v>
      </c>
      <c r="AK61" s="134">
        <v>0</v>
      </c>
      <c r="AL61" s="134">
        <v>0</v>
      </c>
      <c r="AM61" s="134">
        <v>0</v>
      </c>
      <c r="AN61" s="134">
        <v>0</v>
      </c>
      <c r="AO61" s="134">
        <v>0</v>
      </c>
      <c r="AP61" s="134">
        <v>0</v>
      </c>
    </row>
    <row r="62" spans="1:42" x14ac:dyDescent="0.25">
      <c r="A62" s="134">
        <v>0</v>
      </c>
      <c r="B62" s="134">
        <v>0</v>
      </c>
      <c r="C62" s="134">
        <v>0</v>
      </c>
      <c r="D62" s="134">
        <v>0</v>
      </c>
      <c r="E62" s="134">
        <v>0</v>
      </c>
      <c r="F62" s="134">
        <v>0</v>
      </c>
      <c r="G62" s="134">
        <v>0</v>
      </c>
      <c r="H62" s="134">
        <v>0</v>
      </c>
      <c r="I62" s="134">
        <v>0</v>
      </c>
      <c r="J62" s="134">
        <v>0</v>
      </c>
      <c r="K62" s="134">
        <v>0</v>
      </c>
      <c r="L62" s="134">
        <v>0</v>
      </c>
      <c r="M62" s="134">
        <v>0</v>
      </c>
      <c r="N62" s="134">
        <v>0</v>
      </c>
      <c r="O62" s="134">
        <v>0</v>
      </c>
      <c r="P62" s="134">
        <v>0</v>
      </c>
      <c r="Q62" s="134">
        <v>0</v>
      </c>
      <c r="R62" s="134">
        <v>0</v>
      </c>
      <c r="S62" s="134">
        <v>0</v>
      </c>
      <c r="T62" s="134">
        <v>0</v>
      </c>
      <c r="U62" s="134">
        <v>0</v>
      </c>
      <c r="V62" s="134">
        <v>0</v>
      </c>
      <c r="W62" s="134">
        <v>0</v>
      </c>
      <c r="X62" s="134">
        <v>0</v>
      </c>
      <c r="Y62" s="134">
        <v>0</v>
      </c>
      <c r="Z62" s="134">
        <v>0</v>
      </c>
      <c r="AA62" s="134">
        <v>0</v>
      </c>
      <c r="AB62" s="134">
        <v>0</v>
      </c>
      <c r="AC62" s="134">
        <v>0</v>
      </c>
      <c r="AD62" s="134">
        <v>0</v>
      </c>
      <c r="AE62" s="134">
        <v>0</v>
      </c>
      <c r="AF62" s="134">
        <v>0</v>
      </c>
      <c r="AG62" s="134">
        <v>0</v>
      </c>
      <c r="AH62" s="134">
        <v>0</v>
      </c>
      <c r="AI62" s="134">
        <v>0</v>
      </c>
      <c r="AJ62" s="134">
        <v>0</v>
      </c>
      <c r="AK62" s="134">
        <v>0</v>
      </c>
      <c r="AL62" s="134">
        <v>0</v>
      </c>
      <c r="AM62" s="134">
        <v>0</v>
      </c>
      <c r="AN62" s="134">
        <v>0</v>
      </c>
      <c r="AO62" s="134">
        <v>0</v>
      </c>
      <c r="AP62" s="134">
        <v>0</v>
      </c>
    </row>
    <row r="63" spans="1:42" ht="15.75" thickBot="1" x14ac:dyDescent="0.3"/>
    <row r="64" spans="1:42" x14ac:dyDescent="0.25">
      <c r="A64" s="113">
        <v>6</v>
      </c>
      <c r="B64" s="114">
        <v>6</v>
      </c>
      <c r="C64" s="114">
        <v>6</v>
      </c>
      <c r="D64" s="114">
        <v>6</v>
      </c>
      <c r="E64" s="114">
        <v>6</v>
      </c>
      <c r="F64" s="114">
        <v>6</v>
      </c>
      <c r="G64" s="114">
        <v>6</v>
      </c>
      <c r="H64" s="114">
        <v>6</v>
      </c>
      <c r="I64" s="114">
        <v>6</v>
      </c>
      <c r="J64" s="114">
        <v>6</v>
      </c>
      <c r="K64" s="114">
        <v>6</v>
      </c>
      <c r="L64" s="114">
        <v>6</v>
      </c>
      <c r="M64" s="114">
        <v>6</v>
      </c>
      <c r="N64" s="115">
        <v>6</v>
      </c>
      <c r="O64" s="115">
        <v>6</v>
      </c>
      <c r="P64" s="115">
        <v>6</v>
      </c>
      <c r="Q64" s="115">
        <v>6</v>
      </c>
      <c r="R64" s="115">
        <v>6</v>
      </c>
      <c r="S64" s="115">
        <v>6</v>
      </c>
      <c r="T64" s="115">
        <v>6</v>
      </c>
      <c r="U64" s="115">
        <v>6</v>
      </c>
      <c r="V64" s="115">
        <v>5</v>
      </c>
      <c r="W64" s="115">
        <v>5</v>
      </c>
      <c r="X64" s="115">
        <v>5</v>
      </c>
      <c r="Y64" s="115">
        <v>5</v>
      </c>
      <c r="Z64" s="115">
        <v>5</v>
      </c>
      <c r="AA64" s="116">
        <v>6</v>
      </c>
      <c r="AB64" s="116">
        <v>6</v>
      </c>
      <c r="AC64" s="116">
        <v>6</v>
      </c>
      <c r="AD64" s="116">
        <v>6</v>
      </c>
      <c r="AE64" s="116">
        <v>6</v>
      </c>
      <c r="AF64" s="116">
        <v>6</v>
      </c>
      <c r="AG64" s="116">
        <v>6</v>
      </c>
      <c r="AH64" s="116">
        <v>6</v>
      </c>
      <c r="AI64" s="116">
        <v>6</v>
      </c>
      <c r="AJ64" s="116">
        <v>6</v>
      </c>
      <c r="AK64" s="116">
        <v>6</v>
      </c>
      <c r="AL64" s="116">
        <v>6</v>
      </c>
      <c r="AM64" s="116">
        <v>6</v>
      </c>
      <c r="AN64" s="116">
        <v>6</v>
      </c>
      <c r="AO64" s="116">
        <v>6</v>
      </c>
      <c r="AP64" s="117">
        <v>6</v>
      </c>
    </row>
    <row r="65" spans="1:42" x14ac:dyDescent="0.25">
      <c r="A65" s="118">
        <v>6</v>
      </c>
      <c r="B65" s="119">
        <v>6</v>
      </c>
      <c r="C65" s="119">
        <v>6</v>
      </c>
      <c r="D65" s="119">
        <v>6</v>
      </c>
      <c r="E65" s="119">
        <v>6</v>
      </c>
      <c r="F65" s="119">
        <v>6</v>
      </c>
      <c r="G65" s="119">
        <v>6</v>
      </c>
      <c r="H65" s="119">
        <v>6</v>
      </c>
      <c r="I65" s="119">
        <v>6</v>
      </c>
      <c r="J65" s="119">
        <v>6</v>
      </c>
      <c r="K65" s="119">
        <v>5</v>
      </c>
      <c r="L65" s="119">
        <v>5</v>
      </c>
      <c r="M65" s="119">
        <v>5</v>
      </c>
      <c r="N65" s="109">
        <v>5</v>
      </c>
      <c r="O65" s="109">
        <v>5</v>
      </c>
      <c r="P65" s="109">
        <v>5</v>
      </c>
      <c r="Q65" s="109">
        <v>6</v>
      </c>
      <c r="R65" s="109">
        <v>6</v>
      </c>
      <c r="S65" s="109">
        <v>6</v>
      </c>
      <c r="T65" s="109">
        <v>6</v>
      </c>
      <c r="U65" s="109">
        <v>6</v>
      </c>
      <c r="V65" s="109">
        <v>5</v>
      </c>
      <c r="W65" s="109">
        <v>5</v>
      </c>
      <c r="X65" s="109">
        <v>5</v>
      </c>
      <c r="Y65" s="109">
        <v>5</v>
      </c>
      <c r="Z65" s="109">
        <v>5</v>
      </c>
      <c r="AA65" s="120">
        <v>5</v>
      </c>
      <c r="AB65" s="120">
        <v>5</v>
      </c>
      <c r="AC65" s="120">
        <v>5</v>
      </c>
      <c r="AD65" s="120">
        <v>6</v>
      </c>
      <c r="AE65" s="120">
        <v>6</v>
      </c>
      <c r="AF65" s="120">
        <v>6</v>
      </c>
      <c r="AG65" s="120">
        <v>6</v>
      </c>
      <c r="AH65" s="120">
        <v>6</v>
      </c>
      <c r="AI65" s="120">
        <v>6</v>
      </c>
      <c r="AJ65" s="120">
        <v>6</v>
      </c>
      <c r="AK65" s="120">
        <v>6</v>
      </c>
      <c r="AL65" s="120">
        <v>6</v>
      </c>
      <c r="AM65" s="120">
        <v>6</v>
      </c>
      <c r="AN65" s="120">
        <v>6</v>
      </c>
      <c r="AO65" s="120">
        <v>6</v>
      </c>
      <c r="AP65" s="121">
        <v>6</v>
      </c>
    </row>
    <row r="66" spans="1:42" x14ac:dyDescent="0.25">
      <c r="A66" s="118">
        <v>6</v>
      </c>
      <c r="B66" s="119">
        <v>6</v>
      </c>
      <c r="C66" s="119">
        <v>6</v>
      </c>
      <c r="D66" s="119">
        <v>6</v>
      </c>
      <c r="E66" s="119">
        <v>6</v>
      </c>
      <c r="F66" s="119">
        <v>6</v>
      </c>
      <c r="G66" s="119">
        <v>6</v>
      </c>
      <c r="H66" s="119">
        <v>6</v>
      </c>
      <c r="I66" s="119">
        <v>6</v>
      </c>
      <c r="J66" s="119">
        <v>6</v>
      </c>
      <c r="K66" s="119">
        <v>6</v>
      </c>
      <c r="L66" s="119">
        <v>6</v>
      </c>
      <c r="M66" s="119">
        <v>5</v>
      </c>
      <c r="N66" s="109">
        <v>5</v>
      </c>
      <c r="O66" s="109">
        <v>4</v>
      </c>
      <c r="P66" s="109">
        <v>4</v>
      </c>
      <c r="Q66" s="109">
        <v>4</v>
      </c>
      <c r="R66" s="109">
        <v>4</v>
      </c>
      <c r="S66" s="109">
        <v>4</v>
      </c>
      <c r="T66" s="109">
        <v>4</v>
      </c>
      <c r="U66" s="109">
        <v>5</v>
      </c>
      <c r="V66" s="109">
        <v>5</v>
      </c>
      <c r="W66" s="109">
        <v>5</v>
      </c>
      <c r="X66" s="109">
        <v>5</v>
      </c>
      <c r="Y66" s="109">
        <v>5</v>
      </c>
      <c r="Z66" s="109">
        <v>5</v>
      </c>
      <c r="AA66" s="120">
        <v>6</v>
      </c>
      <c r="AB66" s="120">
        <v>6</v>
      </c>
      <c r="AC66" s="120">
        <v>6</v>
      </c>
      <c r="AD66" s="120">
        <v>6</v>
      </c>
      <c r="AE66" s="120">
        <v>6</v>
      </c>
      <c r="AF66" s="120">
        <v>6</v>
      </c>
      <c r="AG66" s="120">
        <v>6</v>
      </c>
      <c r="AH66" s="120">
        <v>6</v>
      </c>
      <c r="AI66" s="120">
        <v>6</v>
      </c>
      <c r="AJ66" s="120">
        <v>6</v>
      </c>
      <c r="AK66" s="120">
        <v>6</v>
      </c>
      <c r="AL66" s="120">
        <v>6</v>
      </c>
      <c r="AM66" s="120">
        <v>6</v>
      </c>
      <c r="AN66" s="120">
        <v>6</v>
      </c>
      <c r="AO66" s="120">
        <v>6</v>
      </c>
      <c r="AP66" s="121">
        <v>6</v>
      </c>
    </row>
    <row r="67" spans="1:42" x14ac:dyDescent="0.25">
      <c r="A67" s="118">
        <v>6</v>
      </c>
      <c r="B67" s="119">
        <v>6</v>
      </c>
      <c r="C67" s="119">
        <v>6</v>
      </c>
      <c r="D67" s="119">
        <v>6</v>
      </c>
      <c r="E67" s="119">
        <v>6</v>
      </c>
      <c r="F67" s="119">
        <v>5</v>
      </c>
      <c r="G67" s="119">
        <v>5</v>
      </c>
      <c r="H67" s="119">
        <v>5</v>
      </c>
      <c r="I67" s="119">
        <v>5</v>
      </c>
      <c r="J67" s="119">
        <v>5</v>
      </c>
      <c r="K67" s="119">
        <v>5</v>
      </c>
      <c r="L67" s="119">
        <v>5</v>
      </c>
      <c r="M67" s="119">
        <v>5</v>
      </c>
      <c r="N67" s="109">
        <v>5</v>
      </c>
      <c r="O67" s="109">
        <v>5</v>
      </c>
      <c r="P67" s="109">
        <v>5</v>
      </c>
      <c r="Q67" s="109">
        <v>5</v>
      </c>
      <c r="R67" s="109">
        <v>4</v>
      </c>
      <c r="S67" s="109">
        <v>4</v>
      </c>
      <c r="T67" s="109">
        <v>4</v>
      </c>
      <c r="U67" s="109">
        <v>4</v>
      </c>
      <c r="V67" s="109">
        <v>4</v>
      </c>
      <c r="W67" s="109">
        <v>4</v>
      </c>
      <c r="X67" s="109">
        <v>4</v>
      </c>
      <c r="Y67" s="109">
        <v>4</v>
      </c>
      <c r="Z67" s="109">
        <v>4</v>
      </c>
      <c r="AA67" s="120">
        <v>5</v>
      </c>
      <c r="AB67" s="120">
        <v>5</v>
      </c>
      <c r="AC67" s="120">
        <v>5</v>
      </c>
      <c r="AD67" s="120">
        <v>5</v>
      </c>
      <c r="AE67" s="120">
        <v>5</v>
      </c>
      <c r="AF67" s="120">
        <v>5</v>
      </c>
      <c r="AG67" s="120">
        <v>5</v>
      </c>
      <c r="AH67" s="120">
        <v>5</v>
      </c>
      <c r="AI67" s="120">
        <v>5</v>
      </c>
      <c r="AJ67" s="120">
        <v>6</v>
      </c>
      <c r="AK67" s="120">
        <v>6</v>
      </c>
      <c r="AL67" s="120">
        <v>6</v>
      </c>
      <c r="AM67" s="120">
        <v>6</v>
      </c>
      <c r="AN67" s="120">
        <v>6</v>
      </c>
      <c r="AO67" s="120">
        <v>6</v>
      </c>
      <c r="AP67" s="121">
        <v>6</v>
      </c>
    </row>
    <row r="68" spans="1:42" x14ac:dyDescent="0.25">
      <c r="A68" s="118">
        <v>6</v>
      </c>
      <c r="B68" s="119">
        <v>6</v>
      </c>
      <c r="C68" s="119">
        <v>6</v>
      </c>
      <c r="D68" s="119">
        <v>6</v>
      </c>
      <c r="E68" s="119">
        <v>6</v>
      </c>
      <c r="F68" s="119">
        <v>5</v>
      </c>
      <c r="G68" s="119">
        <v>6</v>
      </c>
      <c r="H68" s="119">
        <v>6</v>
      </c>
      <c r="I68" s="119">
        <v>6</v>
      </c>
      <c r="J68" s="119">
        <v>6</v>
      </c>
      <c r="K68" s="119">
        <v>5</v>
      </c>
      <c r="L68" s="119">
        <v>5</v>
      </c>
      <c r="M68" s="119">
        <v>5</v>
      </c>
      <c r="N68" s="109">
        <v>5</v>
      </c>
      <c r="O68" s="109">
        <v>5</v>
      </c>
      <c r="P68" s="109">
        <v>5</v>
      </c>
      <c r="Q68" s="109">
        <v>4</v>
      </c>
      <c r="R68" s="109">
        <v>2</v>
      </c>
      <c r="S68" s="109">
        <v>3</v>
      </c>
      <c r="T68" s="109">
        <v>3</v>
      </c>
      <c r="U68" s="109">
        <v>3</v>
      </c>
      <c r="V68" s="109">
        <v>2</v>
      </c>
      <c r="W68" s="109">
        <v>3</v>
      </c>
      <c r="X68" s="109">
        <v>3</v>
      </c>
      <c r="Y68" s="109">
        <v>4</v>
      </c>
      <c r="Z68" s="109">
        <v>5</v>
      </c>
      <c r="AA68" s="120">
        <v>5</v>
      </c>
      <c r="AB68" s="120">
        <v>5</v>
      </c>
      <c r="AC68" s="120">
        <v>5</v>
      </c>
      <c r="AD68" s="120">
        <v>5</v>
      </c>
      <c r="AE68" s="120">
        <v>5</v>
      </c>
      <c r="AF68" s="120">
        <v>5</v>
      </c>
      <c r="AG68" s="120">
        <v>5</v>
      </c>
      <c r="AH68" s="120">
        <v>5</v>
      </c>
      <c r="AI68" s="120">
        <v>5</v>
      </c>
      <c r="AJ68" s="120">
        <v>6</v>
      </c>
      <c r="AK68" s="120">
        <v>6</v>
      </c>
      <c r="AL68" s="120">
        <v>6</v>
      </c>
      <c r="AM68" s="120">
        <v>6</v>
      </c>
      <c r="AN68" s="120">
        <v>6</v>
      </c>
      <c r="AO68" s="120">
        <v>6</v>
      </c>
      <c r="AP68" s="121">
        <v>6</v>
      </c>
    </row>
    <row r="69" spans="1:42" x14ac:dyDescent="0.25">
      <c r="A69" s="118">
        <v>6</v>
      </c>
      <c r="B69" s="119">
        <v>6</v>
      </c>
      <c r="C69" s="119">
        <v>6</v>
      </c>
      <c r="D69" s="119">
        <v>6</v>
      </c>
      <c r="E69" s="119">
        <v>6</v>
      </c>
      <c r="F69" s="119">
        <v>5</v>
      </c>
      <c r="G69" s="119">
        <v>5</v>
      </c>
      <c r="H69" s="119">
        <v>5</v>
      </c>
      <c r="I69" s="119">
        <v>5</v>
      </c>
      <c r="J69" s="119">
        <v>5</v>
      </c>
      <c r="K69" s="119">
        <v>5</v>
      </c>
      <c r="L69" s="119">
        <v>5</v>
      </c>
      <c r="M69" s="119">
        <v>5</v>
      </c>
      <c r="N69" s="122">
        <v>5</v>
      </c>
      <c r="O69" s="122">
        <v>5</v>
      </c>
      <c r="P69" s="122">
        <v>4</v>
      </c>
      <c r="Q69" s="122">
        <v>3</v>
      </c>
      <c r="R69" s="122">
        <v>2</v>
      </c>
      <c r="S69" s="122">
        <v>2</v>
      </c>
      <c r="T69" s="122">
        <v>2</v>
      </c>
      <c r="U69" s="122">
        <v>3</v>
      </c>
      <c r="V69" s="122">
        <v>2</v>
      </c>
      <c r="W69" s="122">
        <v>2</v>
      </c>
      <c r="X69" s="122">
        <v>3</v>
      </c>
      <c r="Y69" s="122">
        <v>4</v>
      </c>
      <c r="Z69" s="122">
        <v>5</v>
      </c>
      <c r="AA69" s="120">
        <v>4</v>
      </c>
      <c r="AB69" s="120">
        <v>5</v>
      </c>
      <c r="AC69" s="120">
        <v>5</v>
      </c>
      <c r="AD69" s="120">
        <v>5</v>
      </c>
      <c r="AE69" s="120">
        <v>5</v>
      </c>
      <c r="AF69" s="120">
        <v>5</v>
      </c>
      <c r="AG69" s="120">
        <v>5</v>
      </c>
      <c r="AH69" s="120">
        <v>5</v>
      </c>
      <c r="AI69" s="120">
        <v>5</v>
      </c>
      <c r="AJ69" s="120">
        <v>6</v>
      </c>
      <c r="AK69" s="120">
        <v>6</v>
      </c>
      <c r="AL69" s="120">
        <v>6</v>
      </c>
      <c r="AM69" s="120">
        <v>6</v>
      </c>
      <c r="AN69" s="120">
        <v>6</v>
      </c>
      <c r="AO69" s="120">
        <v>6</v>
      </c>
      <c r="AP69" s="121">
        <v>6</v>
      </c>
    </row>
    <row r="70" spans="1:42" ht="15.75" thickBot="1" x14ac:dyDescent="0.3">
      <c r="A70" s="123">
        <v>6</v>
      </c>
      <c r="B70" s="124">
        <v>6</v>
      </c>
      <c r="C70" s="124">
        <v>6</v>
      </c>
      <c r="D70" s="124">
        <v>6</v>
      </c>
      <c r="E70" s="124">
        <v>6</v>
      </c>
      <c r="F70" s="124">
        <v>5</v>
      </c>
      <c r="G70" s="124">
        <v>5</v>
      </c>
      <c r="H70" s="124">
        <v>5</v>
      </c>
      <c r="I70" s="124">
        <v>5</v>
      </c>
      <c r="J70" s="124">
        <v>5</v>
      </c>
      <c r="K70" s="124">
        <v>5</v>
      </c>
      <c r="L70" s="124">
        <v>5</v>
      </c>
      <c r="M70" s="124">
        <v>5</v>
      </c>
      <c r="N70" s="122">
        <v>4</v>
      </c>
      <c r="O70" s="122">
        <v>4</v>
      </c>
      <c r="P70" s="122">
        <v>4</v>
      </c>
      <c r="Q70" s="122">
        <v>3</v>
      </c>
      <c r="R70" s="122">
        <v>2</v>
      </c>
      <c r="S70" s="122">
        <v>1</v>
      </c>
      <c r="T70" s="122">
        <v>2</v>
      </c>
      <c r="U70" s="122">
        <v>1</v>
      </c>
      <c r="V70" s="122">
        <v>1</v>
      </c>
      <c r="W70" s="122">
        <v>1</v>
      </c>
      <c r="X70" s="122">
        <v>2</v>
      </c>
      <c r="Y70" s="122">
        <v>2</v>
      </c>
      <c r="Z70" s="122">
        <v>3</v>
      </c>
      <c r="AA70" s="120">
        <v>4</v>
      </c>
      <c r="AB70" s="120">
        <v>4</v>
      </c>
      <c r="AC70" s="120">
        <v>5</v>
      </c>
      <c r="AD70" s="120">
        <v>4</v>
      </c>
      <c r="AE70" s="120">
        <v>5</v>
      </c>
      <c r="AF70" s="120">
        <v>5</v>
      </c>
      <c r="AG70" s="120">
        <v>5</v>
      </c>
      <c r="AH70" s="120">
        <v>5</v>
      </c>
      <c r="AI70" s="120">
        <v>5</v>
      </c>
      <c r="AJ70" s="120">
        <v>6</v>
      </c>
      <c r="AK70" s="120">
        <v>6</v>
      </c>
      <c r="AL70" s="120">
        <v>6</v>
      </c>
      <c r="AM70" s="120">
        <v>6</v>
      </c>
      <c r="AN70" s="120">
        <v>6</v>
      </c>
      <c r="AO70" s="120">
        <v>6</v>
      </c>
      <c r="AP70" s="121">
        <v>6</v>
      </c>
    </row>
    <row r="71" spans="1:42" ht="15.75" thickBot="1" x14ac:dyDescent="0.3">
      <c r="A71" s="123">
        <v>6</v>
      </c>
      <c r="B71" s="124">
        <v>6</v>
      </c>
      <c r="C71" s="124">
        <v>6</v>
      </c>
      <c r="D71" s="124">
        <v>6</v>
      </c>
      <c r="E71" s="124">
        <v>6</v>
      </c>
      <c r="F71" s="124">
        <v>5</v>
      </c>
      <c r="G71" s="124">
        <v>6</v>
      </c>
      <c r="H71" s="124">
        <v>6</v>
      </c>
      <c r="I71" s="124">
        <v>6</v>
      </c>
      <c r="J71" s="124">
        <v>6</v>
      </c>
      <c r="K71" s="124">
        <v>5</v>
      </c>
      <c r="L71" s="124">
        <v>5</v>
      </c>
      <c r="M71" s="124">
        <v>5</v>
      </c>
      <c r="N71" s="122">
        <v>4</v>
      </c>
      <c r="O71" s="122">
        <v>4</v>
      </c>
      <c r="P71" s="122">
        <v>3</v>
      </c>
      <c r="Q71" s="122">
        <v>3</v>
      </c>
      <c r="R71" s="122">
        <v>2</v>
      </c>
      <c r="S71" s="122">
        <v>1</v>
      </c>
      <c r="T71" s="122">
        <v>1</v>
      </c>
      <c r="U71" s="125">
        <v>1</v>
      </c>
      <c r="V71" s="122">
        <v>2</v>
      </c>
      <c r="W71" s="122">
        <v>2</v>
      </c>
      <c r="X71" s="122">
        <v>2</v>
      </c>
      <c r="Y71" s="122">
        <v>3</v>
      </c>
      <c r="Z71" s="122">
        <v>3</v>
      </c>
      <c r="AA71" s="120">
        <v>4</v>
      </c>
      <c r="AB71" s="120">
        <v>4</v>
      </c>
      <c r="AC71" s="120">
        <v>4</v>
      </c>
      <c r="AD71" s="120">
        <v>6</v>
      </c>
      <c r="AE71" s="120">
        <v>6</v>
      </c>
      <c r="AF71" s="120">
        <v>6</v>
      </c>
      <c r="AG71" s="120">
        <v>6</v>
      </c>
      <c r="AH71" s="120">
        <v>5</v>
      </c>
      <c r="AI71" s="120">
        <v>5</v>
      </c>
      <c r="AJ71" s="120">
        <v>5</v>
      </c>
      <c r="AK71" s="120">
        <v>5</v>
      </c>
      <c r="AL71" s="120">
        <v>6</v>
      </c>
      <c r="AM71" s="120">
        <v>6</v>
      </c>
      <c r="AN71" s="120">
        <v>6</v>
      </c>
      <c r="AO71" s="120">
        <v>6</v>
      </c>
      <c r="AP71" s="121">
        <v>6</v>
      </c>
    </row>
    <row r="72" spans="1:42" x14ac:dyDescent="0.25">
      <c r="A72" s="123">
        <v>6</v>
      </c>
      <c r="B72" s="124">
        <v>6</v>
      </c>
      <c r="C72" s="124">
        <v>6</v>
      </c>
      <c r="D72" s="124">
        <v>6</v>
      </c>
      <c r="E72" s="124">
        <v>6</v>
      </c>
      <c r="F72" s="124">
        <v>5</v>
      </c>
      <c r="G72" s="124">
        <v>6</v>
      </c>
      <c r="H72" s="124">
        <v>6</v>
      </c>
      <c r="I72" s="124">
        <v>6</v>
      </c>
      <c r="J72" s="124">
        <v>6</v>
      </c>
      <c r="K72" s="124">
        <v>5</v>
      </c>
      <c r="L72" s="124">
        <v>5</v>
      </c>
      <c r="M72" s="124">
        <v>5</v>
      </c>
      <c r="N72" s="126">
        <v>4</v>
      </c>
      <c r="O72" s="126">
        <v>4</v>
      </c>
      <c r="P72" s="126">
        <v>4</v>
      </c>
      <c r="Q72" s="126">
        <v>2</v>
      </c>
      <c r="R72" s="124">
        <v>2</v>
      </c>
      <c r="S72" s="124">
        <v>2</v>
      </c>
      <c r="T72" s="124">
        <v>2</v>
      </c>
      <c r="U72" s="124">
        <v>3</v>
      </c>
      <c r="V72" s="124">
        <v>3</v>
      </c>
      <c r="W72" s="127">
        <v>1</v>
      </c>
      <c r="X72" s="127">
        <v>1</v>
      </c>
      <c r="Y72" s="127">
        <v>1</v>
      </c>
      <c r="Z72" s="127">
        <v>1</v>
      </c>
      <c r="AA72" s="124">
        <v>4</v>
      </c>
      <c r="AB72" s="124">
        <v>4</v>
      </c>
      <c r="AC72" s="124">
        <v>4</v>
      </c>
      <c r="AD72" s="124">
        <v>4</v>
      </c>
      <c r="AE72" s="124">
        <v>4</v>
      </c>
      <c r="AF72" s="124">
        <v>4</v>
      </c>
      <c r="AG72" s="124">
        <v>4</v>
      </c>
      <c r="AH72" s="124">
        <v>5</v>
      </c>
      <c r="AI72" s="124">
        <v>5</v>
      </c>
      <c r="AJ72" s="124">
        <v>5</v>
      </c>
      <c r="AK72" s="124">
        <v>5</v>
      </c>
      <c r="AL72" s="124">
        <v>5</v>
      </c>
      <c r="AM72" s="124">
        <v>5</v>
      </c>
      <c r="AN72" s="124">
        <v>5</v>
      </c>
      <c r="AO72" s="124">
        <v>5</v>
      </c>
      <c r="AP72" s="128">
        <v>5</v>
      </c>
    </row>
    <row r="73" spans="1:42" ht="15.75" thickBot="1" x14ac:dyDescent="0.3">
      <c r="A73" s="129">
        <v>6</v>
      </c>
      <c r="B73" s="130">
        <v>6</v>
      </c>
      <c r="C73" s="130">
        <v>6</v>
      </c>
      <c r="D73" s="130">
        <v>6</v>
      </c>
      <c r="E73" s="130">
        <v>6</v>
      </c>
      <c r="F73" s="130">
        <v>5</v>
      </c>
      <c r="G73" s="130">
        <v>6</v>
      </c>
      <c r="H73" s="130">
        <v>6</v>
      </c>
      <c r="I73" s="130">
        <v>6</v>
      </c>
      <c r="J73" s="130">
        <v>6</v>
      </c>
      <c r="K73" s="130">
        <v>5</v>
      </c>
      <c r="L73" s="130">
        <v>5</v>
      </c>
      <c r="M73" s="130">
        <v>5</v>
      </c>
      <c r="N73" s="131">
        <v>5</v>
      </c>
      <c r="O73" s="131">
        <v>5</v>
      </c>
      <c r="P73" s="131">
        <v>5</v>
      </c>
      <c r="Q73" s="131">
        <v>5</v>
      </c>
      <c r="R73" s="130">
        <v>5</v>
      </c>
      <c r="S73" s="130">
        <v>5</v>
      </c>
      <c r="T73" s="130">
        <v>5</v>
      </c>
      <c r="U73" s="130">
        <v>5</v>
      </c>
      <c r="V73" s="130">
        <v>5</v>
      </c>
      <c r="W73" s="132">
        <v>2</v>
      </c>
      <c r="X73" s="132">
        <v>2</v>
      </c>
      <c r="Y73" s="132">
        <v>2</v>
      </c>
      <c r="Z73" s="132">
        <v>2</v>
      </c>
      <c r="AA73" s="130">
        <v>6</v>
      </c>
      <c r="AB73" s="130">
        <v>6</v>
      </c>
      <c r="AC73" s="130">
        <v>6</v>
      </c>
      <c r="AD73" s="130">
        <v>6</v>
      </c>
      <c r="AE73" s="130">
        <v>6</v>
      </c>
      <c r="AF73" s="130">
        <v>6</v>
      </c>
      <c r="AG73" s="130">
        <v>6</v>
      </c>
      <c r="AH73" s="130">
        <v>6</v>
      </c>
      <c r="AI73" s="130">
        <v>6</v>
      </c>
      <c r="AJ73" s="130">
        <v>6</v>
      </c>
      <c r="AK73" s="130">
        <v>6</v>
      </c>
      <c r="AL73" s="130">
        <v>6</v>
      </c>
      <c r="AM73" s="130">
        <v>6</v>
      </c>
      <c r="AN73" s="130">
        <v>6</v>
      </c>
      <c r="AO73" s="130">
        <v>6</v>
      </c>
      <c r="AP73" s="133">
        <v>6</v>
      </c>
    </row>
    <row r="74" spans="1:42" x14ac:dyDescent="0.25">
      <c r="A74" s="134">
        <v>0</v>
      </c>
      <c r="B74" s="134">
        <v>0</v>
      </c>
      <c r="C74" s="134">
        <v>0</v>
      </c>
      <c r="D74" s="134">
        <v>0</v>
      </c>
      <c r="E74" s="134">
        <v>0</v>
      </c>
      <c r="F74" s="134">
        <v>0</v>
      </c>
      <c r="G74" s="134">
        <v>0</v>
      </c>
      <c r="H74" s="134">
        <v>0</v>
      </c>
      <c r="I74" s="134">
        <v>0</v>
      </c>
      <c r="J74" s="134">
        <v>0</v>
      </c>
      <c r="K74" s="134">
        <v>0</v>
      </c>
      <c r="L74" s="134">
        <v>0</v>
      </c>
      <c r="M74" s="134">
        <v>0</v>
      </c>
      <c r="N74" s="134">
        <v>0</v>
      </c>
      <c r="O74" s="134">
        <v>0</v>
      </c>
      <c r="P74" s="134">
        <v>0</v>
      </c>
      <c r="Q74" s="134">
        <v>0</v>
      </c>
      <c r="R74" s="134">
        <v>0</v>
      </c>
      <c r="S74" s="134">
        <v>0</v>
      </c>
      <c r="T74" s="134">
        <v>0</v>
      </c>
      <c r="U74" s="134">
        <v>0</v>
      </c>
      <c r="V74" s="134">
        <v>0</v>
      </c>
      <c r="W74" s="134">
        <v>0</v>
      </c>
      <c r="X74" s="134">
        <v>0</v>
      </c>
      <c r="Y74" s="134">
        <v>0</v>
      </c>
      <c r="Z74" s="134">
        <v>0</v>
      </c>
      <c r="AA74" s="134">
        <v>0</v>
      </c>
      <c r="AB74" s="134">
        <v>0</v>
      </c>
      <c r="AC74" s="134">
        <v>0</v>
      </c>
      <c r="AD74" s="134">
        <v>0</v>
      </c>
      <c r="AE74" s="134">
        <v>0</v>
      </c>
      <c r="AF74" s="134">
        <v>0</v>
      </c>
      <c r="AG74" s="134">
        <v>0</v>
      </c>
      <c r="AH74" s="134">
        <v>0</v>
      </c>
      <c r="AI74" s="134">
        <v>0</v>
      </c>
      <c r="AJ74" s="134">
        <v>0</v>
      </c>
      <c r="AK74" s="134">
        <v>0</v>
      </c>
      <c r="AL74" s="134">
        <v>0</v>
      </c>
      <c r="AM74" s="134">
        <v>0</v>
      </c>
      <c r="AN74" s="134">
        <v>0</v>
      </c>
      <c r="AO74" s="134">
        <v>0</v>
      </c>
      <c r="AP74" s="134">
        <v>0</v>
      </c>
    </row>
    <row r="75" spans="1:42" x14ac:dyDescent="0.25">
      <c r="A75" s="134">
        <v>0</v>
      </c>
      <c r="B75" s="134">
        <v>0</v>
      </c>
      <c r="C75" s="134">
        <v>0</v>
      </c>
      <c r="D75" s="134">
        <v>0</v>
      </c>
      <c r="E75" s="134">
        <v>0</v>
      </c>
      <c r="F75" s="134">
        <v>0</v>
      </c>
      <c r="G75" s="134">
        <v>0</v>
      </c>
      <c r="H75" s="134">
        <v>0</v>
      </c>
      <c r="I75" s="134">
        <v>0</v>
      </c>
      <c r="J75" s="134">
        <v>0</v>
      </c>
      <c r="K75" s="134">
        <v>0</v>
      </c>
      <c r="L75" s="134">
        <v>0</v>
      </c>
      <c r="M75" s="134">
        <v>0</v>
      </c>
      <c r="N75" s="134">
        <v>0</v>
      </c>
      <c r="O75" s="134">
        <v>0</v>
      </c>
      <c r="P75" s="134">
        <v>0</v>
      </c>
      <c r="Q75" s="134">
        <v>0</v>
      </c>
      <c r="R75" s="134">
        <v>0</v>
      </c>
      <c r="S75" s="134">
        <v>0</v>
      </c>
      <c r="T75" s="134">
        <v>0</v>
      </c>
      <c r="U75" s="134">
        <v>0</v>
      </c>
      <c r="V75" s="134">
        <v>0</v>
      </c>
      <c r="W75" s="134">
        <v>0</v>
      </c>
      <c r="X75" s="134">
        <v>0</v>
      </c>
      <c r="Y75" s="134">
        <v>0</v>
      </c>
      <c r="Z75" s="134">
        <v>0</v>
      </c>
      <c r="AA75" s="134">
        <v>0</v>
      </c>
      <c r="AB75" s="134">
        <v>0</v>
      </c>
      <c r="AC75" s="134">
        <v>0</v>
      </c>
      <c r="AD75" s="134">
        <v>0</v>
      </c>
      <c r="AE75" s="134">
        <v>0</v>
      </c>
      <c r="AF75" s="134">
        <v>0</v>
      </c>
      <c r="AG75" s="134">
        <v>0</v>
      </c>
      <c r="AH75" s="134">
        <v>0</v>
      </c>
      <c r="AI75" s="134">
        <v>0</v>
      </c>
      <c r="AJ75" s="134">
        <v>0</v>
      </c>
      <c r="AK75" s="134">
        <v>0</v>
      </c>
      <c r="AL75" s="134">
        <v>0</v>
      </c>
      <c r="AM75" s="134">
        <v>0</v>
      </c>
      <c r="AN75" s="134">
        <v>0</v>
      </c>
      <c r="AO75" s="134">
        <v>0</v>
      </c>
      <c r="AP75" s="134">
        <v>0</v>
      </c>
    </row>
    <row r="76" spans="1:42" x14ac:dyDescent="0.25">
      <c r="A76" s="134">
        <v>0</v>
      </c>
      <c r="B76" s="134">
        <v>0</v>
      </c>
      <c r="C76" s="134">
        <v>0</v>
      </c>
      <c r="D76" s="134">
        <v>0</v>
      </c>
      <c r="E76" s="134">
        <v>0</v>
      </c>
      <c r="F76" s="134">
        <v>0</v>
      </c>
      <c r="G76" s="134">
        <v>0</v>
      </c>
      <c r="H76" s="134">
        <v>0</v>
      </c>
      <c r="I76" s="134">
        <v>0</v>
      </c>
      <c r="J76" s="134">
        <v>0</v>
      </c>
      <c r="K76" s="134">
        <v>0</v>
      </c>
      <c r="L76" s="134">
        <v>0</v>
      </c>
      <c r="M76" s="134">
        <v>0</v>
      </c>
      <c r="N76" s="134">
        <v>0</v>
      </c>
      <c r="O76" s="134">
        <v>0</v>
      </c>
      <c r="P76" s="134">
        <v>0</v>
      </c>
      <c r="Q76" s="134">
        <v>0</v>
      </c>
      <c r="R76" s="134">
        <v>0</v>
      </c>
      <c r="S76" s="134">
        <v>0</v>
      </c>
      <c r="T76" s="134">
        <v>0</v>
      </c>
      <c r="U76" s="134">
        <v>0</v>
      </c>
      <c r="V76" s="134">
        <v>0</v>
      </c>
      <c r="W76" s="134">
        <v>0</v>
      </c>
      <c r="X76" s="134">
        <v>0</v>
      </c>
      <c r="Y76" s="134">
        <v>0</v>
      </c>
      <c r="Z76" s="134">
        <v>0</v>
      </c>
      <c r="AA76" s="134">
        <v>0</v>
      </c>
      <c r="AB76" s="134">
        <v>0</v>
      </c>
      <c r="AC76" s="134">
        <v>0</v>
      </c>
      <c r="AD76" s="134">
        <v>0</v>
      </c>
      <c r="AE76" s="134">
        <v>0</v>
      </c>
      <c r="AF76" s="134">
        <v>0</v>
      </c>
      <c r="AG76" s="134">
        <v>0</v>
      </c>
      <c r="AH76" s="134">
        <v>0</v>
      </c>
      <c r="AI76" s="134">
        <v>0</v>
      </c>
      <c r="AJ76" s="134">
        <v>0</v>
      </c>
      <c r="AK76" s="134">
        <v>0</v>
      </c>
      <c r="AL76" s="134">
        <v>0</v>
      </c>
      <c r="AM76" s="134">
        <v>0</v>
      </c>
      <c r="AN76" s="134">
        <v>0</v>
      </c>
      <c r="AO76" s="134">
        <v>0</v>
      </c>
      <c r="AP76" s="134">
        <v>0</v>
      </c>
    </row>
    <row r="77" spans="1:42" x14ac:dyDescent="0.25">
      <c r="A77" s="134">
        <v>0</v>
      </c>
      <c r="B77" s="134">
        <v>0</v>
      </c>
      <c r="C77" s="134">
        <v>0</v>
      </c>
      <c r="D77" s="134">
        <v>0</v>
      </c>
      <c r="E77" s="134">
        <v>0</v>
      </c>
      <c r="F77" s="134">
        <v>0</v>
      </c>
      <c r="G77" s="134">
        <v>0</v>
      </c>
      <c r="H77" s="134">
        <v>0</v>
      </c>
      <c r="I77" s="134">
        <v>0</v>
      </c>
      <c r="J77" s="134">
        <v>0</v>
      </c>
      <c r="K77" s="134">
        <v>0</v>
      </c>
      <c r="L77" s="134">
        <v>0</v>
      </c>
      <c r="M77" s="134">
        <v>0</v>
      </c>
      <c r="N77" s="134">
        <v>0</v>
      </c>
      <c r="O77" s="134">
        <v>0</v>
      </c>
      <c r="P77" s="134">
        <v>0</v>
      </c>
      <c r="Q77" s="134">
        <v>0</v>
      </c>
      <c r="R77" s="134">
        <v>0</v>
      </c>
      <c r="S77" s="134">
        <v>0</v>
      </c>
      <c r="T77" s="134">
        <v>0</v>
      </c>
      <c r="U77" s="134">
        <v>0</v>
      </c>
      <c r="V77" s="134">
        <v>0</v>
      </c>
      <c r="W77" s="134">
        <v>0</v>
      </c>
      <c r="X77" s="134">
        <v>0</v>
      </c>
      <c r="Y77" s="134">
        <v>0</v>
      </c>
      <c r="Z77" s="134">
        <v>0</v>
      </c>
      <c r="AA77" s="134">
        <v>0</v>
      </c>
      <c r="AB77" s="134">
        <v>0</v>
      </c>
      <c r="AC77" s="134">
        <v>0</v>
      </c>
      <c r="AD77" s="134">
        <v>0</v>
      </c>
      <c r="AE77" s="134">
        <v>0</v>
      </c>
      <c r="AF77" s="134">
        <v>0</v>
      </c>
      <c r="AG77" s="134">
        <v>0</v>
      </c>
      <c r="AH77" s="134">
        <v>0</v>
      </c>
      <c r="AI77" s="134">
        <v>0</v>
      </c>
      <c r="AJ77" s="134">
        <v>0</v>
      </c>
      <c r="AK77" s="134">
        <v>0</v>
      </c>
      <c r="AL77" s="134">
        <v>0</v>
      </c>
      <c r="AM77" s="134">
        <v>0</v>
      </c>
      <c r="AN77" s="134">
        <v>0</v>
      </c>
      <c r="AO77" s="134">
        <v>0</v>
      </c>
      <c r="AP77" s="134">
        <v>0</v>
      </c>
    </row>
    <row r="78" spans="1:42" x14ac:dyDescent="0.25">
      <c r="A78" s="134">
        <v>0</v>
      </c>
      <c r="B78" s="134">
        <v>0</v>
      </c>
      <c r="C78" s="134">
        <v>0</v>
      </c>
      <c r="D78" s="134">
        <v>0</v>
      </c>
      <c r="E78" s="134">
        <v>0</v>
      </c>
      <c r="F78" s="134">
        <v>0</v>
      </c>
      <c r="G78" s="134">
        <v>0</v>
      </c>
      <c r="H78" s="134">
        <v>0</v>
      </c>
      <c r="I78" s="134">
        <v>0</v>
      </c>
      <c r="J78" s="134">
        <v>0</v>
      </c>
      <c r="K78" s="134">
        <v>0</v>
      </c>
      <c r="L78" s="134">
        <v>0</v>
      </c>
      <c r="M78" s="134">
        <v>0</v>
      </c>
      <c r="N78" s="134">
        <v>0</v>
      </c>
      <c r="O78" s="134">
        <v>0</v>
      </c>
      <c r="P78" s="134">
        <v>0</v>
      </c>
      <c r="Q78" s="134">
        <v>0</v>
      </c>
      <c r="R78" s="134">
        <v>0</v>
      </c>
      <c r="S78" s="134">
        <v>0</v>
      </c>
      <c r="T78" s="134">
        <v>32</v>
      </c>
      <c r="U78" s="134">
        <v>0</v>
      </c>
      <c r="V78" s="134">
        <v>51</v>
      </c>
      <c r="W78" s="134">
        <v>0</v>
      </c>
      <c r="X78" s="134">
        <v>0</v>
      </c>
      <c r="Y78" s="134">
        <v>12</v>
      </c>
      <c r="Z78" s="134">
        <v>0</v>
      </c>
      <c r="AA78" s="134">
        <v>0</v>
      </c>
      <c r="AB78" s="134">
        <v>0</v>
      </c>
      <c r="AC78" s="134">
        <v>0</v>
      </c>
      <c r="AD78" s="134">
        <v>0</v>
      </c>
      <c r="AE78" s="134">
        <v>0</v>
      </c>
      <c r="AF78" s="134">
        <v>0</v>
      </c>
      <c r="AG78" s="134">
        <v>0</v>
      </c>
      <c r="AH78" s="134">
        <v>0</v>
      </c>
      <c r="AI78" s="134">
        <v>0</v>
      </c>
      <c r="AJ78" s="134">
        <v>0</v>
      </c>
      <c r="AK78" s="134">
        <v>0</v>
      </c>
      <c r="AL78" s="134">
        <v>0</v>
      </c>
      <c r="AM78" s="134">
        <v>0</v>
      </c>
      <c r="AN78" s="134">
        <v>0</v>
      </c>
      <c r="AO78" s="134">
        <v>0</v>
      </c>
      <c r="AP78" s="134">
        <v>0</v>
      </c>
    </row>
    <row r="79" spans="1:42" x14ac:dyDescent="0.25">
      <c r="A79" s="134">
        <v>0</v>
      </c>
      <c r="B79" s="134">
        <v>0</v>
      </c>
      <c r="C79" s="134">
        <v>0</v>
      </c>
      <c r="D79" s="134">
        <v>0</v>
      </c>
      <c r="E79" s="134">
        <v>0</v>
      </c>
      <c r="F79" s="134">
        <v>0</v>
      </c>
      <c r="G79" s="134">
        <v>0</v>
      </c>
      <c r="H79" s="134">
        <v>0</v>
      </c>
      <c r="I79" s="134">
        <v>0</v>
      </c>
      <c r="J79" s="134">
        <v>0</v>
      </c>
      <c r="K79" s="134">
        <v>0</v>
      </c>
      <c r="L79" s="134">
        <v>0</v>
      </c>
      <c r="M79" s="134">
        <v>0</v>
      </c>
      <c r="N79" s="134">
        <v>0</v>
      </c>
      <c r="O79" s="134">
        <v>0</v>
      </c>
      <c r="P79" s="134">
        <v>0</v>
      </c>
      <c r="Q79" s="134">
        <v>41</v>
      </c>
      <c r="R79" s="134">
        <v>0</v>
      </c>
      <c r="S79" s="134">
        <v>31</v>
      </c>
      <c r="T79" s="134">
        <v>0</v>
      </c>
      <c r="U79" s="134">
        <v>0</v>
      </c>
      <c r="V79" s="134">
        <v>41</v>
      </c>
      <c r="W79" s="134">
        <v>31</v>
      </c>
      <c r="X79" s="134">
        <v>13</v>
      </c>
      <c r="Y79" s="134">
        <v>0</v>
      </c>
      <c r="Z79" s="134">
        <v>0</v>
      </c>
      <c r="AA79" s="134">
        <v>0</v>
      </c>
      <c r="AB79" s="134">
        <v>0</v>
      </c>
      <c r="AC79" s="134">
        <v>0</v>
      </c>
      <c r="AD79" s="134">
        <v>0</v>
      </c>
      <c r="AE79" s="134">
        <v>0</v>
      </c>
      <c r="AF79" s="134">
        <v>0</v>
      </c>
      <c r="AG79" s="134">
        <v>0</v>
      </c>
      <c r="AH79" s="134">
        <v>0</v>
      </c>
      <c r="AI79" s="134">
        <v>0</v>
      </c>
      <c r="AJ79" s="134">
        <v>0</v>
      </c>
      <c r="AK79" s="134">
        <v>0</v>
      </c>
      <c r="AL79" s="134">
        <v>0</v>
      </c>
      <c r="AM79" s="134">
        <v>0</v>
      </c>
      <c r="AN79" s="134">
        <v>0</v>
      </c>
      <c r="AO79" s="134">
        <v>0</v>
      </c>
      <c r="AP79" s="134">
        <v>0</v>
      </c>
    </row>
    <row r="80" spans="1:42" x14ac:dyDescent="0.25">
      <c r="A80" s="134">
        <v>0</v>
      </c>
      <c r="B80" s="134">
        <v>0</v>
      </c>
      <c r="C80" s="134">
        <v>0</v>
      </c>
      <c r="D80" s="134">
        <v>0</v>
      </c>
      <c r="E80" s="134">
        <v>0</v>
      </c>
      <c r="F80" s="134">
        <v>0</v>
      </c>
      <c r="G80" s="134">
        <v>0</v>
      </c>
      <c r="H80" s="134">
        <v>0</v>
      </c>
      <c r="I80" s="134">
        <v>0</v>
      </c>
      <c r="J80" s="134">
        <v>0</v>
      </c>
      <c r="K80" s="134">
        <v>0</v>
      </c>
      <c r="L80" s="134">
        <v>0</v>
      </c>
      <c r="M80" s="134">
        <v>0</v>
      </c>
      <c r="N80" s="134">
        <v>0</v>
      </c>
      <c r="O80" s="134">
        <v>0</v>
      </c>
      <c r="P80" s="134">
        <v>0</v>
      </c>
      <c r="Q80" s="134">
        <v>0</v>
      </c>
      <c r="R80" s="134">
        <v>21</v>
      </c>
      <c r="S80" s="134">
        <v>0</v>
      </c>
      <c r="T80" s="134">
        <v>24</v>
      </c>
      <c r="U80" s="134">
        <v>32</v>
      </c>
      <c r="V80" s="134">
        <v>21</v>
      </c>
      <c r="W80" s="134">
        <v>0</v>
      </c>
      <c r="X80" s="134">
        <v>0</v>
      </c>
      <c r="Y80" s="134">
        <v>0</v>
      </c>
      <c r="Z80" s="134">
        <v>0</v>
      </c>
      <c r="AA80" s="134">
        <v>0</v>
      </c>
      <c r="AB80" s="134">
        <v>0</v>
      </c>
      <c r="AC80" s="134">
        <v>0</v>
      </c>
      <c r="AD80" s="134">
        <v>0</v>
      </c>
      <c r="AE80" s="134">
        <v>0</v>
      </c>
      <c r="AF80" s="134">
        <v>0</v>
      </c>
      <c r="AG80" s="134">
        <v>0</v>
      </c>
      <c r="AH80" s="134">
        <v>0</v>
      </c>
      <c r="AI80" s="134">
        <v>0</v>
      </c>
      <c r="AJ80" s="134">
        <v>0</v>
      </c>
      <c r="AK80" s="134">
        <v>0</v>
      </c>
      <c r="AL80" s="134">
        <v>0</v>
      </c>
      <c r="AM80" s="134">
        <v>0</v>
      </c>
      <c r="AN80" s="134">
        <v>0</v>
      </c>
      <c r="AO80" s="134">
        <v>0</v>
      </c>
      <c r="AP80" s="134">
        <v>0</v>
      </c>
    </row>
    <row r="81" spans="1:42" x14ac:dyDescent="0.25">
      <c r="A81" s="134">
        <v>0</v>
      </c>
      <c r="B81" s="134">
        <v>0</v>
      </c>
      <c r="C81" s="134">
        <v>0</v>
      </c>
      <c r="D81" s="134">
        <v>0</v>
      </c>
      <c r="E81" s="134">
        <v>0</v>
      </c>
      <c r="F81" s="134">
        <v>0</v>
      </c>
      <c r="G81" s="134">
        <v>0</v>
      </c>
      <c r="H81" s="134">
        <v>0</v>
      </c>
      <c r="I81" s="134">
        <v>0</v>
      </c>
      <c r="J81" s="134">
        <v>0</v>
      </c>
      <c r="K81" s="134">
        <v>0</v>
      </c>
      <c r="L81" s="134">
        <v>0</v>
      </c>
      <c r="M81" s="134">
        <v>0</v>
      </c>
      <c r="N81" s="134">
        <v>0</v>
      </c>
      <c r="O81" s="134">
        <v>0</v>
      </c>
      <c r="P81" s="134">
        <v>0</v>
      </c>
      <c r="Q81" s="134">
        <v>12</v>
      </c>
      <c r="R81" s="134">
        <v>0</v>
      </c>
      <c r="S81" s="134">
        <v>21</v>
      </c>
      <c r="T81" s="134">
        <v>0</v>
      </c>
      <c r="U81" s="134">
        <v>52</v>
      </c>
      <c r="V81" s="134">
        <v>0</v>
      </c>
      <c r="W81" s="134">
        <v>0</v>
      </c>
      <c r="X81" s="134">
        <v>0</v>
      </c>
      <c r="Y81" s="134">
        <v>12</v>
      </c>
      <c r="Z81" s="134">
        <v>0</v>
      </c>
      <c r="AA81" s="134">
        <v>0</v>
      </c>
      <c r="AB81" s="134">
        <v>0</v>
      </c>
      <c r="AC81" s="134">
        <v>0</v>
      </c>
      <c r="AD81" s="134">
        <v>0</v>
      </c>
      <c r="AE81" s="134">
        <v>0</v>
      </c>
      <c r="AF81" s="134">
        <v>0</v>
      </c>
      <c r="AG81" s="134">
        <v>0</v>
      </c>
      <c r="AH81" s="134">
        <v>0</v>
      </c>
      <c r="AI81" s="134">
        <v>0</v>
      </c>
      <c r="AJ81" s="134">
        <v>0</v>
      </c>
      <c r="AK81" s="134">
        <v>0</v>
      </c>
      <c r="AL81" s="134">
        <v>0</v>
      </c>
      <c r="AM81" s="134">
        <v>0</v>
      </c>
      <c r="AN81" s="134">
        <v>0</v>
      </c>
      <c r="AO81" s="134">
        <v>0</v>
      </c>
      <c r="AP81" s="134">
        <v>0</v>
      </c>
    </row>
    <row r="82" spans="1:42" x14ac:dyDescent="0.25">
      <c r="A82" s="134">
        <v>0</v>
      </c>
      <c r="B82" s="134">
        <v>0</v>
      </c>
      <c r="C82" s="134">
        <v>0</v>
      </c>
      <c r="D82" s="134">
        <v>0</v>
      </c>
      <c r="E82" s="134">
        <v>0</v>
      </c>
      <c r="F82" s="134">
        <v>0</v>
      </c>
      <c r="G82" s="134">
        <v>0</v>
      </c>
      <c r="H82" s="134">
        <v>0</v>
      </c>
      <c r="I82" s="134">
        <v>0</v>
      </c>
      <c r="J82" s="134">
        <v>0</v>
      </c>
      <c r="K82" s="134">
        <v>0</v>
      </c>
      <c r="L82" s="134">
        <v>0</v>
      </c>
      <c r="M82" s="134">
        <v>0</v>
      </c>
      <c r="N82" s="134">
        <v>0</v>
      </c>
      <c r="O82" s="134">
        <v>0</v>
      </c>
      <c r="P82" s="134">
        <v>0</v>
      </c>
      <c r="Q82" s="134">
        <v>0</v>
      </c>
      <c r="R82" s="134">
        <v>0</v>
      </c>
      <c r="S82" s="134">
        <v>0</v>
      </c>
      <c r="T82" s="134">
        <v>13</v>
      </c>
      <c r="U82" s="134">
        <v>23</v>
      </c>
      <c r="V82" s="134">
        <v>0</v>
      </c>
      <c r="W82" s="134">
        <v>61</v>
      </c>
      <c r="X82" s="134">
        <v>0</v>
      </c>
      <c r="Y82" s="134">
        <v>0</v>
      </c>
      <c r="Z82" s="134">
        <v>0</v>
      </c>
      <c r="AA82" s="134">
        <v>0</v>
      </c>
      <c r="AB82" s="134">
        <v>0</v>
      </c>
      <c r="AC82" s="134">
        <v>0</v>
      </c>
      <c r="AD82" s="134">
        <v>0</v>
      </c>
      <c r="AE82" s="134">
        <v>0</v>
      </c>
      <c r="AF82" s="134">
        <v>0</v>
      </c>
      <c r="AG82" s="134">
        <v>0</v>
      </c>
      <c r="AH82" s="134">
        <v>0</v>
      </c>
      <c r="AI82" s="134">
        <v>0</v>
      </c>
      <c r="AJ82" s="134">
        <v>0</v>
      </c>
      <c r="AK82" s="134">
        <v>0</v>
      </c>
      <c r="AL82" s="134">
        <v>0</v>
      </c>
      <c r="AM82" s="134">
        <v>0</v>
      </c>
      <c r="AN82" s="134">
        <v>0</v>
      </c>
      <c r="AO82" s="134">
        <v>0</v>
      </c>
      <c r="AP82" s="134">
        <v>0</v>
      </c>
    </row>
    <row r="83" spans="1:42" x14ac:dyDescent="0.25">
      <c r="A83" s="134">
        <v>0</v>
      </c>
      <c r="B83" s="134">
        <v>0</v>
      </c>
      <c r="C83" s="134">
        <v>0</v>
      </c>
      <c r="D83" s="134">
        <v>0</v>
      </c>
      <c r="E83" s="134">
        <v>0</v>
      </c>
      <c r="F83" s="134">
        <v>0</v>
      </c>
      <c r="G83" s="134">
        <v>0</v>
      </c>
      <c r="H83" s="134">
        <v>0</v>
      </c>
      <c r="I83" s="134">
        <v>0</v>
      </c>
      <c r="J83" s="134">
        <v>0</v>
      </c>
      <c r="K83" s="134">
        <v>0</v>
      </c>
      <c r="L83" s="134">
        <v>0</v>
      </c>
      <c r="M83" s="134">
        <v>0</v>
      </c>
      <c r="N83" s="134">
        <v>0</v>
      </c>
      <c r="O83" s="134">
        <v>0</v>
      </c>
      <c r="P83" s="134">
        <v>0</v>
      </c>
      <c r="Q83" s="134">
        <v>0</v>
      </c>
      <c r="R83" s="134">
        <v>0</v>
      </c>
      <c r="S83" s="134">
        <v>0</v>
      </c>
      <c r="T83" s="134">
        <v>0</v>
      </c>
      <c r="U83" s="134">
        <v>0</v>
      </c>
      <c r="V83" s="134">
        <v>0</v>
      </c>
      <c r="W83" s="134">
        <v>0</v>
      </c>
      <c r="X83" s="134">
        <v>0</v>
      </c>
      <c r="Y83" s="134">
        <v>0</v>
      </c>
      <c r="Z83" s="134">
        <v>0</v>
      </c>
      <c r="AA83" s="134">
        <v>0</v>
      </c>
      <c r="AB83" s="134">
        <v>0</v>
      </c>
      <c r="AC83" s="134">
        <v>0</v>
      </c>
      <c r="AD83" s="134">
        <v>0</v>
      </c>
      <c r="AE83" s="134">
        <v>0</v>
      </c>
      <c r="AF83" s="134">
        <v>0</v>
      </c>
      <c r="AG83" s="134">
        <v>0</v>
      </c>
      <c r="AH83" s="134">
        <v>0</v>
      </c>
      <c r="AI83" s="134">
        <v>0</v>
      </c>
      <c r="AJ83" s="134">
        <v>0</v>
      </c>
      <c r="AK83" s="134">
        <v>0</v>
      </c>
      <c r="AL83" s="134">
        <v>0</v>
      </c>
      <c r="AM83" s="134">
        <v>0</v>
      </c>
      <c r="AN83" s="134">
        <v>0</v>
      </c>
      <c r="AO83" s="134">
        <v>0</v>
      </c>
      <c r="AP83" s="134">
        <v>0</v>
      </c>
    </row>
    <row r="84" spans="1:42" ht="15.75" thickBot="1" x14ac:dyDescent="0.3"/>
    <row r="85" spans="1:42" x14ac:dyDescent="0.25">
      <c r="A85" s="113">
        <v>6</v>
      </c>
      <c r="B85" s="114">
        <v>6</v>
      </c>
      <c r="C85" s="114">
        <v>6</v>
      </c>
      <c r="D85" s="114">
        <v>6</v>
      </c>
      <c r="E85" s="114">
        <v>6</v>
      </c>
      <c r="F85" s="114">
        <v>6</v>
      </c>
      <c r="G85" s="114">
        <v>6</v>
      </c>
      <c r="H85" s="114">
        <v>6</v>
      </c>
      <c r="I85" s="114">
        <v>6</v>
      </c>
      <c r="J85" s="114">
        <v>6</v>
      </c>
      <c r="K85" s="114">
        <v>6</v>
      </c>
      <c r="L85" s="114">
        <v>6</v>
      </c>
      <c r="M85" s="114">
        <v>6</v>
      </c>
      <c r="N85" s="115">
        <v>6</v>
      </c>
      <c r="O85" s="115">
        <v>6</v>
      </c>
      <c r="P85" s="115">
        <v>6</v>
      </c>
      <c r="Q85" s="115">
        <v>6</v>
      </c>
      <c r="R85" s="115">
        <v>6</v>
      </c>
      <c r="S85" s="115">
        <v>6</v>
      </c>
      <c r="T85" s="115">
        <v>6</v>
      </c>
      <c r="U85" s="115">
        <v>6</v>
      </c>
      <c r="V85" s="115">
        <v>5</v>
      </c>
      <c r="W85" s="115">
        <v>5</v>
      </c>
      <c r="X85" s="115">
        <v>5</v>
      </c>
      <c r="Y85" s="115">
        <v>5</v>
      </c>
      <c r="Z85" s="115">
        <v>5</v>
      </c>
      <c r="AA85" s="116">
        <v>6</v>
      </c>
      <c r="AB85" s="116">
        <v>6</v>
      </c>
      <c r="AC85" s="116">
        <v>6</v>
      </c>
      <c r="AD85" s="116">
        <v>6</v>
      </c>
      <c r="AE85" s="116">
        <v>6</v>
      </c>
      <c r="AF85" s="116">
        <v>6</v>
      </c>
      <c r="AG85" s="116">
        <v>6</v>
      </c>
      <c r="AH85" s="116">
        <v>6</v>
      </c>
      <c r="AI85" s="116">
        <v>6</v>
      </c>
      <c r="AJ85" s="116">
        <v>6</v>
      </c>
      <c r="AK85" s="116">
        <v>6</v>
      </c>
      <c r="AL85" s="116">
        <v>6</v>
      </c>
      <c r="AM85" s="116">
        <v>6</v>
      </c>
      <c r="AN85" s="116">
        <v>6</v>
      </c>
      <c r="AO85" s="116">
        <v>6</v>
      </c>
      <c r="AP85" s="117">
        <v>6</v>
      </c>
    </row>
    <row r="86" spans="1:42" x14ac:dyDescent="0.25">
      <c r="A86" s="118">
        <v>6</v>
      </c>
      <c r="B86" s="119">
        <v>6</v>
      </c>
      <c r="C86" s="119">
        <v>6</v>
      </c>
      <c r="D86" s="119">
        <v>6</v>
      </c>
      <c r="E86" s="119">
        <v>6</v>
      </c>
      <c r="F86" s="119">
        <v>6</v>
      </c>
      <c r="G86" s="119">
        <v>6</v>
      </c>
      <c r="H86" s="119">
        <v>6</v>
      </c>
      <c r="I86" s="119">
        <v>6</v>
      </c>
      <c r="J86" s="119">
        <v>6</v>
      </c>
      <c r="K86" s="119">
        <v>5</v>
      </c>
      <c r="L86" s="119">
        <v>5</v>
      </c>
      <c r="M86" s="119">
        <v>5</v>
      </c>
      <c r="N86" s="109">
        <v>5</v>
      </c>
      <c r="O86" s="109">
        <v>5</v>
      </c>
      <c r="P86" s="109">
        <v>5</v>
      </c>
      <c r="Q86" s="109">
        <v>6</v>
      </c>
      <c r="R86" s="109">
        <v>6</v>
      </c>
      <c r="S86" s="109">
        <v>6</v>
      </c>
      <c r="T86" s="109">
        <v>6</v>
      </c>
      <c r="U86" s="109">
        <v>6</v>
      </c>
      <c r="V86" s="109">
        <v>5</v>
      </c>
      <c r="W86" s="109">
        <v>5</v>
      </c>
      <c r="X86" s="109">
        <v>5</v>
      </c>
      <c r="Y86" s="109">
        <v>5</v>
      </c>
      <c r="Z86" s="109">
        <v>5</v>
      </c>
      <c r="AA86" s="120">
        <v>5</v>
      </c>
      <c r="AB86" s="120">
        <v>5</v>
      </c>
      <c r="AC86" s="120">
        <v>5</v>
      </c>
      <c r="AD86" s="120">
        <v>6</v>
      </c>
      <c r="AE86" s="120">
        <v>6</v>
      </c>
      <c r="AF86" s="120">
        <v>6</v>
      </c>
      <c r="AG86" s="120">
        <v>6</v>
      </c>
      <c r="AH86" s="120">
        <v>6</v>
      </c>
      <c r="AI86" s="120">
        <v>6</v>
      </c>
      <c r="AJ86" s="120">
        <v>6</v>
      </c>
      <c r="AK86" s="120">
        <v>6</v>
      </c>
      <c r="AL86" s="120">
        <v>6</v>
      </c>
      <c r="AM86" s="120">
        <v>6</v>
      </c>
      <c r="AN86" s="120">
        <v>6</v>
      </c>
      <c r="AO86" s="120">
        <v>6</v>
      </c>
      <c r="AP86" s="121">
        <v>6</v>
      </c>
    </row>
    <row r="87" spans="1:42" x14ac:dyDescent="0.25">
      <c r="A87" s="118">
        <v>6</v>
      </c>
      <c r="B87" s="119">
        <v>6</v>
      </c>
      <c r="C87" s="119">
        <v>6</v>
      </c>
      <c r="D87" s="119">
        <v>6</v>
      </c>
      <c r="E87" s="119">
        <v>6</v>
      </c>
      <c r="F87" s="119">
        <v>6</v>
      </c>
      <c r="G87" s="119">
        <v>6</v>
      </c>
      <c r="H87" s="119">
        <v>6</v>
      </c>
      <c r="I87" s="119">
        <v>6</v>
      </c>
      <c r="J87" s="119">
        <v>6</v>
      </c>
      <c r="K87" s="119">
        <v>6</v>
      </c>
      <c r="L87" s="119">
        <v>6</v>
      </c>
      <c r="M87" s="119">
        <v>5</v>
      </c>
      <c r="N87" s="109">
        <v>5</v>
      </c>
      <c r="O87" s="109">
        <v>4</v>
      </c>
      <c r="P87" s="109">
        <v>4</v>
      </c>
      <c r="Q87" s="109">
        <v>4</v>
      </c>
      <c r="R87" s="109">
        <v>4</v>
      </c>
      <c r="S87" s="109">
        <v>4</v>
      </c>
      <c r="T87" s="109">
        <v>4</v>
      </c>
      <c r="U87" s="109">
        <v>5</v>
      </c>
      <c r="V87" s="109">
        <v>5</v>
      </c>
      <c r="W87" s="109">
        <v>5</v>
      </c>
      <c r="X87" s="109">
        <v>5</v>
      </c>
      <c r="Y87" s="109">
        <v>5</v>
      </c>
      <c r="Z87" s="109">
        <v>5</v>
      </c>
      <c r="AA87" s="120">
        <v>6</v>
      </c>
      <c r="AB87" s="120">
        <v>6</v>
      </c>
      <c r="AC87" s="120">
        <v>6</v>
      </c>
      <c r="AD87" s="120">
        <v>6</v>
      </c>
      <c r="AE87" s="120">
        <v>6</v>
      </c>
      <c r="AF87" s="120">
        <v>6</v>
      </c>
      <c r="AG87" s="120">
        <v>6</v>
      </c>
      <c r="AH87" s="120">
        <v>6</v>
      </c>
      <c r="AI87" s="120">
        <v>6</v>
      </c>
      <c r="AJ87" s="120">
        <v>6</v>
      </c>
      <c r="AK87" s="120">
        <v>6</v>
      </c>
      <c r="AL87" s="120">
        <v>6</v>
      </c>
      <c r="AM87" s="120">
        <v>6</v>
      </c>
      <c r="AN87" s="120">
        <v>6</v>
      </c>
      <c r="AO87" s="120">
        <v>6</v>
      </c>
      <c r="AP87" s="121">
        <v>6</v>
      </c>
    </row>
    <row r="88" spans="1:42" x14ac:dyDescent="0.25">
      <c r="A88" s="118">
        <v>6</v>
      </c>
      <c r="B88" s="119">
        <v>6</v>
      </c>
      <c r="C88" s="119">
        <v>6</v>
      </c>
      <c r="D88" s="119">
        <v>6</v>
      </c>
      <c r="E88" s="119">
        <v>6</v>
      </c>
      <c r="F88" s="119">
        <v>5</v>
      </c>
      <c r="G88" s="119">
        <v>5</v>
      </c>
      <c r="H88" s="119">
        <v>5</v>
      </c>
      <c r="I88" s="119">
        <v>5</v>
      </c>
      <c r="J88" s="119">
        <v>5</v>
      </c>
      <c r="K88" s="119">
        <v>5</v>
      </c>
      <c r="L88" s="119">
        <v>5</v>
      </c>
      <c r="M88" s="119">
        <v>5</v>
      </c>
      <c r="N88" s="109">
        <v>5</v>
      </c>
      <c r="O88" s="109">
        <v>5</v>
      </c>
      <c r="P88" s="109">
        <v>5</v>
      </c>
      <c r="Q88" s="109">
        <v>5</v>
      </c>
      <c r="R88" s="109">
        <v>4</v>
      </c>
      <c r="S88" s="109">
        <v>4</v>
      </c>
      <c r="T88" s="109">
        <v>4</v>
      </c>
      <c r="U88" s="109">
        <v>4</v>
      </c>
      <c r="V88" s="109">
        <v>4</v>
      </c>
      <c r="W88" s="109">
        <v>4</v>
      </c>
      <c r="X88" s="109">
        <v>4</v>
      </c>
      <c r="Y88" s="109">
        <v>4</v>
      </c>
      <c r="Z88" s="109">
        <v>4</v>
      </c>
      <c r="AA88" s="120">
        <v>5</v>
      </c>
      <c r="AB88" s="120">
        <v>5</v>
      </c>
      <c r="AC88" s="120">
        <v>5</v>
      </c>
      <c r="AD88" s="120">
        <v>5</v>
      </c>
      <c r="AE88" s="120">
        <v>5</v>
      </c>
      <c r="AF88" s="120">
        <v>5</v>
      </c>
      <c r="AG88" s="120">
        <v>5</v>
      </c>
      <c r="AH88" s="120">
        <v>5</v>
      </c>
      <c r="AI88" s="120">
        <v>5</v>
      </c>
      <c r="AJ88" s="120">
        <v>6</v>
      </c>
      <c r="AK88" s="120">
        <v>6</v>
      </c>
      <c r="AL88" s="120">
        <v>6</v>
      </c>
      <c r="AM88" s="120">
        <v>6</v>
      </c>
      <c r="AN88" s="120">
        <v>6</v>
      </c>
      <c r="AO88" s="120">
        <v>6</v>
      </c>
      <c r="AP88" s="121">
        <v>6</v>
      </c>
    </row>
    <row r="89" spans="1:42" x14ac:dyDescent="0.25">
      <c r="A89" s="118">
        <v>6</v>
      </c>
      <c r="B89" s="119">
        <v>6</v>
      </c>
      <c r="C89" s="119">
        <v>6</v>
      </c>
      <c r="D89" s="119">
        <v>6</v>
      </c>
      <c r="E89" s="119">
        <v>6</v>
      </c>
      <c r="F89" s="119">
        <v>5</v>
      </c>
      <c r="G89" s="119">
        <v>6</v>
      </c>
      <c r="H89" s="119">
        <v>6</v>
      </c>
      <c r="I89" s="119">
        <v>6</v>
      </c>
      <c r="J89" s="119">
        <v>6</v>
      </c>
      <c r="K89" s="119">
        <v>5</v>
      </c>
      <c r="L89" s="119">
        <v>5</v>
      </c>
      <c r="M89" s="119">
        <v>5</v>
      </c>
      <c r="N89" s="109">
        <v>5</v>
      </c>
      <c r="O89" s="109">
        <v>5</v>
      </c>
      <c r="P89" s="109">
        <v>5</v>
      </c>
      <c r="Q89" s="109">
        <v>4</v>
      </c>
      <c r="R89" s="109">
        <v>2</v>
      </c>
      <c r="S89" s="109">
        <v>3</v>
      </c>
      <c r="T89" s="109">
        <v>3</v>
      </c>
      <c r="U89" s="109">
        <v>3</v>
      </c>
      <c r="V89" s="109">
        <v>2</v>
      </c>
      <c r="W89" s="109">
        <v>3</v>
      </c>
      <c r="X89" s="109">
        <v>3</v>
      </c>
      <c r="Y89" s="109">
        <v>4</v>
      </c>
      <c r="Z89" s="109">
        <v>5</v>
      </c>
      <c r="AA89" s="120">
        <v>5</v>
      </c>
      <c r="AB89" s="120">
        <v>5</v>
      </c>
      <c r="AC89" s="120">
        <v>5</v>
      </c>
      <c r="AD89" s="120">
        <v>5</v>
      </c>
      <c r="AE89" s="120">
        <v>5</v>
      </c>
      <c r="AF89" s="120">
        <v>5</v>
      </c>
      <c r="AG89" s="120">
        <v>5</v>
      </c>
      <c r="AH89" s="120">
        <v>5</v>
      </c>
      <c r="AI89" s="120">
        <v>5</v>
      </c>
      <c r="AJ89" s="120">
        <v>6</v>
      </c>
      <c r="AK89" s="120">
        <v>6</v>
      </c>
      <c r="AL89" s="120">
        <v>6</v>
      </c>
      <c r="AM89" s="120">
        <v>6</v>
      </c>
      <c r="AN89" s="120">
        <v>6</v>
      </c>
      <c r="AO89" s="120">
        <v>6</v>
      </c>
      <c r="AP89" s="121">
        <v>6</v>
      </c>
    </row>
    <row r="90" spans="1:42" x14ac:dyDescent="0.25">
      <c r="A90" s="118">
        <v>6</v>
      </c>
      <c r="B90" s="119">
        <v>6</v>
      </c>
      <c r="C90" s="119">
        <v>6</v>
      </c>
      <c r="D90" s="119">
        <v>6</v>
      </c>
      <c r="E90" s="119">
        <v>6</v>
      </c>
      <c r="F90" s="119">
        <v>5</v>
      </c>
      <c r="G90" s="119">
        <v>5</v>
      </c>
      <c r="H90" s="119">
        <v>5</v>
      </c>
      <c r="I90" s="119">
        <v>5</v>
      </c>
      <c r="J90" s="119">
        <v>5</v>
      </c>
      <c r="K90" s="119">
        <v>5</v>
      </c>
      <c r="L90" s="119">
        <v>5</v>
      </c>
      <c r="M90" s="119">
        <v>5</v>
      </c>
      <c r="N90" s="122">
        <v>5</v>
      </c>
      <c r="O90" s="122">
        <v>5</v>
      </c>
      <c r="P90" s="122">
        <v>4</v>
      </c>
      <c r="Q90" s="122">
        <v>3</v>
      </c>
      <c r="R90" s="122">
        <v>2</v>
      </c>
      <c r="S90" s="122">
        <v>2</v>
      </c>
      <c r="T90" s="122">
        <v>2</v>
      </c>
      <c r="U90" s="122">
        <v>3</v>
      </c>
      <c r="V90" s="122">
        <v>2</v>
      </c>
      <c r="W90" s="122">
        <v>2</v>
      </c>
      <c r="X90" s="122">
        <v>3</v>
      </c>
      <c r="Y90" s="122">
        <v>4</v>
      </c>
      <c r="Z90" s="122">
        <v>5</v>
      </c>
      <c r="AA90" s="120">
        <v>4</v>
      </c>
      <c r="AB90" s="120">
        <v>5</v>
      </c>
      <c r="AC90" s="120">
        <v>5</v>
      </c>
      <c r="AD90" s="120">
        <v>5</v>
      </c>
      <c r="AE90" s="120">
        <v>5</v>
      </c>
      <c r="AF90" s="120">
        <v>5</v>
      </c>
      <c r="AG90" s="120">
        <v>5</v>
      </c>
      <c r="AH90" s="120">
        <v>5</v>
      </c>
      <c r="AI90" s="120">
        <v>5</v>
      </c>
      <c r="AJ90" s="120">
        <v>6</v>
      </c>
      <c r="AK90" s="120">
        <v>6</v>
      </c>
      <c r="AL90" s="120">
        <v>6</v>
      </c>
      <c r="AM90" s="120">
        <v>6</v>
      </c>
      <c r="AN90" s="120">
        <v>6</v>
      </c>
      <c r="AO90" s="120">
        <v>6</v>
      </c>
      <c r="AP90" s="121">
        <v>6</v>
      </c>
    </row>
    <row r="91" spans="1:42" ht="15.75" thickBot="1" x14ac:dyDescent="0.3">
      <c r="A91" s="123">
        <v>6</v>
      </c>
      <c r="B91" s="124">
        <v>6</v>
      </c>
      <c r="C91" s="124">
        <v>6</v>
      </c>
      <c r="D91" s="124">
        <v>6</v>
      </c>
      <c r="E91" s="124">
        <v>6</v>
      </c>
      <c r="F91" s="124">
        <v>5</v>
      </c>
      <c r="G91" s="124">
        <v>5</v>
      </c>
      <c r="H91" s="124">
        <v>5</v>
      </c>
      <c r="I91" s="124">
        <v>5</v>
      </c>
      <c r="J91" s="124">
        <v>5</v>
      </c>
      <c r="K91" s="124">
        <v>5</v>
      </c>
      <c r="L91" s="124">
        <v>5</v>
      </c>
      <c r="M91" s="124">
        <v>5</v>
      </c>
      <c r="N91" s="122">
        <v>4</v>
      </c>
      <c r="O91" s="122">
        <v>4</v>
      </c>
      <c r="P91" s="122">
        <v>4</v>
      </c>
      <c r="Q91" s="122">
        <v>3</v>
      </c>
      <c r="R91" s="122">
        <v>2</v>
      </c>
      <c r="S91" s="122">
        <v>1</v>
      </c>
      <c r="T91" s="122">
        <v>2</v>
      </c>
      <c r="U91" s="122">
        <v>1</v>
      </c>
      <c r="V91" s="122">
        <v>1</v>
      </c>
      <c r="W91" s="122">
        <v>1</v>
      </c>
      <c r="X91" s="122">
        <v>2</v>
      </c>
      <c r="Y91" s="122">
        <v>2</v>
      </c>
      <c r="Z91" s="122">
        <v>3</v>
      </c>
      <c r="AA91" s="120">
        <v>4</v>
      </c>
      <c r="AB91" s="120">
        <v>4</v>
      </c>
      <c r="AC91" s="120">
        <v>5</v>
      </c>
      <c r="AD91" s="120">
        <v>4</v>
      </c>
      <c r="AE91" s="120">
        <v>5</v>
      </c>
      <c r="AF91" s="120">
        <v>5</v>
      </c>
      <c r="AG91" s="120">
        <v>5</v>
      </c>
      <c r="AH91" s="120">
        <v>5</v>
      </c>
      <c r="AI91" s="120">
        <v>5</v>
      </c>
      <c r="AJ91" s="120">
        <v>6</v>
      </c>
      <c r="AK91" s="120">
        <v>6</v>
      </c>
      <c r="AL91" s="120">
        <v>6</v>
      </c>
      <c r="AM91" s="120">
        <v>6</v>
      </c>
      <c r="AN91" s="120">
        <v>6</v>
      </c>
      <c r="AO91" s="120">
        <v>6</v>
      </c>
      <c r="AP91" s="121">
        <v>6</v>
      </c>
    </row>
    <row r="92" spans="1:42" ht="15.75" thickBot="1" x14ac:dyDescent="0.3">
      <c r="A92" s="123">
        <v>6</v>
      </c>
      <c r="B92" s="124">
        <v>6</v>
      </c>
      <c r="C92" s="124">
        <v>6</v>
      </c>
      <c r="D92" s="124">
        <v>6</v>
      </c>
      <c r="E92" s="124">
        <v>6</v>
      </c>
      <c r="F92" s="124">
        <v>5</v>
      </c>
      <c r="G92" s="124">
        <v>6</v>
      </c>
      <c r="H92" s="124">
        <v>6</v>
      </c>
      <c r="I92" s="124">
        <v>6</v>
      </c>
      <c r="J92" s="124">
        <v>6</v>
      </c>
      <c r="K92" s="124">
        <v>5</v>
      </c>
      <c r="L92" s="124">
        <v>5</v>
      </c>
      <c r="M92" s="124">
        <v>5</v>
      </c>
      <c r="N92" s="122">
        <v>4</v>
      </c>
      <c r="O92" s="122">
        <v>4</v>
      </c>
      <c r="P92" s="122">
        <v>3</v>
      </c>
      <c r="Q92" s="122">
        <v>3</v>
      </c>
      <c r="R92" s="122">
        <v>2</v>
      </c>
      <c r="S92" s="122">
        <v>1</v>
      </c>
      <c r="T92" s="122">
        <v>1</v>
      </c>
      <c r="U92" s="125">
        <v>1</v>
      </c>
      <c r="V92" s="122">
        <v>2</v>
      </c>
      <c r="W92" s="122">
        <v>2</v>
      </c>
      <c r="X92" s="122">
        <v>2</v>
      </c>
      <c r="Y92" s="122">
        <v>3</v>
      </c>
      <c r="Z92" s="122">
        <v>3</v>
      </c>
      <c r="AA92" s="120">
        <v>4</v>
      </c>
      <c r="AB92" s="120">
        <v>4</v>
      </c>
      <c r="AC92" s="120">
        <v>4</v>
      </c>
      <c r="AD92" s="120">
        <v>6</v>
      </c>
      <c r="AE92" s="120">
        <v>6</v>
      </c>
      <c r="AF92" s="120">
        <v>6</v>
      </c>
      <c r="AG92" s="120">
        <v>6</v>
      </c>
      <c r="AH92" s="120">
        <v>5</v>
      </c>
      <c r="AI92" s="120">
        <v>5</v>
      </c>
      <c r="AJ92" s="120">
        <v>5</v>
      </c>
      <c r="AK92" s="120">
        <v>5</v>
      </c>
      <c r="AL92" s="120">
        <v>6</v>
      </c>
      <c r="AM92" s="120">
        <v>6</v>
      </c>
      <c r="AN92" s="120">
        <v>6</v>
      </c>
      <c r="AO92" s="120">
        <v>6</v>
      </c>
      <c r="AP92" s="121">
        <v>6</v>
      </c>
    </row>
    <row r="93" spans="1:42" x14ac:dyDescent="0.25">
      <c r="A93" s="123">
        <v>6</v>
      </c>
      <c r="B93" s="124">
        <v>6</v>
      </c>
      <c r="C93" s="124">
        <v>6</v>
      </c>
      <c r="D93" s="124">
        <v>6</v>
      </c>
      <c r="E93" s="124">
        <v>6</v>
      </c>
      <c r="F93" s="124">
        <v>5</v>
      </c>
      <c r="G93" s="124">
        <v>6</v>
      </c>
      <c r="H93" s="124">
        <v>6</v>
      </c>
      <c r="I93" s="124">
        <v>6</v>
      </c>
      <c r="J93" s="124">
        <v>6</v>
      </c>
      <c r="K93" s="124">
        <v>5</v>
      </c>
      <c r="L93" s="124">
        <v>5</v>
      </c>
      <c r="M93" s="124">
        <v>5</v>
      </c>
      <c r="N93" s="126">
        <v>4</v>
      </c>
      <c r="O93" s="126">
        <v>4</v>
      </c>
      <c r="P93" s="126">
        <v>4</v>
      </c>
      <c r="Q93" s="126">
        <v>2</v>
      </c>
      <c r="R93" s="124">
        <v>2</v>
      </c>
      <c r="S93" s="124">
        <v>2</v>
      </c>
      <c r="T93" s="124">
        <v>2</v>
      </c>
      <c r="U93" s="124">
        <v>3</v>
      </c>
      <c r="V93" s="124">
        <v>3</v>
      </c>
      <c r="W93" s="127">
        <v>1</v>
      </c>
      <c r="X93" s="127">
        <v>1</v>
      </c>
      <c r="Y93" s="127">
        <v>1</v>
      </c>
      <c r="Z93" s="127">
        <v>1</v>
      </c>
      <c r="AA93" s="124">
        <v>4</v>
      </c>
      <c r="AB93" s="124">
        <v>4</v>
      </c>
      <c r="AC93" s="124">
        <v>4</v>
      </c>
      <c r="AD93" s="124">
        <v>4</v>
      </c>
      <c r="AE93" s="124">
        <v>4</v>
      </c>
      <c r="AF93" s="124">
        <v>4</v>
      </c>
      <c r="AG93" s="124">
        <v>4</v>
      </c>
      <c r="AH93" s="124">
        <v>5</v>
      </c>
      <c r="AI93" s="124">
        <v>5</v>
      </c>
      <c r="AJ93" s="124">
        <v>5</v>
      </c>
      <c r="AK93" s="124">
        <v>5</v>
      </c>
      <c r="AL93" s="124">
        <v>5</v>
      </c>
      <c r="AM93" s="124">
        <v>5</v>
      </c>
      <c r="AN93" s="124">
        <v>5</v>
      </c>
      <c r="AO93" s="124">
        <v>5</v>
      </c>
      <c r="AP93" s="128">
        <v>5</v>
      </c>
    </row>
    <row r="94" spans="1:42" ht="15.75" thickBot="1" x14ac:dyDescent="0.3">
      <c r="A94" s="129">
        <v>6</v>
      </c>
      <c r="B94" s="130">
        <v>6</v>
      </c>
      <c r="C94" s="130">
        <v>6</v>
      </c>
      <c r="D94" s="130">
        <v>6</v>
      </c>
      <c r="E94" s="130">
        <v>6</v>
      </c>
      <c r="F94" s="130">
        <v>5</v>
      </c>
      <c r="G94" s="130">
        <v>6</v>
      </c>
      <c r="H94" s="130">
        <v>6</v>
      </c>
      <c r="I94" s="130">
        <v>6</v>
      </c>
      <c r="J94" s="130">
        <v>6</v>
      </c>
      <c r="K94" s="130">
        <v>5</v>
      </c>
      <c r="L94" s="130">
        <v>5</v>
      </c>
      <c r="M94" s="130">
        <v>5</v>
      </c>
      <c r="N94" s="131">
        <v>5</v>
      </c>
      <c r="O94" s="131">
        <v>5</v>
      </c>
      <c r="P94" s="131">
        <v>5</v>
      </c>
      <c r="Q94" s="131">
        <v>5</v>
      </c>
      <c r="R94" s="130">
        <v>5</v>
      </c>
      <c r="S94" s="130">
        <v>5</v>
      </c>
      <c r="T94" s="130">
        <v>5</v>
      </c>
      <c r="U94" s="130">
        <v>5</v>
      </c>
      <c r="V94" s="130">
        <v>5</v>
      </c>
      <c r="W94" s="132">
        <v>2</v>
      </c>
      <c r="X94" s="132">
        <v>2</v>
      </c>
      <c r="Y94" s="132">
        <v>2</v>
      </c>
      <c r="Z94" s="132">
        <v>2</v>
      </c>
      <c r="AA94" s="130">
        <v>6</v>
      </c>
      <c r="AB94" s="130">
        <v>6</v>
      </c>
      <c r="AC94" s="130">
        <v>6</v>
      </c>
      <c r="AD94" s="130">
        <v>6</v>
      </c>
      <c r="AE94" s="130">
        <v>6</v>
      </c>
      <c r="AF94" s="130">
        <v>6</v>
      </c>
      <c r="AG94" s="130">
        <v>6</v>
      </c>
      <c r="AH94" s="130">
        <v>6</v>
      </c>
      <c r="AI94" s="130">
        <v>6</v>
      </c>
      <c r="AJ94" s="130">
        <v>6</v>
      </c>
      <c r="AK94" s="130">
        <v>6</v>
      </c>
      <c r="AL94" s="130">
        <v>6</v>
      </c>
      <c r="AM94" s="130">
        <v>6</v>
      </c>
      <c r="AN94" s="130">
        <v>6</v>
      </c>
      <c r="AO94" s="130">
        <v>6</v>
      </c>
      <c r="AP94" s="133">
        <v>6</v>
      </c>
    </row>
    <row r="95" spans="1:42" x14ac:dyDescent="0.25">
      <c r="A95" s="134">
        <v>0</v>
      </c>
      <c r="B95" s="134">
        <v>0</v>
      </c>
      <c r="C95" s="134">
        <v>0</v>
      </c>
      <c r="D95" s="134">
        <v>0</v>
      </c>
      <c r="E95" s="134">
        <v>0</v>
      </c>
      <c r="F95" s="134">
        <v>0</v>
      </c>
      <c r="G95" s="134">
        <v>0</v>
      </c>
      <c r="H95" s="134">
        <v>0</v>
      </c>
      <c r="I95" s="134">
        <v>0</v>
      </c>
      <c r="J95" s="134">
        <v>0</v>
      </c>
      <c r="K95" s="134">
        <v>0</v>
      </c>
      <c r="L95" s="134">
        <v>0</v>
      </c>
      <c r="M95" s="134">
        <v>0</v>
      </c>
      <c r="N95" s="134">
        <v>0</v>
      </c>
      <c r="O95" s="134">
        <v>0</v>
      </c>
      <c r="P95" s="134">
        <v>0</v>
      </c>
      <c r="Q95" s="134">
        <v>0</v>
      </c>
      <c r="R95" s="134">
        <v>0</v>
      </c>
      <c r="S95" s="134">
        <v>0</v>
      </c>
      <c r="T95" s="134">
        <v>0</v>
      </c>
      <c r="U95" s="134">
        <v>0</v>
      </c>
      <c r="V95" s="134">
        <v>0</v>
      </c>
      <c r="W95" s="134">
        <v>0</v>
      </c>
      <c r="X95" s="134">
        <v>0</v>
      </c>
      <c r="Y95" s="134">
        <v>0</v>
      </c>
      <c r="Z95" s="134">
        <v>0</v>
      </c>
      <c r="AA95" s="134">
        <v>0</v>
      </c>
      <c r="AB95" s="134">
        <v>0</v>
      </c>
      <c r="AC95" s="134">
        <v>0</v>
      </c>
      <c r="AD95" s="134">
        <v>0</v>
      </c>
      <c r="AE95" s="134">
        <v>0</v>
      </c>
      <c r="AF95" s="134">
        <v>0</v>
      </c>
      <c r="AG95" s="134">
        <v>0</v>
      </c>
      <c r="AH95" s="134">
        <v>0</v>
      </c>
      <c r="AI95" s="134">
        <v>0</v>
      </c>
      <c r="AJ95" s="134">
        <v>0</v>
      </c>
      <c r="AK95" s="134">
        <v>0</v>
      </c>
      <c r="AL95" s="134">
        <v>0</v>
      </c>
      <c r="AM95" s="134">
        <v>0</v>
      </c>
      <c r="AN95" s="134">
        <v>0</v>
      </c>
      <c r="AO95" s="134">
        <v>0</v>
      </c>
      <c r="AP95" s="134">
        <v>0</v>
      </c>
    </row>
    <row r="96" spans="1:42" x14ac:dyDescent="0.25">
      <c r="A96" s="134">
        <v>0</v>
      </c>
      <c r="B96" s="134">
        <v>0</v>
      </c>
      <c r="C96" s="134">
        <v>0</v>
      </c>
      <c r="D96" s="134">
        <v>0</v>
      </c>
      <c r="E96" s="134">
        <v>0</v>
      </c>
      <c r="F96" s="134">
        <v>0</v>
      </c>
      <c r="G96" s="134">
        <v>0</v>
      </c>
      <c r="H96" s="134">
        <v>0</v>
      </c>
      <c r="I96" s="134">
        <v>0</v>
      </c>
      <c r="J96" s="134">
        <v>0</v>
      </c>
      <c r="K96" s="134">
        <v>0</v>
      </c>
      <c r="L96" s="134">
        <v>0</v>
      </c>
      <c r="M96" s="134">
        <v>0</v>
      </c>
      <c r="N96" s="134">
        <v>0</v>
      </c>
      <c r="O96" s="134">
        <v>0</v>
      </c>
      <c r="P96" s="134">
        <v>0</v>
      </c>
      <c r="Q96" s="134">
        <v>0</v>
      </c>
      <c r="R96" s="134">
        <v>0</v>
      </c>
      <c r="S96" s="134">
        <v>0</v>
      </c>
      <c r="T96" s="134">
        <v>0</v>
      </c>
      <c r="U96" s="134">
        <v>0</v>
      </c>
      <c r="V96" s="134">
        <v>0</v>
      </c>
      <c r="W96" s="134">
        <v>0</v>
      </c>
      <c r="X96" s="134">
        <v>0</v>
      </c>
      <c r="Y96" s="134">
        <v>0</v>
      </c>
      <c r="Z96" s="134">
        <v>0</v>
      </c>
      <c r="AA96" s="134">
        <v>0</v>
      </c>
      <c r="AB96" s="134">
        <v>0</v>
      </c>
      <c r="AC96" s="134">
        <v>0</v>
      </c>
      <c r="AD96" s="134">
        <v>0</v>
      </c>
      <c r="AE96" s="134">
        <v>0</v>
      </c>
      <c r="AF96" s="134">
        <v>0</v>
      </c>
      <c r="AG96" s="134">
        <v>0</v>
      </c>
      <c r="AH96" s="134">
        <v>0</v>
      </c>
      <c r="AI96" s="134">
        <v>0</v>
      </c>
      <c r="AJ96" s="134">
        <v>0</v>
      </c>
      <c r="AK96" s="134">
        <v>0</v>
      </c>
      <c r="AL96" s="134">
        <v>0</v>
      </c>
      <c r="AM96" s="134">
        <v>0</v>
      </c>
      <c r="AN96" s="134">
        <v>0</v>
      </c>
      <c r="AO96" s="134">
        <v>0</v>
      </c>
      <c r="AP96" s="134">
        <v>0</v>
      </c>
    </row>
    <row r="97" spans="1:42" x14ac:dyDescent="0.25">
      <c r="A97" s="134">
        <v>0</v>
      </c>
      <c r="B97" s="134">
        <v>0</v>
      </c>
      <c r="C97" s="134">
        <v>0</v>
      </c>
      <c r="D97" s="134">
        <v>0</v>
      </c>
      <c r="E97" s="134">
        <v>0</v>
      </c>
      <c r="F97" s="134">
        <v>0</v>
      </c>
      <c r="G97" s="134">
        <v>0</v>
      </c>
      <c r="H97" s="134">
        <v>0</v>
      </c>
      <c r="I97" s="134">
        <v>0</v>
      </c>
      <c r="J97" s="134">
        <v>0</v>
      </c>
      <c r="K97" s="134">
        <v>0</v>
      </c>
      <c r="L97" s="134">
        <v>0</v>
      </c>
      <c r="M97" s="134">
        <v>0</v>
      </c>
      <c r="N97" s="134">
        <v>0</v>
      </c>
      <c r="O97" s="134">
        <v>0</v>
      </c>
      <c r="P97" s="134">
        <v>0</v>
      </c>
      <c r="Q97" s="134">
        <v>0</v>
      </c>
      <c r="R97" s="134">
        <v>0</v>
      </c>
      <c r="S97" s="134">
        <v>0</v>
      </c>
      <c r="T97" s="134">
        <v>0</v>
      </c>
      <c r="U97" s="134">
        <v>0</v>
      </c>
      <c r="V97" s="134">
        <v>0</v>
      </c>
      <c r="W97" s="134">
        <v>0</v>
      </c>
      <c r="X97" s="134">
        <v>0</v>
      </c>
      <c r="Y97" s="134">
        <v>0</v>
      </c>
      <c r="Z97" s="134">
        <v>0</v>
      </c>
      <c r="AA97" s="134">
        <v>0</v>
      </c>
      <c r="AB97" s="134">
        <v>0</v>
      </c>
      <c r="AC97" s="134">
        <v>0</v>
      </c>
      <c r="AD97" s="134">
        <v>0</v>
      </c>
      <c r="AE97" s="134">
        <v>0</v>
      </c>
      <c r="AF97" s="134">
        <v>0</v>
      </c>
      <c r="AG97" s="134">
        <v>0</v>
      </c>
      <c r="AH97" s="134">
        <v>0</v>
      </c>
      <c r="AI97" s="134">
        <v>0</v>
      </c>
      <c r="AJ97" s="134">
        <v>0</v>
      </c>
      <c r="AK97" s="134">
        <v>0</v>
      </c>
      <c r="AL97" s="134">
        <v>0</v>
      </c>
      <c r="AM97" s="134">
        <v>0</v>
      </c>
      <c r="AN97" s="134">
        <v>0</v>
      </c>
      <c r="AO97" s="134">
        <v>0</v>
      </c>
      <c r="AP97" s="134">
        <v>0</v>
      </c>
    </row>
    <row r="98" spans="1:42" x14ac:dyDescent="0.25">
      <c r="A98" s="134">
        <v>0</v>
      </c>
      <c r="B98" s="134">
        <v>0</v>
      </c>
      <c r="C98" s="134">
        <v>0</v>
      </c>
      <c r="D98" s="134">
        <v>0</v>
      </c>
      <c r="E98" s="134">
        <v>0</v>
      </c>
      <c r="F98" s="134">
        <v>0</v>
      </c>
      <c r="G98" s="134">
        <v>0</v>
      </c>
      <c r="H98" s="134">
        <v>0</v>
      </c>
      <c r="I98" s="134">
        <v>0</v>
      </c>
      <c r="J98" s="134">
        <v>0</v>
      </c>
      <c r="K98" s="134">
        <v>0</v>
      </c>
      <c r="L98" s="134">
        <v>0</v>
      </c>
      <c r="M98" s="134">
        <v>0</v>
      </c>
      <c r="N98" s="134">
        <v>0</v>
      </c>
      <c r="O98" s="134">
        <v>0</v>
      </c>
      <c r="P98" s="134">
        <v>0</v>
      </c>
      <c r="Q98" s="134">
        <v>0</v>
      </c>
      <c r="R98" s="134">
        <v>0</v>
      </c>
      <c r="S98" s="134">
        <v>0</v>
      </c>
      <c r="T98" s="134">
        <v>0</v>
      </c>
      <c r="U98" s="134">
        <v>0</v>
      </c>
      <c r="V98" s="134">
        <v>0</v>
      </c>
      <c r="W98" s="134">
        <v>0</v>
      </c>
      <c r="X98" s="134">
        <v>0</v>
      </c>
      <c r="Y98" s="134">
        <v>0</v>
      </c>
      <c r="Z98" s="134">
        <v>0</v>
      </c>
      <c r="AA98" s="134">
        <v>0</v>
      </c>
      <c r="AB98" s="134">
        <v>0</v>
      </c>
      <c r="AC98" s="134">
        <v>0</v>
      </c>
      <c r="AD98" s="134">
        <v>0</v>
      </c>
      <c r="AE98" s="134">
        <v>0</v>
      </c>
      <c r="AF98" s="134">
        <v>0</v>
      </c>
      <c r="AG98" s="134">
        <v>0</v>
      </c>
      <c r="AH98" s="134">
        <v>0</v>
      </c>
      <c r="AI98" s="134">
        <v>0</v>
      </c>
      <c r="AJ98" s="134">
        <v>0</v>
      </c>
      <c r="AK98" s="134">
        <v>0</v>
      </c>
      <c r="AL98" s="134">
        <v>0</v>
      </c>
      <c r="AM98" s="134">
        <v>0</v>
      </c>
      <c r="AN98" s="134">
        <v>0</v>
      </c>
      <c r="AO98" s="134">
        <v>0</v>
      </c>
      <c r="AP98" s="134">
        <v>0</v>
      </c>
    </row>
    <row r="99" spans="1:42" x14ac:dyDescent="0.25">
      <c r="A99" s="134">
        <v>0</v>
      </c>
      <c r="B99" s="134">
        <v>0</v>
      </c>
      <c r="C99" s="134">
        <v>0</v>
      </c>
      <c r="D99" s="134">
        <v>0</v>
      </c>
      <c r="E99" s="134">
        <v>0</v>
      </c>
      <c r="F99" s="134">
        <v>0</v>
      </c>
      <c r="G99" s="134">
        <v>0</v>
      </c>
      <c r="H99" s="134">
        <v>0</v>
      </c>
      <c r="I99" s="134">
        <v>0</v>
      </c>
      <c r="J99" s="134">
        <v>0</v>
      </c>
      <c r="K99" s="134">
        <v>0</v>
      </c>
      <c r="L99" s="134">
        <v>0</v>
      </c>
      <c r="M99" s="134">
        <v>0</v>
      </c>
      <c r="N99" s="134">
        <v>0</v>
      </c>
      <c r="O99" s="134">
        <v>0</v>
      </c>
      <c r="P99" s="134">
        <v>0</v>
      </c>
      <c r="Q99" s="134">
        <v>0</v>
      </c>
      <c r="R99" s="134">
        <v>0</v>
      </c>
      <c r="S99" s="134">
        <v>0</v>
      </c>
      <c r="T99" s="134">
        <v>32</v>
      </c>
      <c r="U99" s="134">
        <v>0</v>
      </c>
      <c r="V99" s="134">
        <v>51</v>
      </c>
      <c r="W99" s="134">
        <v>0</v>
      </c>
      <c r="X99" s="134">
        <v>0</v>
      </c>
      <c r="Y99" s="134">
        <v>12</v>
      </c>
      <c r="Z99" s="134">
        <v>0</v>
      </c>
      <c r="AA99" s="134">
        <v>0</v>
      </c>
      <c r="AB99" s="134">
        <v>0</v>
      </c>
      <c r="AC99" s="134">
        <v>0</v>
      </c>
      <c r="AD99" s="134">
        <v>0</v>
      </c>
      <c r="AE99" s="134">
        <v>0</v>
      </c>
      <c r="AF99" s="134">
        <v>0</v>
      </c>
      <c r="AG99" s="134">
        <v>0</v>
      </c>
      <c r="AH99" s="134">
        <v>0</v>
      </c>
      <c r="AI99" s="134">
        <v>0</v>
      </c>
      <c r="AJ99" s="134">
        <v>0</v>
      </c>
      <c r="AK99" s="134">
        <v>0</v>
      </c>
      <c r="AL99" s="134">
        <v>0</v>
      </c>
      <c r="AM99" s="134">
        <v>0</v>
      </c>
      <c r="AN99" s="134">
        <v>0</v>
      </c>
      <c r="AO99" s="134">
        <v>0</v>
      </c>
      <c r="AP99" s="134">
        <v>0</v>
      </c>
    </row>
    <row r="100" spans="1:42" x14ac:dyDescent="0.25">
      <c r="A100" s="134">
        <v>0</v>
      </c>
      <c r="B100" s="134">
        <v>0</v>
      </c>
      <c r="C100" s="134">
        <v>0</v>
      </c>
      <c r="D100" s="134">
        <v>0</v>
      </c>
      <c r="E100" s="134">
        <v>0</v>
      </c>
      <c r="F100" s="134">
        <v>0</v>
      </c>
      <c r="G100" s="134">
        <v>0</v>
      </c>
      <c r="H100" s="134">
        <v>0</v>
      </c>
      <c r="I100" s="134">
        <v>0</v>
      </c>
      <c r="J100" s="134">
        <v>0</v>
      </c>
      <c r="K100" s="134">
        <v>0</v>
      </c>
      <c r="L100" s="134">
        <v>0</v>
      </c>
      <c r="M100" s="134">
        <v>0</v>
      </c>
      <c r="N100" s="134">
        <v>0</v>
      </c>
      <c r="O100" s="134">
        <v>0</v>
      </c>
      <c r="P100" s="134">
        <v>0</v>
      </c>
      <c r="Q100" s="134">
        <v>41</v>
      </c>
      <c r="R100" s="134">
        <v>0</v>
      </c>
      <c r="S100" s="134">
        <v>31</v>
      </c>
      <c r="T100" s="134">
        <v>0</v>
      </c>
      <c r="U100" s="134">
        <v>0</v>
      </c>
      <c r="V100" s="134">
        <v>41</v>
      </c>
      <c r="W100" s="134">
        <v>31</v>
      </c>
      <c r="X100" s="134">
        <v>13</v>
      </c>
      <c r="Y100" s="134">
        <v>0</v>
      </c>
      <c r="Z100" s="134">
        <v>0</v>
      </c>
      <c r="AA100" s="134">
        <v>0</v>
      </c>
      <c r="AB100" s="134">
        <v>0</v>
      </c>
      <c r="AC100" s="134">
        <v>0</v>
      </c>
      <c r="AD100" s="134">
        <v>0</v>
      </c>
      <c r="AE100" s="134">
        <v>0</v>
      </c>
      <c r="AF100" s="134">
        <v>0</v>
      </c>
      <c r="AG100" s="134">
        <v>0</v>
      </c>
      <c r="AH100" s="134">
        <v>0</v>
      </c>
      <c r="AI100" s="134">
        <v>0</v>
      </c>
      <c r="AJ100" s="134">
        <v>0</v>
      </c>
      <c r="AK100" s="134">
        <v>0</v>
      </c>
      <c r="AL100" s="134">
        <v>0</v>
      </c>
      <c r="AM100" s="134">
        <v>0</v>
      </c>
      <c r="AN100" s="134">
        <v>0</v>
      </c>
      <c r="AO100" s="134">
        <v>0</v>
      </c>
      <c r="AP100" s="134">
        <v>0</v>
      </c>
    </row>
    <row r="101" spans="1:42" x14ac:dyDescent="0.25">
      <c r="A101" s="134">
        <v>0</v>
      </c>
      <c r="B101" s="134">
        <v>0</v>
      </c>
      <c r="C101" s="134">
        <v>0</v>
      </c>
      <c r="D101" s="134">
        <v>0</v>
      </c>
      <c r="E101" s="134">
        <v>0</v>
      </c>
      <c r="F101" s="134">
        <v>0</v>
      </c>
      <c r="G101" s="134">
        <v>0</v>
      </c>
      <c r="H101" s="134">
        <v>0</v>
      </c>
      <c r="I101" s="134">
        <v>0</v>
      </c>
      <c r="J101" s="134">
        <v>0</v>
      </c>
      <c r="K101" s="134">
        <v>0</v>
      </c>
      <c r="L101" s="134">
        <v>0</v>
      </c>
      <c r="M101" s="134">
        <v>0</v>
      </c>
      <c r="N101" s="134">
        <v>0</v>
      </c>
      <c r="O101" s="134">
        <v>0</v>
      </c>
      <c r="P101" s="134">
        <v>0</v>
      </c>
      <c r="Q101" s="134">
        <v>0</v>
      </c>
      <c r="R101" s="134">
        <v>21</v>
      </c>
      <c r="S101" s="134">
        <v>0</v>
      </c>
      <c r="T101" s="134">
        <v>24</v>
      </c>
      <c r="U101" s="134">
        <v>32</v>
      </c>
      <c r="V101" s="134">
        <v>21</v>
      </c>
      <c r="W101" s="134">
        <v>0</v>
      </c>
      <c r="X101" s="134">
        <v>0</v>
      </c>
      <c r="Y101" s="134">
        <v>0</v>
      </c>
      <c r="Z101" s="134">
        <v>0</v>
      </c>
      <c r="AA101" s="134">
        <v>0</v>
      </c>
      <c r="AB101" s="134">
        <v>0</v>
      </c>
      <c r="AC101" s="134">
        <v>0</v>
      </c>
      <c r="AD101" s="134">
        <v>0</v>
      </c>
      <c r="AE101" s="134">
        <v>0</v>
      </c>
      <c r="AF101" s="134">
        <v>0</v>
      </c>
      <c r="AG101" s="134">
        <v>0</v>
      </c>
      <c r="AH101" s="134">
        <v>0</v>
      </c>
      <c r="AI101" s="134">
        <v>0</v>
      </c>
      <c r="AJ101" s="134">
        <v>0</v>
      </c>
      <c r="AK101" s="134">
        <v>0</v>
      </c>
      <c r="AL101" s="134">
        <v>0</v>
      </c>
      <c r="AM101" s="134">
        <v>0</v>
      </c>
      <c r="AN101" s="134">
        <v>0</v>
      </c>
      <c r="AO101" s="134">
        <v>0</v>
      </c>
      <c r="AP101" s="134">
        <v>0</v>
      </c>
    </row>
    <row r="102" spans="1:42" x14ac:dyDescent="0.25">
      <c r="A102" s="134">
        <v>0</v>
      </c>
      <c r="B102" s="134">
        <v>0</v>
      </c>
      <c r="C102" s="134">
        <v>0</v>
      </c>
      <c r="D102" s="134">
        <v>0</v>
      </c>
      <c r="E102" s="134">
        <v>0</v>
      </c>
      <c r="F102" s="134">
        <v>0</v>
      </c>
      <c r="G102" s="134">
        <v>0</v>
      </c>
      <c r="H102" s="134">
        <v>0</v>
      </c>
      <c r="I102" s="134">
        <v>0</v>
      </c>
      <c r="J102" s="134">
        <v>0</v>
      </c>
      <c r="K102" s="134">
        <v>0</v>
      </c>
      <c r="L102" s="134">
        <v>0</v>
      </c>
      <c r="M102" s="134">
        <v>0</v>
      </c>
      <c r="N102" s="134">
        <v>0</v>
      </c>
      <c r="O102" s="134">
        <v>0</v>
      </c>
      <c r="P102" s="134">
        <v>0</v>
      </c>
      <c r="Q102" s="134">
        <v>12</v>
      </c>
      <c r="R102" s="134">
        <v>0</v>
      </c>
      <c r="S102" s="134">
        <v>21</v>
      </c>
      <c r="T102" s="134">
        <v>0</v>
      </c>
      <c r="U102" s="134">
        <v>52</v>
      </c>
      <c r="V102" s="134">
        <v>0</v>
      </c>
      <c r="W102" s="134">
        <v>0</v>
      </c>
      <c r="X102" s="134">
        <v>0</v>
      </c>
      <c r="Y102" s="134">
        <v>12</v>
      </c>
      <c r="Z102" s="134">
        <v>0</v>
      </c>
      <c r="AA102" s="134">
        <v>0</v>
      </c>
      <c r="AB102" s="134">
        <v>0</v>
      </c>
      <c r="AC102" s="134">
        <v>0</v>
      </c>
      <c r="AD102" s="134">
        <v>0</v>
      </c>
      <c r="AE102" s="134">
        <v>0</v>
      </c>
      <c r="AF102" s="134">
        <v>0</v>
      </c>
      <c r="AG102" s="134">
        <v>0</v>
      </c>
      <c r="AH102" s="134">
        <v>0</v>
      </c>
      <c r="AI102" s="134">
        <v>0</v>
      </c>
      <c r="AJ102" s="134">
        <v>0</v>
      </c>
      <c r="AK102" s="134">
        <v>0</v>
      </c>
      <c r="AL102" s="134">
        <v>0</v>
      </c>
      <c r="AM102" s="134">
        <v>0</v>
      </c>
      <c r="AN102" s="134">
        <v>0</v>
      </c>
      <c r="AO102" s="134">
        <v>0</v>
      </c>
      <c r="AP102" s="134">
        <v>0</v>
      </c>
    </row>
    <row r="103" spans="1:42" x14ac:dyDescent="0.25">
      <c r="A103" s="134">
        <v>0</v>
      </c>
      <c r="B103" s="134">
        <v>0</v>
      </c>
      <c r="C103" s="134">
        <v>0</v>
      </c>
      <c r="D103" s="134">
        <v>0</v>
      </c>
      <c r="E103" s="134">
        <v>0</v>
      </c>
      <c r="F103" s="134">
        <v>0</v>
      </c>
      <c r="G103" s="134">
        <v>0</v>
      </c>
      <c r="H103" s="134">
        <v>0</v>
      </c>
      <c r="I103" s="134">
        <v>0</v>
      </c>
      <c r="J103" s="134">
        <v>0</v>
      </c>
      <c r="K103" s="134">
        <v>0</v>
      </c>
      <c r="L103" s="134">
        <v>0</v>
      </c>
      <c r="M103" s="134">
        <v>0</v>
      </c>
      <c r="N103" s="134">
        <v>0</v>
      </c>
      <c r="O103" s="134">
        <v>0</v>
      </c>
      <c r="P103" s="134">
        <v>0</v>
      </c>
      <c r="Q103" s="134">
        <v>0</v>
      </c>
      <c r="R103" s="134">
        <v>0</v>
      </c>
      <c r="S103" s="134">
        <v>0</v>
      </c>
      <c r="T103" s="134">
        <v>13</v>
      </c>
      <c r="U103" s="134">
        <v>23</v>
      </c>
      <c r="V103" s="134">
        <v>0</v>
      </c>
      <c r="W103" s="134">
        <v>61</v>
      </c>
      <c r="X103" s="134">
        <v>0</v>
      </c>
      <c r="Y103" s="134">
        <v>0</v>
      </c>
      <c r="Z103" s="134">
        <v>0</v>
      </c>
      <c r="AA103" s="134">
        <v>0</v>
      </c>
      <c r="AB103" s="134">
        <v>0</v>
      </c>
      <c r="AC103" s="134">
        <v>0</v>
      </c>
      <c r="AD103" s="134">
        <v>0</v>
      </c>
      <c r="AE103" s="134">
        <v>0</v>
      </c>
      <c r="AF103" s="134">
        <v>0</v>
      </c>
      <c r="AG103" s="134">
        <v>0</v>
      </c>
      <c r="AH103" s="134">
        <v>0</v>
      </c>
      <c r="AI103" s="134">
        <v>0</v>
      </c>
      <c r="AJ103" s="134">
        <v>0</v>
      </c>
      <c r="AK103" s="134">
        <v>0</v>
      </c>
      <c r="AL103" s="134">
        <v>0</v>
      </c>
      <c r="AM103" s="134">
        <v>0</v>
      </c>
      <c r="AN103" s="134">
        <v>0</v>
      </c>
      <c r="AO103" s="134">
        <v>0</v>
      </c>
      <c r="AP103" s="134">
        <v>0</v>
      </c>
    </row>
    <row r="104" spans="1:42" x14ac:dyDescent="0.25">
      <c r="A104" s="134">
        <v>0</v>
      </c>
      <c r="B104" s="134">
        <v>0</v>
      </c>
      <c r="C104" s="134">
        <v>0</v>
      </c>
      <c r="D104" s="134">
        <v>0</v>
      </c>
      <c r="E104" s="134">
        <v>0</v>
      </c>
      <c r="F104" s="134">
        <v>0</v>
      </c>
      <c r="G104" s="134">
        <v>0</v>
      </c>
      <c r="H104" s="134">
        <v>0</v>
      </c>
      <c r="I104" s="134">
        <v>0</v>
      </c>
      <c r="J104" s="134">
        <v>0</v>
      </c>
      <c r="K104" s="134">
        <v>0</v>
      </c>
      <c r="L104" s="134">
        <v>0</v>
      </c>
      <c r="M104" s="134">
        <v>0</v>
      </c>
      <c r="N104" s="134">
        <v>0</v>
      </c>
      <c r="O104" s="134">
        <v>0</v>
      </c>
      <c r="P104" s="134">
        <v>0</v>
      </c>
      <c r="Q104" s="134">
        <v>0</v>
      </c>
      <c r="R104" s="134">
        <v>0</v>
      </c>
      <c r="S104" s="134">
        <v>0</v>
      </c>
      <c r="T104" s="134">
        <v>0</v>
      </c>
      <c r="U104" s="134">
        <v>0</v>
      </c>
      <c r="V104" s="134">
        <v>0</v>
      </c>
      <c r="W104" s="134">
        <v>0</v>
      </c>
      <c r="X104" s="134">
        <v>0</v>
      </c>
      <c r="Y104" s="134">
        <v>0</v>
      </c>
      <c r="Z104" s="134">
        <v>0</v>
      </c>
      <c r="AA104" s="134">
        <v>0</v>
      </c>
      <c r="AB104" s="134">
        <v>0</v>
      </c>
      <c r="AC104" s="134">
        <v>0</v>
      </c>
      <c r="AD104" s="134">
        <v>0</v>
      </c>
      <c r="AE104" s="134">
        <v>0</v>
      </c>
      <c r="AF104" s="134">
        <v>0</v>
      </c>
      <c r="AG104" s="134">
        <v>0</v>
      </c>
      <c r="AH104" s="134">
        <v>0</v>
      </c>
      <c r="AI104" s="134">
        <v>0</v>
      </c>
      <c r="AJ104" s="134">
        <v>0</v>
      </c>
      <c r="AK104" s="134">
        <v>0</v>
      </c>
      <c r="AL104" s="134">
        <v>0</v>
      </c>
      <c r="AM104" s="134">
        <v>0</v>
      </c>
      <c r="AN104" s="134">
        <v>0</v>
      </c>
      <c r="AO104" s="134">
        <v>0</v>
      </c>
      <c r="AP104" s="134">
        <v>0</v>
      </c>
    </row>
    <row r="105" spans="1:42" ht="15.75" thickBot="1" x14ac:dyDescent="0.3"/>
    <row r="106" spans="1:42" x14ac:dyDescent="0.25">
      <c r="A106" s="113">
        <v>6</v>
      </c>
      <c r="B106" s="114">
        <v>6</v>
      </c>
      <c r="C106" s="114">
        <v>6</v>
      </c>
      <c r="D106" s="114">
        <v>6</v>
      </c>
      <c r="E106" s="114">
        <v>6</v>
      </c>
      <c r="F106" s="114">
        <v>6</v>
      </c>
      <c r="G106" s="114">
        <v>6</v>
      </c>
      <c r="H106" s="114">
        <v>6</v>
      </c>
      <c r="I106" s="114">
        <v>6</v>
      </c>
      <c r="J106" s="114">
        <v>6</v>
      </c>
      <c r="K106" s="114">
        <v>6</v>
      </c>
      <c r="L106" s="114">
        <v>6</v>
      </c>
      <c r="M106" s="114">
        <v>6</v>
      </c>
      <c r="N106" s="115">
        <v>6</v>
      </c>
      <c r="O106" s="115">
        <v>6</v>
      </c>
      <c r="P106" s="115">
        <v>6</v>
      </c>
      <c r="Q106" s="115">
        <v>6</v>
      </c>
      <c r="R106" s="115">
        <v>6</v>
      </c>
      <c r="S106" s="115">
        <v>6</v>
      </c>
      <c r="T106" s="115">
        <v>6</v>
      </c>
      <c r="U106" s="115">
        <v>6</v>
      </c>
      <c r="V106" s="115">
        <v>5</v>
      </c>
      <c r="W106" s="115">
        <v>5</v>
      </c>
      <c r="X106" s="115">
        <v>5</v>
      </c>
      <c r="Y106" s="115">
        <v>5</v>
      </c>
      <c r="Z106" s="115">
        <v>5</v>
      </c>
      <c r="AA106" s="116">
        <v>6</v>
      </c>
      <c r="AB106" s="116">
        <v>6</v>
      </c>
      <c r="AC106" s="116">
        <v>6</v>
      </c>
      <c r="AD106" s="116">
        <v>6</v>
      </c>
      <c r="AE106" s="116">
        <v>6</v>
      </c>
      <c r="AF106" s="116">
        <v>6</v>
      </c>
      <c r="AG106" s="116">
        <v>6</v>
      </c>
      <c r="AH106" s="116">
        <v>6</v>
      </c>
      <c r="AI106" s="116">
        <v>6</v>
      </c>
      <c r="AJ106" s="116">
        <v>6</v>
      </c>
      <c r="AK106" s="116">
        <v>6</v>
      </c>
      <c r="AL106" s="116">
        <v>6</v>
      </c>
      <c r="AM106" s="116">
        <v>6</v>
      </c>
      <c r="AN106" s="116">
        <v>6</v>
      </c>
      <c r="AO106" s="116">
        <v>6</v>
      </c>
      <c r="AP106" s="117">
        <v>6</v>
      </c>
    </row>
    <row r="107" spans="1:42" x14ac:dyDescent="0.25">
      <c r="A107" s="118">
        <v>6</v>
      </c>
      <c r="B107" s="119">
        <v>6</v>
      </c>
      <c r="C107" s="119">
        <v>6</v>
      </c>
      <c r="D107" s="119">
        <v>6</v>
      </c>
      <c r="E107" s="119">
        <v>6</v>
      </c>
      <c r="F107" s="119">
        <v>6</v>
      </c>
      <c r="G107" s="119">
        <v>6</v>
      </c>
      <c r="H107" s="119">
        <v>6</v>
      </c>
      <c r="I107" s="119">
        <v>6</v>
      </c>
      <c r="J107" s="119">
        <v>6</v>
      </c>
      <c r="K107" s="119">
        <v>5</v>
      </c>
      <c r="L107" s="119">
        <v>5</v>
      </c>
      <c r="M107" s="119">
        <v>5</v>
      </c>
      <c r="N107" s="109">
        <v>5</v>
      </c>
      <c r="O107" s="109">
        <v>5</v>
      </c>
      <c r="P107" s="109">
        <v>5</v>
      </c>
      <c r="Q107" s="109">
        <v>6</v>
      </c>
      <c r="R107" s="109">
        <v>6</v>
      </c>
      <c r="S107" s="109">
        <v>6</v>
      </c>
      <c r="T107" s="109">
        <v>6</v>
      </c>
      <c r="U107" s="109">
        <v>6</v>
      </c>
      <c r="V107" s="109">
        <v>5</v>
      </c>
      <c r="W107" s="109">
        <v>5</v>
      </c>
      <c r="X107" s="109">
        <v>5</v>
      </c>
      <c r="Y107" s="109">
        <v>5</v>
      </c>
      <c r="Z107" s="109">
        <v>5</v>
      </c>
      <c r="AA107" s="120">
        <v>5</v>
      </c>
      <c r="AB107" s="120">
        <v>5</v>
      </c>
      <c r="AC107" s="120">
        <v>5</v>
      </c>
      <c r="AD107" s="120">
        <v>6</v>
      </c>
      <c r="AE107" s="120">
        <v>6</v>
      </c>
      <c r="AF107" s="120">
        <v>6</v>
      </c>
      <c r="AG107" s="120">
        <v>6</v>
      </c>
      <c r="AH107" s="120">
        <v>6</v>
      </c>
      <c r="AI107" s="120">
        <v>6</v>
      </c>
      <c r="AJ107" s="120">
        <v>6</v>
      </c>
      <c r="AK107" s="120">
        <v>6</v>
      </c>
      <c r="AL107" s="120">
        <v>6</v>
      </c>
      <c r="AM107" s="120">
        <v>6</v>
      </c>
      <c r="AN107" s="120">
        <v>6</v>
      </c>
      <c r="AO107" s="120">
        <v>6</v>
      </c>
      <c r="AP107" s="121">
        <v>6</v>
      </c>
    </row>
    <row r="108" spans="1:42" x14ac:dyDescent="0.25">
      <c r="A108" s="118">
        <v>6</v>
      </c>
      <c r="B108" s="119">
        <v>6</v>
      </c>
      <c r="C108" s="119">
        <v>6</v>
      </c>
      <c r="D108" s="119">
        <v>6</v>
      </c>
      <c r="E108" s="119">
        <v>6</v>
      </c>
      <c r="F108" s="119">
        <v>6</v>
      </c>
      <c r="G108" s="119">
        <v>6</v>
      </c>
      <c r="H108" s="119">
        <v>6</v>
      </c>
      <c r="I108" s="119">
        <v>6</v>
      </c>
      <c r="J108" s="119">
        <v>6</v>
      </c>
      <c r="K108" s="119">
        <v>6</v>
      </c>
      <c r="L108" s="119">
        <v>6</v>
      </c>
      <c r="M108" s="119">
        <v>5</v>
      </c>
      <c r="N108" s="109">
        <v>5</v>
      </c>
      <c r="O108" s="109">
        <v>4</v>
      </c>
      <c r="P108" s="109">
        <v>4</v>
      </c>
      <c r="Q108" s="109">
        <v>4</v>
      </c>
      <c r="R108" s="109">
        <v>4</v>
      </c>
      <c r="S108" s="109">
        <v>4</v>
      </c>
      <c r="T108" s="109">
        <v>4</v>
      </c>
      <c r="U108" s="109">
        <v>5</v>
      </c>
      <c r="V108" s="109">
        <v>5</v>
      </c>
      <c r="W108" s="109">
        <v>5</v>
      </c>
      <c r="X108" s="109">
        <v>5</v>
      </c>
      <c r="Y108" s="109">
        <v>5</v>
      </c>
      <c r="Z108" s="109">
        <v>5</v>
      </c>
      <c r="AA108" s="120">
        <v>6</v>
      </c>
      <c r="AB108" s="120">
        <v>6</v>
      </c>
      <c r="AC108" s="120">
        <v>6</v>
      </c>
      <c r="AD108" s="120">
        <v>6</v>
      </c>
      <c r="AE108" s="120">
        <v>6</v>
      </c>
      <c r="AF108" s="120">
        <v>6</v>
      </c>
      <c r="AG108" s="120">
        <v>6</v>
      </c>
      <c r="AH108" s="120">
        <v>6</v>
      </c>
      <c r="AI108" s="120">
        <v>6</v>
      </c>
      <c r="AJ108" s="120">
        <v>6</v>
      </c>
      <c r="AK108" s="120">
        <v>6</v>
      </c>
      <c r="AL108" s="120">
        <v>6</v>
      </c>
      <c r="AM108" s="120">
        <v>6</v>
      </c>
      <c r="AN108" s="120">
        <v>6</v>
      </c>
      <c r="AO108" s="120">
        <v>6</v>
      </c>
      <c r="AP108" s="121">
        <v>6</v>
      </c>
    </row>
    <row r="109" spans="1:42" x14ac:dyDescent="0.25">
      <c r="A109" s="118">
        <v>6</v>
      </c>
      <c r="B109" s="119">
        <v>6</v>
      </c>
      <c r="C109" s="119">
        <v>6</v>
      </c>
      <c r="D109" s="119">
        <v>6</v>
      </c>
      <c r="E109" s="119">
        <v>6</v>
      </c>
      <c r="F109" s="119">
        <v>5</v>
      </c>
      <c r="G109" s="119">
        <v>5</v>
      </c>
      <c r="H109" s="119">
        <v>5</v>
      </c>
      <c r="I109" s="119">
        <v>5</v>
      </c>
      <c r="J109" s="119">
        <v>5</v>
      </c>
      <c r="K109" s="119">
        <v>5</v>
      </c>
      <c r="L109" s="119">
        <v>5</v>
      </c>
      <c r="M109" s="119">
        <v>5</v>
      </c>
      <c r="N109" s="109">
        <v>5</v>
      </c>
      <c r="O109" s="109">
        <v>5</v>
      </c>
      <c r="P109" s="109">
        <v>5</v>
      </c>
      <c r="Q109" s="109">
        <v>5</v>
      </c>
      <c r="R109" s="109">
        <v>4</v>
      </c>
      <c r="S109" s="109">
        <v>4</v>
      </c>
      <c r="T109" s="109">
        <v>4</v>
      </c>
      <c r="U109" s="109">
        <v>4</v>
      </c>
      <c r="V109" s="109">
        <v>4</v>
      </c>
      <c r="W109" s="109">
        <v>4</v>
      </c>
      <c r="X109" s="109">
        <v>4</v>
      </c>
      <c r="Y109" s="109">
        <v>4</v>
      </c>
      <c r="Z109" s="109">
        <v>4</v>
      </c>
      <c r="AA109" s="120">
        <v>5</v>
      </c>
      <c r="AB109" s="120">
        <v>5</v>
      </c>
      <c r="AC109" s="120">
        <v>5</v>
      </c>
      <c r="AD109" s="120">
        <v>5</v>
      </c>
      <c r="AE109" s="120">
        <v>5</v>
      </c>
      <c r="AF109" s="120">
        <v>5</v>
      </c>
      <c r="AG109" s="120">
        <v>5</v>
      </c>
      <c r="AH109" s="120">
        <v>5</v>
      </c>
      <c r="AI109" s="120">
        <v>5</v>
      </c>
      <c r="AJ109" s="120">
        <v>6</v>
      </c>
      <c r="AK109" s="120">
        <v>6</v>
      </c>
      <c r="AL109" s="120">
        <v>6</v>
      </c>
      <c r="AM109" s="120">
        <v>6</v>
      </c>
      <c r="AN109" s="120">
        <v>6</v>
      </c>
      <c r="AO109" s="120">
        <v>6</v>
      </c>
      <c r="AP109" s="121">
        <v>6</v>
      </c>
    </row>
    <row r="110" spans="1:42" x14ac:dyDescent="0.25">
      <c r="A110" s="118">
        <v>6</v>
      </c>
      <c r="B110" s="119">
        <v>6</v>
      </c>
      <c r="C110" s="119">
        <v>6</v>
      </c>
      <c r="D110" s="119">
        <v>6</v>
      </c>
      <c r="E110" s="119">
        <v>6</v>
      </c>
      <c r="F110" s="119">
        <v>5</v>
      </c>
      <c r="G110" s="119">
        <v>6</v>
      </c>
      <c r="H110" s="119">
        <v>6</v>
      </c>
      <c r="I110" s="119">
        <v>6</v>
      </c>
      <c r="J110" s="119">
        <v>6</v>
      </c>
      <c r="K110" s="119">
        <v>5</v>
      </c>
      <c r="L110" s="119">
        <v>5</v>
      </c>
      <c r="M110" s="119">
        <v>5</v>
      </c>
      <c r="N110" s="109">
        <v>5</v>
      </c>
      <c r="O110" s="109">
        <v>5</v>
      </c>
      <c r="P110" s="109">
        <v>5</v>
      </c>
      <c r="Q110" s="109">
        <v>4</v>
      </c>
      <c r="R110" s="109">
        <v>2</v>
      </c>
      <c r="S110" s="109">
        <v>3</v>
      </c>
      <c r="T110" s="109">
        <v>3</v>
      </c>
      <c r="U110" s="109">
        <v>3</v>
      </c>
      <c r="V110" s="109">
        <v>2</v>
      </c>
      <c r="W110" s="109">
        <v>3</v>
      </c>
      <c r="X110" s="109">
        <v>3</v>
      </c>
      <c r="Y110" s="109">
        <v>4</v>
      </c>
      <c r="Z110" s="109">
        <v>5</v>
      </c>
      <c r="AA110" s="120">
        <v>5</v>
      </c>
      <c r="AB110" s="120">
        <v>5</v>
      </c>
      <c r="AC110" s="120">
        <v>5</v>
      </c>
      <c r="AD110" s="120">
        <v>5</v>
      </c>
      <c r="AE110" s="120">
        <v>5</v>
      </c>
      <c r="AF110" s="120">
        <v>5</v>
      </c>
      <c r="AG110" s="120">
        <v>5</v>
      </c>
      <c r="AH110" s="120">
        <v>5</v>
      </c>
      <c r="AI110" s="120">
        <v>5</v>
      </c>
      <c r="AJ110" s="120">
        <v>6</v>
      </c>
      <c r="AK110" s="120">
        <v>6</v>
      </c>
      <c r="AL110" s="120">
        <v>6</v>
      </c>
      <c r="AM110" s="120">
        <v>6</v>
      </c>
      <c r="AN110" s="120">
        <v>6</v>
      </c>
      <c r="AO110" s="120">
        <v>6</v>
      </c>
      <c r="AP110" s="121">
        <v>6</v>
      </c>
    </row>
    <row r="111" spans="1:42" x14ac:dyDescent="0.25">
      <c r="A111" s="118">
        <v>6</v>
      </c>
      <c r="B111" s="119">
        <v>6</v>
      </c>
      <c r="C111" s="119">
        <v>6</v>
      </c>
      <c r="D111" s="119">
        <v>6</v>
      </c>
      <c r="E111" s="119">
        <v>6</v>
      </c>
      <c r="F111" s="119">
        <v>5</v>
      </c>
      <c r="G111" s="119">
        <v>5</v>
      </c>
      <c r="H111" s="119">
        <v>5</v>
      </c>
      <c r="I111" s="119">
        <v>5</v>
      </c>
      <c r="J111" s="119">
        <v>5</v>
      </c>
      <c r="K111" s="119">
        <v>5</v>
      </c>
      <c r="L111" s="119">
        <v>5</v>
      </c>
      <c r="M111" s="119">
        <v>5</v>
      </c>
      <c r="N111" s="122">
        <v>5</v>
      </c>
      <c r="O111" s="122">
        <v>5</v>
      </c>
      <c r="P111" s="122">
        <v>4</v>
      </c>
      <c r="Q111" s="122">
        <v>3</v>
      </c>
      <c r="R111" s="122">
        <v>2</v>
      </c>
      <c r="S111" s="122">
        <v>2</v>
      </c>
      <c r="T111" s="122">
        <v>2</v>
      </c>
      <c r="U111" s="122">
        <v>3</v>
      </c>
      <c r="V111" s="122">
        <v>2</v>
      </c>
      <c r="W111" s="122">
        <v>2</v>
      </c>
      <c r="X111" s="122">
        <v>3</v>
      </c>
      <c r="Y111" s="122">
        <v>4</v>
      </c>
      <c r="Z111" s="122">
        <v>5</v>
      </c>
      <c r="AA111" s="120">
        <v>4</v>
      </c>
      <c r="AB111" s="120">
        <v>5</v>
      </c>
      <c r="AC111" s="120">
        <v>5</v>
      </c>
      <c r="AD111" s="120">
        <v>5</v>
      </c>
      <c r="AE111" s="120">
        <v>5</v>
      </c>
      <c r="AF111" s="120">
        <v>5</v>
      </c>
      <c r="AG111" s="120">
        <v>5</v>
      </c>
      <c r="AH111" s="120">
        <v>5</v>
      </c>
      <c r="AI111" s="120">
        <v>5</v>
      </c>
      <c r="AJ111" s="120">
        <v>6</v>
      </c>
      <c r="AK111" s="120">
        <v>6</v>
      </c>
      <c r="AL111" s="120">
        <v>6</v>
      </c>
      <c r="AM111" s="120">
        <v>6</v>
      </c>
      <c r="AN111" s="120">
        <v>6</v>
      </c>
      <c r="AO111" s="120">
        <v>6</v>
      </c>
      <c r="AP111" s="121">
        <v>6</v>
      </c>
    </row>
    <row r="112" spans="1:42" ht="15.75" thickBot="1" x14ac:dyDescent="0.3">
      <c r="A112" s="123">
        <v>6</v>
      </c>
      <c r="B112" s="124">
        <v>6</v>
      </c>
      <c r="C112" s="124">
        <v>6</v>
      </c>
      <c r="D112" s="124">
        <v>6</v>
      </c>
      <c r="E112" s="124">
        <v>6</v>
      </c>
      <c r="F112" s="124">
        <v>5</v>
      </c>
      <c r="G112" s="124">
        <v>5</v>
      </c>
      <c r="H112" s="124">
        <v>5</v>
      </c>
      <c r="I112" s="124">
        <v>5</v>
      </c>
      <c r="J112" s="124">
        <v>5</v>
      </c>
      <c r="K112" s="124">
        <v>5</v>
      </c>
      <c r="L112" s="124">
        <v>5</v>
      </c>
      <c r="M112" s="124">
        <v>5</v>
      </c>
      <c r="N112" s="122">
        <v>4</v>
      </c>
      <c r="O112" s="122">
        <v>4</v>
      </c>
      <c r="P112" s="122">
        <v>4</v>
      </c>
      <c r="Q112" s="122">
        <v>3</v>
      </c>
      <c r="R112" s="122">
        <v>2</v>
      </c>
      <c r="S112" s="122">
        <v>1</v>
      </c>
      <c r="T112" s="122">
        <v>2</v>
      </c>
      <c r="U112" s="122">
        <v>1</v>
      </c>
      <c r="V112" s="122">
        <v>1</v>
      </c>
      <c r="W112" s="122">
        <v>1</v>
      </c>
      <c r="X112" s="122">
        <v>2</v>
      </c>
      <c r="Y112" s="122">
        <v>2</v>
      </c>
      <c r="Z112" s="122">
        <v>3</v>
      </c>
      <c r="AA112" s="120">
        <v>4</v>
      </c>
      <c r="AB112" s="120">
        <v>4</v>
      </c>
      <c r="AC112" s="120">
        <v>5</v>
      </c>
      <c r="AD112" s="120">
        <v>4</v>
      </c>
      <c r="AE112" s="120">
        <v>5</v>
      </c>
      <c r="AF112" s="120">
        <v>5</v>
      </c>
      <c r="AG112" s="120">
        <v>5</v>
      </c>
      <c r="AH112" s="120">
        <v>5</v>
      </c>
      <c r="AI112" s="120">
        <v>5</v>
      </c>
      <c r="AJ112" s="120">
        <v>6</v>
      </c>
      <c r="AK112" s="120">
        <v>6</v>
      </c>
      <c r="AL112" s="120">
        <v>6</v>
      </c>
      <c r="AM112" s="120">
        <v>6</v>
      </c>
      <c r="AN112" s="120">
        <v>6</v>
      </c>
      <c r="AO112" s="120">
        <v>6</v>
      </c>
      <c r="AP112" s="121">
        <v>6</v>
      </c>
    </row>
    <row r="113" spans="1:42" ht="15.75" thickBot="1" x14ac:dyDescent="0.3">
      <c r="A113" s="123">
        <v>6</v>
      </c>
      <c r="B113" s="124">
        <v>6</v>
      </c>
      <c r="C113" s="124">
        <v>6</v>
      </c>
      <c r="D113" s="124">
        <v>6</v>
      </c>
      <c r="E113" s="124">
        <v>6</v>
      </c>
      <c r="F113" s="124">
        <v>5</v>
      </c>
      <c r="G113" s="124">
        <v>6</v>
      </c>
      <c r="H113" s="124">
        <v>6</v>
      </c>
      <c r="I113" s="124">
        <v>6</v>
      </c>
      <c r="J113" s="124">
        <v>6</v>
      </c>
      <c r="K113" s="124">
        <v>5</v>
      </c>
      <c r="L113" s="124">
        <v>5</v>
      </c>
      <c r="M113" s="124">
        <v>5</v>
      </c>
      <c r="N113" s="122">
        <v>4</v>
      </c>
      <c r="O113" s="122">
        <v>4</v>
      </c>
      <c r="P113" s="122">
        <v>3</v>
      </c>
      <c r="Q113" s="122">
        <v>3</v>
      </c>
      <c r="R113" s="122">
        <v>2</v>
      </c>
      <c r="S113" s="122">
        <v>1</v>
      </c>
      <c r="T113" s="122">
        <v>1</v>
      </c>
      <c r="U113" s="125">
        <v>1</v>
      </c>
      <c r="V113" s="122">
        <v>2</v>
      </c>
      <c r="W113" s="122">
        <v>2</v>
      </c>
      <c r="X113" s="122">
        <v>2</v>
      </c>
      <c r="Y113" s="122">
        <v>3</v>
      </c>
      <c r="Z113" s="122">
        <v>3</v>
      </c>
      <c r="AA113" s="120">
        <v>4</v>
      </c>
      <c r="AB113" s="120">
        <v>4</v>
      </c>
      <c r="AC113" s="120">
        <v>4</v>
      </c>
      <c r="AD113" s="120">
        <v>6</v>
      </c>
      <c r="AE113" s="120">
        <v>6</v>
      </c>
      <c r="AF113" s="120">
        <v>6</v>
      </c>
      <c r="AG113" s="120">
        <v>6</v>
      </c>
      <c r="AH113" s="120">
        <v>5</v>
      </c>
      <c r="AI113" s="120">
        <v>5</v>
      </c>
      <c r="AJ113" s="120">
        <v>5</v>
      </c>
      <c r="AK113" s="120">
        <v>5</v>
      </c>
      <c r="AL113" s="120">
        <v>6</v>
      </c>
      <c r="AM113" s="120">
        <v>6</v>
      </c>
      <c r="AN113" s="120">
        <v>6</v>
      </c>
      <c r="AO113" s="120">
        <v>6</v>
      </c>
      <c r="AP113" s="121">
        <v>6</v>
      </c>
    </row>
    <row r="114" spans="1:42" x14ac:dyDescent="0.25">
      <c r="A114" s="123">
        <v>6</v>
      </c>
      <c r="B114" s="124">
        <v>6</v>
      </c>
      <c r="C114" s="124">
        <v>6</v>
      </c>
      <c r="D114" s="124">
        <v>6</v>
      </c>
      <c r="E114" s="124">
        <v>6</v>
      </c>
      <c r="F114" s="124">
        <v>5</v>
      </c>
      <c r="G114" s="124">
        <v>6</v>
      </c>
      <c r="H114" s="124">
        <v>6</v>
      </c>
      <c r="I114" s="124">
        <v>6</v>
      </c>
      <c r="J114" s="124">
        <v>6</v>
      </c>
      <c r="K114" s="124">
        <v>5</v>
      </c>
      <c r="L114" s="124">
        <v>5</v>
      </c>
      <c r="M114" s="124">
        <v>5</v>
      </c>
      <c r="N114" s="126">
        <v>4</v>
      </c>
      <c r="O114" s="126">
        <v>4</v>
      </c>
      <c r="P114" s="126">
        <v>4</v>
      </c>
      <c r="Q114" s="126">
        <v>2</v>
      </c>
      <c r="R114" s="124">
        <v>2</v>
      </c>
      <c r="S114" s="124">
        <v>2</v>
      </c>
      <c r="T114" s="124">
        <v>2</v>
      </c>
      <c r="U114" s="124">
        <v>3</v>
      </c>
      <c r="V114" s="124">
        <v>3</v>
      </c>
      <c r="W114" s="127">
        <v>1</v>
      </c>
      <c r="X114" s="127">
        <v>1</v>
      </c>
      <c r="Y114" s="127">
        <v>1</v>
      </c>
      <c r="Z114" s="127">
        <v>1</v>
      </c>
      <c r="AA114" s="124">
        <v>4</v>
      </c>
      <c r="AB114" s="124">
        <v>4</v>
      </c>
      <c r="AC114" s="124">
        <v>4</v>
      </c>
      <c r="AD114" s="124">
        <v>4</v>
      </c>
      <c r="AE114" s="124">
        <v>4</v>
      </c>
      <c r="AF114" s="124">
        <v>4</v>
      </c>
      <c r="AG114" s="124">
        <v>4</v>
      </c>
      <c r="AH114" s="124">
        <v>5</v>
      </c>
      <c r="AI114" s="124">
        <v>5</v>
      </c>
      <c r="AJ114" s="124">
        <v>5</v>
      </c>
      <c r="AK114" s="124">
        <v>5</v>
      </c>
      <c r="AL114" s="124">
        <v>5</v>
      </c>
      <c r="AM114" s="124">
        <v>5</v>
      </c>
      <c r="AN114" s="124">
        <v>5</v>
      </c>
      <c r="AO114" s="124">
        <v>5</v>
      </c>
      <c r="AP114" s="128">
        <v>5</v>
      </c>
    </row>
    <row r="115" spans="1:42" ht="15.75" thickBot="1" x14ac:dyDescent="0.3">
      <c r="A115" s="129">
        <v>6</v>
      </c>
      <c r="B115" s="130">
        <v>6</v>
      </c>
      <c r="C115" s="130">
        <v>6</v>
      </c>
      <c r="D115" s="130">
        <v>6</v>
      </c>
      <c r="E115" s="130">
        <v>6</v>
      </c>
      <c r="F115" s="130">
        <v>5</v>
      </c>
      <c r="G115" s="130">
        <v>6</v>
      </c>
      <c r="H115" s="130">
        <v>6</v>
      </c>
      <c r="I115" s="130">
        <v>6</v>
      </c>
      <c r="J115" s="130">
        <v>6</v>
      </c>
      <c r="K115" s="130">
        <v>5</v>
      </c>
      <c r="L115" s="130">
        <v>5</v>
      </c>
      <c r="M115" s="130">
        <v>5</v>
      </c>
      <c r="N115" s="131">
        <v>5</v>
      </c>
      <c r="O115" s="131">
        <v>5</v>
      </c>
      <c r="P115" s="131">
        <v>5</v>
      </c>
      <c r="Q115" s="131">
        <v>5</v>
      </c>
      <c r="R115" s="130">
        <v>5</v>
      </c>
      <c r="S115" s="130">
        <v>5</v>
      </c>
      <c r="T115" s="130">
        <v>5</v>
      </c>
      <c r="U115" s="130">
        <v>5</v>
      </c>
      <c r="V115" s="130">
        <v>5</v>
      </c>
      <c r="W115" s="132">
        <v>2</v>
      </c>
      <c r="X115" s="132">
        <v>2</v>
      </c>
      <c r="Y115" s="132">
        <v>2</v>
      </c>
      <c r="Z115" s="132">
        <v>2</v>
      </c>
      <c r="AA115" s="130">
        <v>6</v>
      </c>
      <c r="AB115" s="130">
        <v>6</v>
      </c>
      <c r="AC115" s="130">
        <v>6</v>
      </c>
      <c r="AD115" s="130">
        <v>6</v>
      </c>
      <c r="AE115" s="130">
        <v>6</v>
      </c>
      <c r="AF115" s="130">
        <v>6</v>
      </c>
      <c r="AG115" s="130">
        <v>6</v>
      </c>
      <c r="AH115" s="130">
        <v>6</v>
      </c>
      <c r="AI115" s="130">
        <v>6</v>
      </c>
      <c r="AJ115" s="130">
        <v>6</v>
      </c>
      <c r="AK115" s="130">
        <v>6</v>
      </c>
      <c r="AL115" s="130">
        <v>6</v>
      </c>
      <c r="AM115" s="130">
        <v>6</v>
      </c>
      <c r="AN115" s="130">
        <v>6</v>
      </c>
      <c r="AO115" s="130">
        <v>6</v>
      </c>
      <c r="AP115" s="133">
        <v>6</v>
      </c>
    </row>
    <row r="116" spans="1:42" x14ac:dyDescent="0.25">
      <c r="A116" s="134">
        <v>0</v>
      </c>
      <c r="B116" s="134">
        <v>0</v>
      </c>
      <c r="C116" s="134">
        <v>0</v>
      </c>
      <c r="D116" s="134">
        <v>0</v>
      </c>
      <c r="E116" s="134">
        <v>0</v>
      </c>
      <c r="F116" s="134">
        <v>0</v>
      </c>
      <c r="G116" s="134">
        <v>0</v>
      </c>
      <c r="H116" s="134">
        <v>0</v>
      </c>
      <c r="I116" s="134">
        <v>0</v>
      </c>
      <c r="J116" s="134">
        <v>0</v>
      </c>
      <c r="K116" s="134">
        <v>0</v>
      </c>
      <c r="L116" s="134">
        <v>0</v>
      </c>
      <c r="M116" s="134">
        <v>0</v>
      </c>
      <c r="N116" s="134">
        <v>0</v>
      </c>
      <c r="O116" s="134">
        <v>0</v>
      </c>
      <c r="P116" s="134">
        <v>0</v>
      </c>
      <c r="Q116" s="134">
        <v>0</v>
      </c>
      <c r="R116" s="134">
        <v>0</v>
      </c>
      <c r="S116" s="134">
        <v>0</v>
      </c>
      <c r="T116" s="134">
        <v>0</v>
      </c>
      <c r="U116" s="134">
        <v>0</v>
      </c>
      <c r="V116" s="134">
        <v>0</v>
      </c>
      <c r="W116" s="134">
        <v>0</v>
      </c>
      <c r="X116" s="134">
        <v>0</v>
      </c>
      <c r="Y116" s="134">
        <v>0</v>
      </c>
      <c r="Z116" s="134">
        <v>0</v>
      </c>
      <c r="AA116" s="134">
        <v>0</v>
      </c>
      <c r="AB116" s="134">
        <v>0</v>
      </c>
      <c r="AC116" s="134">
        <v>0</v>
      </c>
      <c r="AD116" s="134">
        <v>0</v>
      </c>
      <c r="AE116" s="134">
        <v>0</v>
      </c>
      <c r="AF116" s="134">
        <v>0</v>
      </c>
      <c r="AG116" s="134">
        <v>0</v>
      </c>
      <c r="AH116" s="134">
        <v>0</v>
      </c>
      <c r="AI116" s="134">
        <v>0</v>
      </c>
      <c r="AJ116" s="134">
        <v>0</v>
      </c>
      <c r="AK116" s="134">
        <v>0</v>
      </c>
      <c r="AL116" s="134">
        <v>0</v>
      </c>
      <c r="AM116" s="134">
        <v>0</v>
      </c>
      <c r="AN116" s="134">
        <v>0</v>
      </c>
      <c r="AO116" s="134">
        <v>0</v>
      </c>
      <c r="AP116" s="134">
        <v>0</v>
      </c>
    </row>
    <row r="117" spans="1:42" x14ac:dyDescent="0.25">
      <c r="A117" s="134">
        <v>0</v>
      </c>
      <c r="B117" s="134">
        <v>0</v>
      </c>
      <c r="C117" s="134">
        <v>0</v>
      </c>
      <c r="D117" s="134">
        <v>0</v>
      </c>
      <c r="E117" s="134">
        <v>0</v>
      </c>
      <c r="F117" s="134">
        <v>0</v>
      </c>
      <c r="G117" s="134">
        <v>0</v>
      </c>
      <c r="H117" s="134">
        <v>0</v>
      </c>
      <c r="I117" s="134">
        <v>0</v>
      </c>
      <c r="J117" s="134">
        <v>0</v>
      </c>
      <c r="K117" s="134">
        <v>0</v>
      </c>
      <c r="L117" s="134">
        <v>0</v>
      </c>
      <c r="M117" s="134">
        <v>0</v>
      </c>
      <c r="N117" s="134">
        <v>0</v>
      </c>
      <c r="O117" s="134">
        <v>0</v>
      </c>
      <c r="P117" s="134">
        <v>0</v>
      </c>
      <c r="Q117" s="134">
        <v>0</v>
      </c>
      <c r="R117" s="134">
        <v>0</v>
      </c>
      <c r="S117" s="134">
        <v>0</v>
      </c>
      <c r="T117" s="134">
        <v>0</v>
      </c>
      <c r="U117" s="134">
        <v>0</v>
      </c>
      <c r="V117" s="134">
        <v>0</v>
      </c>
      <c r="W117" s="134">
        <v>0</v>
      </c>
      <c r="X117" s="134">
        <v>0</v>
      </c>
      <c r="Y117" s="134">
        <v>0</v>
      </c>
      <c r="Z117" s="134">
        <v>0</v>
      </c>
      <c r="AA117" s="134">
        <v>0</v>
      </c>
      <c r="AB117" s="134">
        <v>0</v>
      </c>
      <c r="AC117" s="134">
        <v>0</v>
      </c>
      <c r="AD117" s="134">
        <v>0</v>
      </c>
      <c r="AE117" s="134">
        <v>0</v>
      </c>
      <c r="AF117" s="134">
        <v>0</v>
      </c>
      <c r="AG117" s="134">
        <v>0</v>
      </c>
      <c r="AH117" s="134">
        <v>0</v>
      </c>
      <c r="AI117" s="134">
        <v>0</v>
      </c>
      <c r="AJ117" s="134">
        <v>0</v>
      </c>
      <c r="AK117" s="134">
        <v>0</v>
      </c>
      <c r="AL117" s="134">
        <v>0</v>
      </c>
      <c r="AM117" s="134">
        <v>0</v>
      </c>
      <c r="AN117" s="134">
        <v>0</v>
      </c>
      <c r="AO117" s="134">
        <v>0</v>
      </c>
      <c r="AP117" s="134">
        <v>0</v>
      </c>
    </row>
    <row r="118" spans="1:42" x14ac:dyDescent="0.25">
      <c r="A118" s="134">
        <v>0</v>
      </c>
      <c r="B118" s="134">
        <v>0</v>
      </c>
      <c r="C118" s="134">
        <v>0</v>
      </c>
      <c r="D118" s="134">
        <v>0</v>
      </c>
      <c r="E118" s="134">
        <v>0</v>
      </c>
      <c r="F118" s="134">
        <v>0</v>
      </c>
      <c r="G118" s="134">
        <v>0</v>
      </c>
      <c r="H118" s="134">
        <v>0</v>
      </c>
      <c r="I118" s="134">
        <v>0</v>
      </c>
      <c r="J118" s="134">
        <v>0</v>
      </c>
      <c r="K118" s="134">
        <v>0</v>
      </c>
      <c r="L118" s="134">
        <v>0</v>
      </c>
      <c r="M118" s="134">
        <v>0</v>
      </c>
      <c r="N118" s="134">
        <v>0</v>
      </c>
      <c r="O118" s="134">
        <v>0</v>
      </c>
      <c r="P118" s="134">
        <v>0</v>
      </c>
      <c r="Q118" s="134">
        <v>0</v>
      </c>
      <c r="R118" s="134">
        <v>0</v>
      </c>
      <c r="S118" s="134">
        <v>0</v>
      </c>
      <c r="T118" s="134">
        <v>0</v>
      </c>
      <c r="U118" s="134">
        <v>0</v>
      </c>
      <c r="V118" s="134">
        <v>0</v>
      </c>
      <c r="W118" s="134">
        <v>0</v>
      </c>
      <c r="X118" s="134">
        <v>0</v>
      </c>
      <c r="Y118" s="134">
        <v>0</v>
      </c>
      <c r="Z118" s="134">
        <v>0</v>
      </c>
      <c r="AA118" s="134">
        <v>0</v>
      </c>
      <c r="AB118" s="134">
        <v>0</v>
      </c>
      <c r="AC118" s="134">
        <v>0</v>
      </c>
      <c r="AD118" s="134">
        <v>0</v>
      </c>
      <c r="AE118" s="134">
        <v>0</v>
      </c>
      <c r="AF118" s="134">
        <v>0</v>
      </c>
      <c r="AG118" s="134">
        <v>0</v>
      </c>
      <c r="AH118" s="134">
        <v>0</v>
      </c>
      <c r="AI118" s="134">
        <v>0</v>
      </c>
      <c r="AJ118" s="134">
        <v>0</v>
      </c>
      <c r="AK118" s="134">
        <v>0</v>
      </c>
      <c r="AL118" s="134">
        <v>0</v>
      </c>
      <c r="AM118" s="134">
        <v>0</v>
      </c>
      <c r="AN118" s="134">
        <v>0</v>
      </c>
      <c r="AO118" s="134">
        <v>0</v>
      </c>
      <c r="AP118" s="134">
        <v>0</v>
      </c>
    </row>
    <row r="119" spans="1:42" x14ac:dyDescent="0.25">
      <c r="A119" s="134">
        <v>0</v>
      </c>
      <c r="B119" s="134">
        <v>0</v>
      </c>
      <c r="C119" s="134">
        <v>0</v>
      </c>
      <c r="D119" s="134">
        <v>0</v>
      </c>
      <c r="E119" s="134">
        <v>0</v>
      </c>
      <c r="F119" s="134">
        <v>0</v>
      </c>
      <c r="G119" s="134">
        <v>0</v>
      </c>
      <c r="H119" s="134">
        <v>0</v>
      </c>
      <c r="I119" s="134">
        <v>0</v>
      </c>
      <c r="J119" s="134">
        <v>0</v>
      </c>
      <c r="K119" s="134">
        <v>0</v>
      </c>
      <c r="L119" s="134">
        <v>0</v>
      </c>
      <c r="M119" s="134">
        <v>0</v>
      </c>
      <c r="N119" s="134">
        <v>0</v>
      </c>
      <c r="O119" s="134">
        <v>0</v>
      </c>
      <c r="P119" s="134">
        <v>0</v>
      </c>
      <c r="Q119" s="134">
        <v>0</v>
      </c>
      <c r="R119" s="134">
        <v>0</v>
      </c>
      <c r="S119" s="134">
        <v>0</v>
      </c>
      <c r="T119" s="134">
        <v>0</v>
      </c>
      <c r="U119" s="134">
        <v>0</v>
      </c>
      <c r="V119" s="134">
        <v>0</v>
      </c>
      <c r="W119" s="134">
        <v>0</v>
      </c>
      <c r="X119" s="134">
        <v>0</v>
      </c>
      <c r="Y119" s="134">
        <v>0</v>
      </c>
      <c r="Z119" s="134">
        <v>0</v>
      </c>
      <c r="AA119" s="134">
        <v>0</v>
      </c>
      <c r="AB119" s="134">
        <v>0</v>
      </c>
      <c r="AC119" s="134">
        <v>0</v>
      </c>
      <c r="AD119" s="134">
        <v>0</v>
      </c>
      <c r="AE119" s="134">
        <v>0</v>
      </c>
      <c r="AF119" s="134">
        <v>0</v>
      </c>
      <c r="AG119" s="134">
        <v>0</v>
      </c>
      <c r="AH119" s="134">
        <v>0</v>
      </c>
      <c r="AI119" s="134">
        <v>0</v>
      </c>
      <c r="AJ119" s="134">
        <v>0</v>
      </c>
      <c r="AK119" s="134">
        <v>0</v>
      </c>
      <c r="AL119" s="134">
        <v>0</v>
      </c>
      <c r="AM119" s="134">
        <v>0</v>
      </c>
      <c r="AN119" s="134">
        <v>0</v>
      </c>
      <c r="AO119" s="134">
        <v>0</v>
      </c>
      <c r="AP119" s="134">
        <v>0</v>
      </c>
    </row>
    <row r="120" spans="1:42" x14ac:dyDescent="0.25">
      <c r="A120" s="134">
        <v>0</v>
      </c>
      <c r="B120" s="134">
        <v>0</v>
      </c>
      <c r="C120" s="134">
        <v>0</v>
      </c>
      <c r="D120" s="134">
        <v>0</v>
      </c>
      <c r="E120" s="134">
        <v>0</v>
      </c>
      <c r="F120" s="134">
        <v>0</v>
      </c>
      <c r="G120" s="134">
        <v>0</v>
      </c>
      <c r="H120" s="134">
        <v>0</v>
      </c>
      <c r="I120" s="134">
        <v>0</v>
      </c>
      <c r="J120" s="134">
        <v>0</v>
      </c>
      <c r="K120" s="134">
        <v>0</v>
      </c>
      <c r="L120" s="134">
        <v>0</v>
      </c>
      <c r="M120" s="134">
        <v>0</v>
      </c>
      <c r="N120" s="134">
        <v>0</v>
      </c>
      <c r="O120" s="134">
        <v>0</v>
      </c>
      <c r="P120" s="134">
        <v>0</v>
      </c>
      <c r="Q120" s="134">
        <v>0</v>
      </c>
      <c r="R120" s="134">
        <v>0</v>
      </c>
      <c r="S120" s="134">
        <v>0</v>
      </c>
      <c r="T120" s="134">
        <v>32</v>
      </c>
      <c r="U120" s="134">
        <v>0</v>
      </c>
      <c r="V120" s="134">
        <v>51</v>
      </c>
      <c r="W120" s="134">
        <v>0</v>
      </c>
      <c r="X120" s="134">
        <v>0</v>
      </c>
      <c r="Y120" s="134">
        <v>12</v>
      </c>
      <c r="Z120" s="134">
        <v>0</v>
      </c>
      <c r="AA120" s="134">
        <v>0</v>
      </c>
      <c r="AB120" s="134">
        <v>0</v>
      </c>
      <c r="AC120" s="134">
        <v>0</v>
      </c>
      <c r="AD120" s="134">
        <v>0</v>
      </c>
      <c r="AE120" s="134">
        <v>0</v>
      </c>
      <c r="AF120" s="134">
        <v>0</v>
      </c>
      <c r="AG120" s="134">
        <v>0</v>
      </c>
      <c r="AH120" s="134">
        <v>0</v>
      </c>
      <c r="AI120" s="134">
        <v>0</v>
      </c>
      <c r="AJ120" s="134">
        <v>0</v>
      </c>
      <c r="AK120" s="134">
        <v>0</v>
      </c>
      <c r="AL120" s="134">
        <v>0</v>
      </c>
      <c r="AM120" s="134">
        <v>0</v>
      </c>
      <c r="AN120" s="134">
        <v>0</v>
      </c>
      <c r="AO120" s="134">
        <v>0</v>
      </c>
      <c r="AP120" s="134">
        <v>0</v>
      </c>
    </row>
    <row r="121" spans="1:42" x14ac:dyDescent="0.25">
      <c r="A121" s="134">
        <v>0</v>
      </c>
      <c r="B121" s="134">
        <v>0</v>
      </c>
      <c r="C121" s="134">
        <v>0</v>
      </c>
      <c r="D121" s="134">
        <v>0</v>
      </c>
      <c r="E121" s="134">
        <v>0</v>
      </c>
      <c r="F121" s="134">
        <v>0</v>
      </c>
      <c r="G121" s="134">
        <v>0</v>
      </c>
      <c r="H121" s="134">
        <v>0</v>
      </c>
      <c r="I121" s="134">
        <v>0</v>
      </c>
      <c r="J121" s="134">
        <v>0</v>
      </c>
      <c r="K121" s="134">
        <v>0</v>
      </c>
      <c r="L121" s="134">
        <v>0</v>
      </c>
      <c r="M121" s="134">
        <v>0</v>
      </c>
      <c r="N121" s="134">
        <v>0</v>
      </c>
      <c r="O121" s="134">
        <v>0</v>
      </c>
      <c r="P121" s="134">
        <v>0</v>
      </c>
      <c r="Q121" s="134">
        <v>41</v>
      </c>
      <c r="R121" s="134">
        <v>0</v>
      </c>
      <c r="S121" s="134">
        <v>31</v>
      </c>
      <c r="T121" s="134">
        <v>0</v>
      </c>
      <c r="U121" s="134">
        <v>0</v>
      </c>
      <c r="V121" s="134">
        <v>41</v>
      </c>
      <c r="W121" s="134">
        <v>31</v>
      </c>
      <c r="X121" s="134">
        <v>13</v>
      </c>
      <c r="Y121" s="134">
        <v>0</v>
      </c>
      <c r="Z121" s="134">
        <v>0</v>
      </c>
      <c r="AA121" s="134">
        <v>0</v>
      </c>
      <c r="AB121" s="134">
        <v>0</v>
      </c>
      <c r="AC121" s="134">
        <v>0</v>
      </c>
      <c r="AD121" s="134">
        <v>0</v>
      </c>
      <c r="AE121" s="134">
        <v>0</v>
      </c>
      <c r="AF121" s="134">
        <v>0</v>
      </c>
      <c r="AG121" s="134">
        <v>0</v>
      </c>
      <c r="AH121" s="134">
        <v>0</v>
      </c>
      <c r="AI121" s="134">
        <v>0</v>
      </c>
      <c r="AJ121" s="134">
        <v>0</v>
      </c>
      <c r="AK121" s="134">
        <v>0</v>
      </c>
      <c r="AL121" s="134">
        <v>0</v>
      </c>
      <c r="AM121" s="134">
        <v>0</v>
      </c>
      <c r="AN121" s="134">
        <v>0</v>
      </c>
      <c r="AO121" s="134">
        <v>0</v>
      </c>
      <c r="AP121" s="134">
        <v>0</v>
      </c>
    </row>
    <row r="122" spans="1:42" x14ac:dyDescent="0.25">
      <c r="A122" s="134">
        <v>0</v>
      </c>
      <c r="B122" s="134">
        <v>0</v>
      </c>
      <c r="C122" s="134">
        <v>0</v>
      </c>
      <c r="D122" s="134">
        <v>0</v>
      </c>
      <c r="E122" s="134">
        <v>0</v>
      </c>
      <c r="F122" s="134">
        <v>0</v>
      </c>
      <c r="G122" s="134">
        <v>0</v>
      </c>
      <c r="H122" s="134">
        <v>0</v>
      </c>
      <c r="I122" s="134">
        <v>0</v>
      </c>
      <c r="J122" s="134">
        <v>0</v>
      </c>
      <c r="K122" s="134">
        <v>0</v>
      </c>
      <c r="L122" s="134">
        <v>0</v>
      </c>
      <c r="M122" s="134">
        <v>0</v>
      </c>
      <c r="N122" s="134">
        <v>0</v>
      </c>
      <c r="O122" s="134">
        <v>0</v>
      </c>
      <c r="P122" s="134">
        <v>0</v>
      </c>
      <c r="Q122" s="134">
        <v>0</v>
      </c>
      <c r="R122" s="134">
        <v>21</v>
      </c>
      <c r="S122" s="134">
        <v>0</v>
      </c>
      <c r="T122" s="134">
        <v>24</v>
      </c>
      <c r="U122" s="134">
        <v>32</v>
      </c>
      <c r="V122" s="134">
        <v>21</v>
      </c>
      <c r="W122" s="134">
        <v>0</v>
      </c>
      <c r="X122" s="134">
        <v>0</v>
      </c>
      <c r="Y122" s="134">
        <v>0</v>
      </c>
      <c r="Z122" s="134">
        <v>0</v>
      </c>
      <c r="AA122" s="134">
        <v>0</v>
      </c>
      <c r="AB122" s="134">
        <v>0</v>
      </c>
      <c r="AC122" s="134">
        <v>0</v>
      </c>
      <c r="AD122" s="134">
        <v>0</v>
      </c>
      <c r="AE122" s="134">
        <v>0</v>
      </c>
      <c r="AF122" s="134">
        <v>0</v>
      </c>
      <c r="AG122" s="134">
        <v>0</v>
      </c>
      <c r="AH122" s="134">
        <v>0</v>
      </c>
      <c r="AI122" s="134">
        <v>0</v>
      </c>
      <c r="AJ122" s="134">
        <v>0</v>
      </c>
      <c r="AK122" s="134">
        <v>0</v>
      </c>
      <c r="AL122" s="134">
        <v>0</v>
      </c>
      <c r="AM122" s="134">
        <v>0</v>
      </c>
      <c r="AN122" s="134">
        <v>0</v>
      </c>
      <c r="AO122" s="134">
        <v>0</v>
      </c>
      <c r="AP122" s="134">
        <v>0</v>
      </c>
    </row>
    <row r="123" spans="1:42" x14ac:dyDescent="0.25">
      <c r="A123" s="134">
        <v>0</v>
      </c>
      <c r="B123" s="134">
        <v>0</v>
      </c>
      <c r="C123" s="134">
        <v>0</v>
      </c>
      <c r="D123" s="134">
        <v>0</v>
      </c>
      <c r="E123" s="134">
        <v>0</v>
      </c>
      <c r="F123" s="134">
        <v>0</v>
      </c>
      <c r="G123" s="134">
        <v>0</v>
      </c>
      <c r="H123" s="134">
        <v>0</v>
      </c>
      <c r="I123" s="134">
        <v>0</v>
      </c>
      <c r="J123" s="134">
        <v>0</v>
      </c>
      <c r="K123" s="134">
        <v>0</v>
      </c>
      <c r="L123" s="134">
        <v>0</v>
      </c>
      <c r="M123" s="134">
        <v>0</v>
      </c>
      <c r="N123" s="134">
        <v>0</v>
      </c>
      <c r="O123" s="134">
        <v>0</v>
      </c>
      <c r="P123" s="134">
        <v>0</v>
      </c>
      <c r="Q123" s="134">
        <v>12</v>
      </c>
      <c r="R123" s="134">
        <v>0</v>
      </c>
      <c r="S123" s="134">
        <v>21</v>
      </c>
      <c r="T123" s="134">
        <v>0</v>
      </c>
      <c r="U123" s="134">
        <v>52</v>
      </c>
      <c r="V123" s="134">
        <v>0</v>
      </c>
      <c r="W123" s="134">
        <v>0</v>
      </c>
      <c r="X123" s="134">
        <v>0</v>
      </c>
      <c r="Y123" s="134">
        <v>12</v>
      </c>
      <c r="Z123" s="134">
        <v>0</v>
      </c>
      <c r="AA123" s="134">
        <v>0</v>
      </c>
      <c r="AB123" s="134">
        <v>0</v>
      </c>
      <c r="AC123" s="134">
        <v>0</v>
      </c>
      <c r="AD123" s="134">
        <v>0</v>
      </c>
      <c r="AE123" s="134">
        <v>0</v>
      </c>
      <c r="AF123" s="134">
        <v>0</v>
      </c>
      <c r="AG123" s="134">
        <v>0</v>
      </c>
      <c r="AH123" s="134">
        <v>0</v>
      </c>
      <c r="AI123" s="134">
        <v>0</v>
      </c>
      <c r="AJ123" s="134">
        <v>0</v>
      </c>
      <c r="AK123" s="134">
        <v>0</v>
      </c>
      <c r="AL123" s="134">
        <v>0</v>
      </c>
      <c r="AM123" s="134">
        <v>0</v>
      </c>
      <c r="AN123" s="134">
        <v>0</v>
      </c>
      <c r="AO123" s="134">
        <v>0</v>
      </c>
      <c r="AP123" s="134">
        <v>0</v>
      </c>
    </row>
    <row r="124" spans="1:42" x14ac:dyDescent="0.25">
      <c r="A124" s="134">
        <v>0</v>
      </c>
      <c r="B124" s="134">
        <v>0</v>
      </c>
      <c r="C124" s="134">
        <v>0</v>
      </c>
      <c r="D124" s="134">
        <v>0</v>
      </c>
      <c r="E124" s="134">
        <v>0</v>
      </c>
      <c r="F124" s="134">
        <v>0</v>
      </c>
      <c r="G124" s="134">
        <v>0</v>
      </c>
      <c r="H124" s="134">
        <v>0</v>
      </c>
      <c r="I124" s="134">
        <v>0</v>
      </c>
      <c r="J124" s="134">
        <v>0</v>
      </c>
      <c r="K124" s="134">
        <v>0</v>
      </c>
      <c r="L124" s="134">
        <v>0</v>
      </c>
      <c r="M124" s="134">
        <v>0</v>
      </c>
      <c r="N124" s="134">
        <v>0</v>
      </c>
      <c r="O124" s="134">
        <v>0</v>
      </c>
      <c r="P124" s="134">
        <v>0</v>
      </c>
      <c r="Q124" s="134">
        <v>0</v>
      </c>
      <c r="R124" s="134">
        <v>0</v>
      </c>
      <c r="S124" s="134">
        <v>0</v>
      </c>
      <c r="T124" s="134">
        <v>13</v>
      </c>
      <c r="U124" s="134">
        <v>23</v>
      </c>
      <c r="V124" s="134">
        <v>0</v>
      </c>
      <c r="W124" s="134">
        <v>61</v>
      </c>
      <c r="X124" s="134">
        <v>0</v>
      </c>
      <c r="Y124" s="134">
        <v>0</v>
      </c>
      <c r="Z124" s="134">
        <v>0</v>
      </c>
      <c r="AA124" s="134">
        <v>0</v>
      </c>
      <c r="AB124" s="134">
        <v>0</v>
      </c>
      <c r="AC124" s="134">
        <v>0</v>
      </c>
      <c r="AD124" s="134">
        <v>0</v>
      </c>
      <c r="AE124" s="134">
        <v>0</v>
      </c>
      <c r="AF124" s="134">
        <v>0</v>
      </c>
      <c r="AG124" s="134">
        <v>0</v>
      </c>
      <c r="AH124" s="134">
        <v>0</v>
      </c>
      <c r="AI124" s="134">
        <v>0</v>
      </c>
      <c r="AJ124" s="134">
        <v>0</v>
      </c>
      <c r="AK124" s="134">
        <v>0</v>
      </c>
      <c r="AL124" s="134">
        <v>0</v>
      </c>
      <c r="AM124" s="134">
        <v>0</v>
      </c>
      <c r="AN124" s="134">
        <v>0</v>
      </c>
      <c r="AO124" s="134">
        <v>0</v>
      </c>
      <c r="AP124" s="134">
        <v>0</v>
      </c>
    </row>
    <row r="125" spans="1:42" x14ac:dyDescent="0.25">
      <c r="A125" s="134">
        <v>0</v>
      </c>
      <c r="B125" s="134">
        <v>0</v>
      </c>
      <c r="C125" s="134">
        <v>0</v>
      </c>
      <c r="D125" s="134">
        <v>0</v>
      </c>
      <c r="E125" s="134">
        <v>0</v>
      </c>
      <c r="F125" s="134">
        <v>0</v>
      </c>
      <c r="G125" s="134">
        <v>0</v>
      </c>
      <c r="H125" s="134">
        <v>0</v>
      </c>
      <c r="I125" s="134">
        <v>0</v>
      </c>
      <c r="J125" s="134">
        <v>0</v>
      </c>
      <c r="K125" s="134">
        <v>0</v>
      </c>
      <c r="L125" s="134">
        <v>0</v>
      </c>
      <c r="M125" s="134">
        <v>0</v>
      </c>
      <c r="N125" s="134">
        <v>0</v>
      </c>
      <c r="O125" s="134">
        <v>0</v>
      </c>
      <c r="P125" s="134">
        <v>0</v>
      </c>
      <c r="Q125" s="134">
        <v>0</v>
      </c>
      <c r="R125" s="134">
        <v>0</v>
      </c>
      <c r="S125" s="134">
        <v>0</v>
      </c>
      <c r="T125" s="134">
        <v>0</v>
      </c>
      <c r="U125" s="134">
        <v>0</v>
      </c>
      <c r="V125" s="134">
        <v>0</v>
      </c>
      <c r="W125" s="134">
        <v>0</v>
      </c>
      <c r="X125" s="134">
        <v>0</v>
      </c>
      <c r="Y125" s="134">
        <v>0</v>
      </c>
      <c r="Z125" s="134">
        <v>0</v>
      </c>
      <c r="AA125" s="134">
        <v>0</v>
      </c>
      <c r="AB125" s="134">
        <v>0</v>
      </c>
      <c r="AC125" s="134">
        <v>0</v>
      </c>
      <c r="AD125" s="134">
        <v>0</v>
      </c>
      <c r="AE125" s="134">
        <v>0</v>
      </c>
      <c r="AF125" s="134">
        <v>0</v>
      </c>
      <c r="AG125" s="134">
        <v>0</v>
      </c>
      <c r="AH125" s="134">
        <v>0</v>
      </c>
      <c r="AI125" s="134">
        <v>0</v>
      </c>
      <c r="AJ125" s="134">
        <v>0</v>
      </c>
      <c r="AK125" s="134">
        <v>0</v>
      </c>
      <c r="AL125" s="134">
        <v>0</v>
      </c>
      <c r="AM125" s="134">
        <v>0</v>
      </c>
      <c r="AN125" s="134">
        <v>0</v>
      </c>
      <c r="AO125" s="134">
        <v>0</v>
      </c>
      <c r="AP125" s="134">
        <v>0</v>
      </c>
    </row>
    <row r="126" spans="1:42" ht="15.75" thickBot="1" x14ac:dyDescent="0.3"/>
    <row r="127" spans="1:42" x14ac:dyDescent="0.25">
      <c r="A127" s="113">
        <v>6</v>
      </c>
      <c r="B127" s="114">
        <v>6</v>
      </c>
      <c r="C127" s="114">
        <v>6</v>
      </c>
      <c r="D127" s="114">
        <v>6</v>
      </c>
      <c r="E127" s="114">
        <v>6</v>
      </c>
      <c r="F127" s="114">
        <v>6</v>
      </c>
      <c r="G127" s="114">
        <v>6</v>
      </c>
      <c r="H127" s="114">
        <v>6</v>
      </c>
      <c r="I127" s="114">
        <v>6</v>
      </c>
      <c r="J127" s="114">
        <v>6</v>
      </c>
      <c r="K127" s="114">
        <v>6</v>
      </c>
      <c r="L127" s="114">
        <v>6</v>
      </c>
      <c r="M127" s="114">
        <v>6</v>
      </c>
      <c r="N127" s="115">
        <v>6</v>
      </c>
      <c r="O127" s="115">
        <v>6</v>
      </c>
      <c r="P127" s="115">
        <v>6</v>
      </c>
      <c r="Q127" s="115">
        <v>6</v>
      </c>
      <c r="R127" s="115">
        <v>6</v>
      </c>
      <c r="S127" s="115">
        <v>6</v>
      </c>
      <c r="T127" s="115">
        <v>6</v>
      </c>
      <c r="U127" s="115">
        <v>6</v>
      </c>
      <c r="V127" s="115">
        <v>5</v>
      </c>
      <c r="W127" s="115">
        <v>5</v>
      </c>
      <c r="X127" s="115">
        <v>5</v>
      </c>
      <c r="Y127" s="115">
        <v>5</v>
      </c>
      <c r="Z127" s="115">
        <v>5</v>
      </c>
      <c r="AA127" s="116">
        <v>6</v>
      </c>
      <c r="AB127" s="116">
        <v>6</v>
      </c>
      <c r="AC127" s="116">
        <v>6</v>
      </c>
      <c r="AD127" s="116">
        <v>6</v>
      </c>
      <c r="AE127" s="116">
        <v>6</v>
      </c>
      <c r="AF127" s="116">
        <v>6</v>
      </c>
      <c r="AG127" s="116">
        <v>6</v>
      </c>
      <c r="AH127" s="116">
        <v>6</v>
      </c>
      <c r="AI127" s="116">
        <v>6</v>
      </c>
      <c r="AJ127" s="116">
        <v>6</v>
      </c>
      <c r="AK127" s="116">
        <v>6</v>
      </c>
      <c r="AL127" s="116">
        <v>6</v>
      </c>
      <c r="AM127" s="116">
        <v>6</v>
      </c>
      <c r="AN127" s="116">
        <v>6</v>
      </c>
      <c r="AO127" s="116">
        <v>6</v>
      </c>
      <c r="AP127" s="117">
        <v>6</v>
      </c>
    </row>
    <row r="128" spans="1:42" x14ac:dyDescent="0.25">
      <c r="A128" s="118">
        <v>6</v>
      </c>
      <c r="B128" s="119">
        <v>6</v>
      </c>
      <c r="C128" s="119">
        <v>6</v>
      </c>
      <c r="D128" s="119">
        <v>6</v>
      </c>
      <c r="E128" s="119">
        <v>6</v>
      </c>
      <c r="F128" s="119">
        <v>6</v>
      </c>
      <c r="G128" s="119">
        <v>6</v>
      </c>
      <c r="H128" s="119">
        <v>6</v>
      </c>
      <c r="I128" s="119">
        <v>6</v>
      </c>
      <c r="J128" s="119">
        <v>6</v>
      </c>
      <c r="K128" s="119">
        <v>5</v>
      </c>
      <c r="L128" s="119">
        <v>5</v>
      </c>
      <c r="M128" s="119">
        <v>5</v>
      </c>
      <c r="N128" s="109">
        <v>5</v>
      </c>
      <c r="O128" s="109">
        <v>5</v>
      </c>
      <c r="P128" s="109">
        <v>5</v>
      </c>
      <c r="Q128" s="109">
        <v>6</v>
      </c>
      <c r="R128" s="109">
        <v>6</v>
      </c>
      <c r="S128" s="109">
        <v>6</v>
      </c>
      <c r="T128" s="109">
        <v>6</v>
      </c>
      <c r="U128" s="109">
        <v>6</v>
      </c>
      <c r="V128" s="109">
        <v>5</v>
      </c>
      <c r="W128" s="109">
        <v>5</v>
      </c>
      <c r="X128" s="109">
        <v>5</v>
      </c>
      <c r="Y128" s="109">
        <v>5</v>
      </c>
      <c r="Z128" s="109">
        <v>5</v>
      </c>
      <c r="AA128" s="120">
        <v>5</v>
      </c>
      <c r="AB128" s="120">
        <v>5</v>
      </c>
      <c r="AC128" s="120">
        <v>5</v>
      </c>
      <c r="AD128" s="120">
        <v>6</v>
      </c>
      <c r="AE128" s="120">
        <v>6</v>
      </c>
      <c r="AF128" s="120">
        <v>6</v>
      </c>
      <c r="AG128" s="120">
        <v>6</v>
      </c>
      <c r="AH128" s="120">
        <v>6</v>
      </c>
      <c r="AI128" s="120">
        <v>6</v>
      </c>
      <c r="AJ128" s="120">
        <v>6</v>
      </c>
      <c r="AK128" s="120">
        <v>6</v>
      </c>
      <c r="AL128" s="120">
        <v>6</v>
      </c>
      <c r="AM128" s="120">
        <v>6</v>
      </c>
      <c r="AN128" s="120">
        <v>6</v>
      </c>
      <c r="AO128" s="120">
        <v>6</v>
      </c>
      <c r="AP128" s="121">
        <v>6</v>
      </c>
    </row>
    <row r="129" spans="1:42" x14ac:dyDescent="0.25">
      <c r="A129" s="118">
        <v>6</v>
      </c>
      <c r="B129" s="119">
        <v>6</v>
      </c>
      <c r="C129" s="119">
        <v>6</v>
      </c>
      <c r="D129" s="119">
        <v>6</v>
      </c>
      <c r="E129" s="119">
        <v>6</v>
      </c>
      <c r="F129" s="119">
        <v>6</v>
      </c>
      <c r="G129" s="119">
        <v>6</v>
      </c>
      <c r="H129" s="119">
        <v>6</v>
      </c>
      <c r="I129" s="119">
        <v>6</v>
      </c>
      <c r="J129" s="119">
        <v>6</v>
      </c>
      <c r="K129" s="119">
        <v>6</v>
      </c>
      <c r="L129" s="119">
        <v>6</v>
      </c>
      <c r="M129" s="119">
        <v>5</v>
      </c>
      <c r="N129" s="109">
        <v>5</v>
      </c>
      <c r="O129" s="109">
        <v>4</v>
      </c>
      <c r="P129" s="109">
        <v>4</v>
      </c>
      <c r="Q129" s="109">
        <v>4</v>
      </c>
      <c r="R129" s="109">
        <v>4</v>
      </c>
      <c r="S129" s="109">
        <v>4</v>
      </c>
      <c r="T129" s="109">
        <v>4</v>
      </c>
      <c r="U129" s="109">
        <v>5</v>
      </c>
      <c r="V129" s="109">
        <v>5</v>
      </c>
      <c r="W129" s="109">
        <v>5</v>
      </c>
      <c r="X129" s="109">
        <v>5</v>
      </c>
      <c r="Y129" s="109">
        <v>5</v>
      </c>
      <c r="Z129" s="109">
        <v>5</v>
      </c>
      <c r="AA129" s="120">
        <v>6</v>
      </c>
      <c r="AB129" s="120">
        <v>6</v>
      </c>
      <c r="AC129" s="120">
        <v>6</v>
      </c>
      <c r="AD129" s="120">
        <v>6</v>
      </c>
      <c r="AE129" s="120">
        <v>6</v>
      </c>
      <c r="AF129" s="120">
        <v>6</v>
      </c>
      <c r="AG129" s="120">
        <v>6</v>
      </c>
      <c r="AH129" s="120">
        <v>6</v>
      </c>
      <c r="AI129" s="120">
        <v>6</v>
      </c>
      <c r="AJ129" s="120">
        <v>6</v>
      </c>
      <c r="AK129" s="120">
        <v>6</v>
      </c>
      <c r="AL129" s="120">
        <v>6</v>
      </c>
      <c r="AM129" s="120">
        <v>6</v>
      </c>
      <c r="AN129" s="120">
        <v>6</v>
      </c>
      <c r="AO129" s="120">
        <v>6</v>
      </c>
      <c r="AP129" s="121">
        <v>6</v>
      </c>
    </row>
    <row r="130" spans="1:42" x14ac:dyDescent="0.25">
      <c r="A130" s="118">
        <v>6</v>
      </c>
      <c r="B130" s="119">
        <v>6</v>
      </c>
      <c r="C130" s="119">
        <v>6</v>
      </c>
      <c r="D130" s="119">
        <v>6</v>
      </c>
      <c r="E130" s="119">
        <v>6</v>
      </c>
      <c r="F130" s="119">
        <v>5</v>
      </c>
      <c r="G130" s="119">
        <v>5</v>
      </c>
      <c r="H130" s="119">
        <v>5</v>
      </c>
      <c r="I130" s="119">
        <v>5</v>
      </c>
      <c r="J130" s="119">
        <v>5</v>
      </c>
      <c r="K130" s="119">
        <v>5</v>
      </c>
      <c r="L130" s="119">
        <v>5</v>
      </c>
      <c r="M130" s="119">
        <v>5</v>
      </c>
      <c r="N130" s="109">
        <v>5</v>
      </c>
      <c r="O130" s="109">
        <v>5</v>
      </c>
      <c r="P130" s="109">
        <v>5</v>
      </c>
      <c r="Q130" s="109">
        <v>5</v>
      </c>
      <c r="R130" s="109">
        <v>4</v>
      </c>
      <c r="S130" s="109">
        <v>4</v>
      </c>
      <c r="T130" s="109">
        <v>4</v>
      </c>
      <c r="U130" s="109">
        <v>4</v>
      </c>
      <c r="V130" s="109">
        <v>4</v>
      </c>
      <c r="W130" s="109">
        <v>4</v>
      </c>
      <c r="X130" s="109">
        <v>4</v>
      </c>
      <c r="Y130" s="109">
        <v>4</v>
      </c>
      <c r="Z130" s="109">
        <v>4</v>
      </c>
      <c r="AA130" s="120">
        <v>5</v>
      </c>
      <c r="AB130" s="120">
        <v>5</v>
      </c>
      <c r="AC130" s="120">
        <v>5</v>
      </c>
      <c r="AD130" s="120">
        <v>5</v>
      </c>
      <c r="AE130" s="120">
        <v>5</v>
      </c>
      <c r="AF130" s="120">
        <v>5</v>
      </c>
      <c r="AG130" s="120">
        <v>5</v>
      </c>
      <c r="AH130" s="120">
        <v>5</v>
      </c>
      <c r="AI130" s="120">
        <v>5</v>
      </c>
      <c r="AJ130" s="120">
        <v>6</v>
      </c>
      <c r="AK130" s="120">
        <v>6</v>
      </c>
      <c r="AL130" s="120">
        <v>6</v>
      </c>
      <c r="AM130" s="120">
        <v>6</v>
      </c>
      <c r="AN130" s="120">
        <v>6</v>
      </c>
      <c r="AO130" s="120">
        <v>6</v>
      </c>
      <c r="AP130" s="121">
        <v>6</v>
      </c>
    </row>
    <row r="131" spans="1:42" x14ac:dyDescent="0.25">
      <c r="A131" s="118">
        <v>6</v>
      </c>
      <c r="B131" s="119">
        <v>6</v>
      </c>
      <c r="C131" s="119">
        <v>6</v>
      </c>
      <c r="D131" s="119">
        <v>6</v>
      </c>
      <c r="E131" s="119">
        <v>6</v>
      </c>
      <c r="F131" s="119">
        <v>5</v>
      </c>
      <c r="G131" s="119">
        <v>6</v>
      </c>
      <c r="H131" s="119">
        <v>6</v>
      </c>
      <c r="I131" s="119">
        <v>6</v>
      </c>
      <c r="J131" s="119">
        <v>6</v>
      </c>
      <c r="K131" s="119">
        <v>5</v>
      </c>
      <c r="L131" s="119">
        <v>5</v>
      </c>
      <c r="M131" s="119">
        <v>5</v>
      </c>
      <c r="N131" s="109">
        <v>5</v>
      </c>
      <c r="O131" s="109">
        <v>5</v>
      </c>
      <c r="P131" s="109">
        <v>5</v>
      </c>
      <c r="Q131" s="109">
        <v>4</v>
      </c>
      <c r="R131" s="109">
        <v>2</v>
      </c>
      <c r="S131" s="109">
        <v>3</v>
      </c>
      <c r="T131" s="109">
        <v>3</v>
      </c>
      <c r="U131" s="109">
        <v>3</v>
      </c>
      <c r="V131" s="109">
        <v>2</v>
      </c>
      <c r="W131" s="109">
        <v>3</v>
      </c>
      <c r="X131" s="109">
        <v>3</v>
      </c>
      <c r="Y131" s="109">
        <v>4</v>
      </c>
      <c r="Z131" s="109">
        <v>5</v>
      </c>
      <c r="AA131" s="120">
        <v>5</v>
      </c>
      <c r="AB131" s="120">
        <v>5</v>
      </c>
      <c r="AC131" s="120">
        <v>5</v>
      </c>
      <c r="AD131" s="120">
        <v>5</v>
      </c>
      <c r="AE131" s="120">
        <v>5</v>
      </c>
      <c r="AF131" s="120">
        <v>5</v>
      </c>
      <c r="AG131" s="120">
        <v>5</v>
      </c>
      <c r="AH131" s="120">
        <v>5</v>
      </c>
      <c r="AI131" s="120">
        <v>5</v>
      </c>
      <c r="AJ131" s="120">
        <v>6</v>
      </c>
      <c r="AK131" s="120">
        <v>6</v>
      </c>
      <c r="AL131" s="120">
        <v>6</v>
      </c>
      <c r="AM131" s="120">
        <v>6</v>
      </c>
      <c r="AN131" s="120">
        <v>6</v>
      </c>
      <c r="AO131" s="120">
        <v>6</v>
      </c>
      <c r="AP131" s="121">
        <v>6</v>
      </c>
    </row>
    <row r="132" spans="1:42" x14ac:dyDescent="0.25">
      <c r="A132" s="118">
        <v>6</v>
      </c>
      <c r="B132" s="119">
        <v>6</v>
      </c>
      <c r="C132" s="119">
        <v>6</v>
      </c>
      <c r="D132" s="119">
        <v>6</v>
      </c>
      <c r="E132" s="119">
        <v>6</v>
      </c>
      <c r="F132" s="119">
        <v>5</v>
      </c>
      <c r="G132" s="119">
        <v>5</v>
      </c>
      <c r="H132" s="119">
        <v>5</v>
      </c>
      <c r="I132" s="119">
        <v>5</v>
      </c>
      <c r="J132" s="119">
        <v>5</v>
      </c>
      <c r="K132" s="119">
        <v>5</v>
      </c>
      <c r="L132" s="119">
        <v>5</v>
      </c>
      <c r="M132" s="119">
        <v>5</v>
      </c>
      <c r="N132" s="122">
        <v>5</v>
      </c>
      <c r="O132" s="122">
        <v>5</v>
      </c>
      <c r="P132" s="122">
        <v>4</v>
      </c>
      <c r="Q132" s="122">
        <v>3</v>
      </c>
      <c r="R132" s="122">
        <v>2</v>
      </c>
      <c r="S132" s="122">
        <v>2</v>
      </c>
      <c r="T132" s="122">
        <v>2</v>
      </c>
      <c r="U132" s="122">
        <v>3</v>
      </c>
      <c r="V132" s="122">
        <v>2</v>
      </c>
      <c r="W132" s="122">
        <v>2</v>
      </c>
      <c r="X132" s="122">
        <v>3</v>
      </c>
      <c r="Y132" s="122">
        <v>4</v>
      </c>
      <c r="Z132" s="122">
        <v>5</v>
      </c>
      <c r="AA132" s="120">
        <v>4</v>
      </c>
      <c r="AB132" s="120">
        <v>5</v>
      </c>
      <c r="AC132" s="120">
        <v>5</v>
      </c>
      <c r="AD132" s="120">
        <v>5</v>
      </c>
      <c r="AE132" s="120">
        <v>5</v>
      </c>
      <c r="AF132" s="120">
        <v>5</v>
      </c>
      <c r="AG132" s="120">
        <v>5</v>
      </c>
      <c r="AH132" s="120">
        <v>5</v>
      </c>
      <c r="AI132" s="120">
        <v>5</v>
      </c>
      <c r="AJ132" s="120">
        <v>6</v>
      </c>
      <c r="AK132" s="120">
        <v>6</v>
      </c>
      <c r="AL132" s="120">
        <v>6</v>
      </c>
      <c r="AM132" s="120">
        <v>6</v>
      </c>
      <c r="AN132" s="120">
        <v>6</v>
      </c>
      <c r="AO132" s="120">
        <v>6</v>
      </c>
      <c r="AP132" s="121">
        <v>6</v>
      </c>
    </row>
    <row r="133" spans="1:42" ht="15.75" thickBot="1" x14ac:dyDescent="0.3">
      <c r="A133" s="123">
        <v>6</v>
      </c>
      <c r="B133" s="124">
        <v>6</v>
      </c>
      <c r="C133" s="124">
        <v>6</v>
      </c>
      <c r="D133" s="124">
        <v>6</v>
      </c>
      <c r="E133" s="124">
        <v>6</v>
      </c>
      <c r="F133" s="124">
        <v>5</v>
      </c>
      <c r="G133" s="124">
        <v>5</v>
      </c>
      <c r="H133" s="124">
        <v>5</v>
      </c>
      <c r="I133" s="124">
        <v>5</v>
      </c>
      <c r="J133" s="124">
        <v>5</v>
      </c>
      <c r="K133" s="124">
        <v>5</v>
      </c>
      <c r="L133" s="124">
        <v>5</v>
      </c>
      <c r="M133" s="124">
        <v>5</v>
      </c>
      <c r="N133" s="122">
        <v>4</v>
      </c>
      <c r="O133" s="122">
        <v>4</v>
      </c>
      <c r="P133" s="122">
        <v>4</v>
      </c>
      <c r="Q133" s="122">
        <v>3</v>
      </c>
      <c r="R133" s="122">
        <v>2</v>
      </c>
      <c r="S133" s="122">
        <v>1</v>
      </c>
      <c r="T133" s="122">
        <v>2</v>
      </c>
      <c r="U133" s="122">
        <v>1</v>
      </c>
      <c r="V133" s="122">
        <v>1</v>
      </c>
      <c r="W133" s="122">
        <v>1</v>
      </c>
      <c r="X133" s="122">
        <v>2</v>
      </c>
      <c r="Y133" s="122">
        <v>2</v>
      </c>
      <c r="Z133" s="122">
        <v>3</v>
      </c>
      <c r="AA133" s="120">
        <v>4</v>
      </c>
      <c r="AB133" s="120">
        <v>4</v>
      </c>
      <c r="AC133" s="120">
        <v>5</v>
      </c>
      <c r="AD133" s="120">
        <v>4</v>
      </c>
      <c r="AE133" s="120">
        <v>5</v>
      </c>
      <c r="AF133" s="120">
        <v>5</v>
      </c>
      <c r="AG133" s="120">
        <v>5</v>
      </c>
      <c r="AH133" s="120">
        <v>5</v>
      </c>
      <c r="AI133" s="120">
        <v>5</v>
      </c>
      <c r="AJ133" s="120">
        <v>6</v>
      </c>
      <c r="AK133" s="120">
        <v>6</v>
      </c>
      <c r="AL133" s="120">
        <v>6</v>
      </c>
      <c r="AM133" s="120">
        <v>6</v>
      </c>
      <c r="AN133" s="120">
        <v>6</v>
      </c>
      <c r="AO133" s="120">
        <v>6</v>
      </c>
      <c r="AP133" s="121">
        <v>6</v>
      </c>
    </row>
    <row r="134" spans="1:42" ht="15.75" thickBot="1" x14ac:dyDescent="0.3">
      <c r="A134" s="123">
        <v>6</v>
      </c>
      <c r="B134" s="124">
        <v>6</v>
      </c>
      <c r="C134" s="124">
        <v>6</v>
      </c>
      <c r="D134" s="124">
        <v>6</v>
      </c>
      <c r="E134" s="124">
        <v>6</v>
      </c>
      <c r="F134" s="124">
        <v>5</v>
      </c>
      <c r="G134" s="124">
        <v>6</v>
      </c>
      <c r="H134" s="124">
        <v>6</v>
      </c>
      <c r="I134" s="124">
        <v>6</v>
      </c>
      <c r="J134" s="124">
        <v>6</v>
      </c>
      <c r="K134" s="124">
        <v>5</v>
      </c>
      <c r="L134" s="124">
        <v>5</v>
      </c>
      <c r="M134" s="124">
        <v>5</v>
      </c>
      <c r="N134" s="122">
        <v>4</v>
      </c>
      <c r="O134" s="122">
        <v>4</v>
      </c>
      <c r="P134" s="122">
        <v>3</v>
      </c>
      <c r="Q134" s="122">
        <v>3</v>
      </c>
      <c r="R134" s="122">
        <v>2</v>
      </c>
      <c r="S134" s="122">
        <v>1</v>
      </c>
      <c r="T134" s="122">
        <v>1</v>
      </c>
      <c r="U134" s="125">
        <v>1</v>
      </c>
      <c r="V134" s="122">
        <v>2</v>
      </c>
      <c r="W134" s="122">
        <v>2</v>
      </c>
      <c r="X134" s="122">
        <v>2</v>
      </c>
      <c r="Y134" s="122">
        <v>3</v>
      </c>
      <c r="Z134" s="122">
        <v>3</v>
      </c>
      <c r="AA134" s="120">
        <v>4</v>
      </c>
      <c r="AB134" s="120">
        <v>4</v>
      </c>
      <c r="AC134" s="120">
        <v>4</v>
      </c>
      <c r="AD134" s="120">
        <v>6</v>
      </c>
      <c r="AE134" s="120">
        <v>6</v>
      </c>
      <c r="AF134" s="120">
        <v>6</v>
      </c>
      <c r="AG134" s="120">
        <v>6</v>
      </c>
      <c r="AH134" s="120">
        <v>5</v>
      </c>
      <c r="AI134" s="120">
        <v>5</v>
      </c>
      <c r="AJ134" s="120">
        <v>5</v>
      </c>
      <c r="AK134" s="120">
        <v>5</v>
      </c>
      <c r="AL134" s="120">
        <v>6</v>
      </c>
      <c r="AM134" s="120">
        <v>6</v>
      </c>
      <c r="AN134" s="120">
        <v>6</v>
      </c>
      <c r="AO134" s="120">
        <v>6</v>
      </c>
      <c r="AP134" s="121">
        <v>6</v>
      </c>
    </row>
    <row r="135" spans="1:42" x14ac:dyDescent="0.25">
      <c r="A135" s="123">
        <v>6</v>
      </c>
      <c r="B135" s="124">
        <v>6</v>
      </c>
      <c r="C135" s="124">
        <v>6</v>
      </c>
      <c r="D135" s="124">
        <v>6</v>
      </c>
      <c r="E135" s="124">
        <v>6</v>
      </c>
      <c r="F135" s="124">
        <v>5</v>
      </c>
      <c r="G135" s="124">
        <v>6</v>
      </c>
      <c r="H135" s="124">
        <v>6</v>
      </c>
      <c r="I135" s="124">
        <v>6</v>
      </c>
      <c r="J135" s="124">
        <v>6</v>
      </c>
      <c r="K135" s="124">
        <v>5</v>
      </c>
      <c r="L135" s="124">
        <v>5</v>
      </c>
      <c r="M135" s="124">
        <v>5</v>
      </c>
      <c r="N135" s="126">
        <v>4</v>
      </c>
      <c r="O135" s="126">
        <v>4</v>
      </c>
      <c r="P135" s="126">
        <v>4</v>
      </c>
      <c r="Q135" s="126">
        <v>2</v>
      </c>
      <c r="R135" s="124">
        <v>2</v>
      </c>
      <c r="S135" s="124">
        <v>2</v>
      </c>
      <c r="T135" s="124">
        <v>2</v>
      </c>
      <c r="U135" s="124">
        <v>3</v>
      </c>
      <c r="V135" s="124">
        <v>3</v>
      </c>
      <c r="W135" s="127">
        <v>1</v>
      </c>
      <c r="X135" s="127">
        <v>1</v>
      </c>
      <c r="Y135" s="127">
        <v>1</v>
      </c>
      <c r="Z135" s="127">
        <v>1</v>
      </c>
      <c r="AA135" s="124">
        <v>4</v>
      </c>
      <c r="AB135" s="124">
        <v>4</v>
      </c>
      <c r="AC135" s="124">
        <v>4</v>
      </c>
      <c r="AD135" s="124">
        <v>4</v>
      </c>
      <c r="AE135" s="124">
        <v>4</v>
      </c>
      <c r="AF135" s="124">
        <v>4</v>
      </c>
      <c r="AG135" s="124">
        <v>4</v>
      </c>
      <c r="AH135" s="124">
        <v>5</v>
      </c>
      <c r="AI135" s="124">
        <v>5</v>
      </c>
      <c r="AJ135" s="124">
        <v>5</v>
      </c>
      <c r="AK135" s="124">
        <v>5</v>
      </c>
      <c r="AL135" s="124">
        <v>5</v>
      </c>
      <c r="AM135" s="124">
        <v>5</v>
      </c>
      <c r="AN135" s="124">
        <v>5</v>
      </c>
      <c r="AO135" s="124">
        <v>5</v>
      </c>
      <c r="AP135" s="128">
        <v>5</v>
      </c>
    </row>
    <row r="136" spans="1:42" ht="15.75" thickBot="1" x14ac:dyDescent="0.3">
      <c r="A136" s="129">
        <v>6</v>
      </c>
      <c r="B136" s="130">
        <v>6</v>
      </c>
      <c r="C136" s="130">
        <v>6</v>
      </c>
      <c r="D136" s="130">
        <v>6</v>
      </c>
      <c r="E136" s="130">
        <v>6</v>
      </c>
      <c r="F136" s="130">
        <v>5</v>
      </c>
      <c r="G136" s="130">
        <v>6</v>
      </c>
      <c r="H136" s="130">
        <v>6</v>
      </c>
      <c r="I136" s="130">
        <v>6</v>
      </c>
      <c r="J136" s="130">
        <v>6</v>
      </c>
      <c r="K136" s="130">
        <v>5</v>
      </c>
      <c r="L136" s="130">
        <v>5</v>
      </c>
      <c r="M136" s="130">
        <v>5</v>
      </c>
      <c r="N136" s="131">
        <v>5</v>
      </c>
      <c r="O136" s="131">
        <v>5</v>
      </c>
      <c r="P136" s="131">
        <v>5</v>
      </c>
      <c r="Q136" s="131">
        <v>5</v>
      </c>
      <c r="R136" s="130">
        <v>5</v>
      </c>
      <c r="S136" s="130">
        <v>5</v>
      </c>
      <c r="T136" s="130">
        <v>5</v>
      </c>
      <c r="U136" s="130">
        <v>5</v>
      </c>
      <c r="V136" s="130">
        <v>5</v>
      </c>
      <c r="W136" s="132">
        <v>2</v>
      </c>
      <c r="X136" s="132">
        <v>2</v>
      </c>
      <c r="Y136" s="132">
        <v>2</v>
      </c>
      <c r="Z136" s="132">
        <v>2</v>
      </c>
      <c r="AA136" s="130">
        <v>6</v>
      </c>
      <c r="AB136" s="130">
        <v>6</v>
      </c>
      <c r="AC136" s="130">
        <v>6</v>
      </c>
      <c r="AD136" s="130">
        <v>6</v>
      </c>
      <c r="AE136" s="130">
        <v>6</v>
      </c>
      <c r="AF136" s="130">
        <v>6</v>
      </c>
      <c r="AG136" s="130">
        <v>6</v>
      </c>
      <c r="AH136" s="130">
        <v>6</v>
      </c>
      <c r="AI136" s="130">
        <v>6</v>
      </c>
      <c r="AJ136" s="130">
        <v>6</v>
      </c>
      <c r="AK136" s="130">
        <v>6</v>
      </c>
      <c r="AL136" s="130">
        <v>6</v>
      </c>
      <c r="AM136" s="130">
        <v>6</v>
      </c>
      <c r="AN136" s="130">
        <v>6</v>
      </c>
      <c r="AO136" s="130">
        <v>6</v>
      </c>
      <c r="AP136" s="133">
        <v>6</v>
      </c>
    </row>
    <row r="137" spans="1:42" x14ac:dyDescent="0.25">
      <c r="A137" s="134">
        <v>0</v>
      </c>
      <c r="B137" s="134">
        <v>0</v>
      </c>
      <c r="C137" s="134">
        <v>0</v>
      </c>
      <c r="D137" s="134">
        <v>0</v>
      </c>
      <c r="E137" s="134">
        <v>0</v>
      </c>
      <c r="F137" s="134">
        <v>0</v>
      </c>
      <c r="G137" s="134">
        <v>0</v>
      </c>
      <c r="H137" s="134">
        <v>0</v>
      </c>
      <c r="I137" s="134">
        <v>0</v>
      </c>
      <c r="J137" s="134">
        <v>0</v>
      </c>
      <c r="K137" s="134">
        <v>0</v>
      </c>
      <c r="L137" s="134">
        <v>0</v>
      </c>
      <c r="M137" s="134">
        <v>0</v>
      </c>
      <c r="N137" s="134">
        <v>0</v>
      </c>
      <c r="O137" s="134">
        <v>0</v>
      </c>
      <c r="P137" s="134">
        <v>0</v>
      </c>
      <c r="Q137" s="134">
        <v>0</v>
      </c>
      <c r="R137" s="134">
        <v>0</v>
      </c>
      <c r="S137" s="134">
        <v>0</v>
      </c>
      <c r="T137" s="134">
        <v>0</v>
      </c>
      <c r="U137" s="134">
        <v>0</v>
      </c>
      <c r="V137" s="134">
        <v>0</v>
      </c>
      <c r="W137" s="134">
        <v>0</v>
      </c>
      <c r="X137" s="134">
        <v>0</v>
      </c>
      <c r="Y137" s="134">
        <v>0</v>
      </c>
      <c r="Z137" s="134">
        <v>0</v>
      </c>
      <c r="AA137" s="134">
        <v>0</v>
      </c>
      <c r="AB137" s="134">
        <v>0</v>
      </c>
      <c r="AC137" s="134">
        <v>0</v>
      </c>
      <c r="AD137" s="134">
        <v>0</v>
      </c>
      <c r="AE137" s="134">
        <v>0</v>
      </c>
      <c r="AF137" s="134">
        <v>0</v>
      </c>
      <c r="AG137" s="134">
        <v>0</v>
      </c>
      <c r="AH137" s="134">
        <v>0</v>
      </c>
      <c r="AI137" s="134">
        <v>0</v>
      </c>
      <c r="AJ137" s="134">
        <v>0</v>
      </c>
      <c r="AK137" s="134">
        <v>0</v>
      </c>
      <c r="AL137" s="134">
        <v>0</v>
      </c>
      <c r="AM137" s="134">
        <v>0</v>
      </c>
      <c r="AN137" s="134">
        <v>0</v>
      </c>
      <c r="AO137" s="134">
        <v>0</v>
      </c>
      <c r="AP137" s="134">
        <v>0</v>
      </c>
    </row>
    <row r="138" spans="1:42" x14ac:dyDescent="0.25">
      <c r="A138" s="134">
        <v>0</v>
      </c>
      <c r="B138" s="134">
        <v>0</v>
      </c>
      <c r="C138" s="134">
        <v>0</v>
      </c>
      <c r="D138" s="134">
        <v>0</v>
      </c>
      <c r="E138" s="134">
        <v>0</v>
      </c>
      <c r="F138" s="134">
        <v>0</v>
      </c>
      <c r="G138" s="134">
        <v>0</v>
      </c>
      <c r="H138" s="134">
        <v>0</v>
      </c>
      <c r="I138" s="134">
        <v>0</v>
      </c>
      <c r="J138" s="134">
        <v>0</v>
      </c>
      <c r="K138" s="134">
        <v>0</v>
      </c>
      <c r="L138" s="134">
        <v>0</v>
      </c>
      <c r="M138" s="134">
        <v>0</v>
      </c>
      <c r="N138" s="134">
        <v>0</v>
      </c>
      <c r="O138" s="134">
        <v>0</v>
      </c>
      <c r="P138" s="134">
        <v>0</v>
      </c>
      <c r="Q138" s="134">
        <v>0</v>
      </c>
      <c r="R138" s="134">
        <v>0</v>
      </c>
      <c r="S138" s="134">
        <v>0</v>
      </c>
      <c r="T138" s="134">
        <v>0</v>
      </c>
      <c r="U138" s="134">
        <v>0</v>
      </c>
      <c r="V138" s="134">
        <v>0</v>
      </c>
      <c r="W138" s="134">
        <v>0</v>
      </c>
      <c r="X138" s="134">
        <v>0</v>
      </c>
      <c r="Y138" s="134">
        <v>0</v>
      </c>
      <c r="Z138" s="134">
        <v>0</v>
      </c>
      <c r="AA138" s="134">
        <v>0</v>
      </c>
      <c r="AB138" s="134">
        <v>0</v>
      </c>
      <c r="AC138" s="134">
        <v>0</v>
      </c>
      <c r="AD138" s="134">
        <v>0</v>
      </c>
      <c r="AE138" s="134">
        <v>0</v>
      </c>
      <c r="AF138" s="134">
        <v>0</v>
      </c>
      <c r="AG138" s="134">
        <v>0</v>
      </c>
      <c r="AH138" s="134">
        <v>0</v>
      </c>
      <c r="AI138" s="134">
        <v>0</v>
      </c>
      <c r="AJ138" s="134">
        <v>0</v>
      </c>
      <c r="AK138" s="134">
        <v>0</v>
      </c>
      <c r="AL138" s="134">
        <v>0</v>
      </c>
      <c r="AM138" s="134">
        <v>0</v>
      </c>
      <c r="AN138" s="134">
        <v>0</v>
      </c>
      <c r="AO138" s="134">
        <v>0</v>
      </c>
      <c r="AP138" s="134">
        <v>0</v>
      </c>
    </row>
    <row r="139" spans="1:42" x14ac:dyDescent="0.25">
      <c r="A139" s="134">
        <v>0</v>
      </c>
      <c r="B139" s="134">
        <v>0</v>
      </c>
      <c r="C139" s="134">
        <v>0</v>
      </c>
      <c r="D139" s="134">
        <v>0</v>
      </c>
      <c r="E139" s="134">
        <v>0</v>
      </c>
      <c r="F139" s="134">
        <v>0</v>
      </c>
      <c r="G139" s="134">
        <v>0</v>
      </c>
      <c r="H139" s="134">
        <v>0</v>
      </c>
      <c r="I139" s="134">
        <v>0</v>
      </c>
      <c r="J139" s="134">
        <v>0</v>
      </c>
      <c r="K139" s="134">
        <v>0</v>
      </c>
      <c r="L139" s="134">
        <v>0</v>
      </c>
      <c r="M139" s="134">
        <v>0</v>
      </c>
      <c r="N139" s="134">
        <v>0</v>
      </c>
      <c r="O139" s="134">
        <v>0</v>
      </c>
      <c r="P139" s="134">
        <v>0</v>
      </c>
      <c r="Q139" s="134">
        <v>0</v>
      </c>
      <c r="R139" s="134">
        <v>0</v>
      </c>
      <c r="S139" s="134">
        <v>0</v>
      </c>
      <c r="T139" s="134">
        <v>0</v>
      </c>
      <c r="U139" s="134">
        <v>0</v>
      </c>
      <c r="V139" s="134">
        <v>0</v>
      </c>
      <c r="W139" s="134">
        <v>0</v>
      </c>
      <c r="X139" s="134">
        <v>0</v>
      </c>
      <c r="Y139" s="134">
        <v>0</v>
      </c>
      <c r="Z139" s="134">
        <v>0</v>
      </c>
      <c r="AA139" s="134">
        <v>0</v>
      </c>
      <c r="AB139" s="134">
        <v>0</v>
      </c>
      <c r="AC139" s="134">
        <v>0</v>
      </c>
      <c r="AD139" s="134">
        <v>0</v>
      </c>
      <c r="AE139" s="134">
        <v>0</v>
      </c>
      <c r="AF139" s="134">
        <v>0</v>
      </c>
      <c r="AG139" s="134">
        <v>0</v>
      </c>
      <c r="AH139" s="134">
        <v>0</v>
      </c>
      <c r="AI139" s="134">
        <v>0</v>
      </c>
      <c r="AJ139" s="134">
        <v>0</v>
      </c>
      <c r="AK139" s="134">
        <v>0</v>
      </c>
      <c r="AL139" s="134">
        <v>0</v>
      </c>
      <c r="AM139" s="134">
        <v>0</v>
      </c>
      <c r="AN139" s="134">
        <v>0</v>
      </c>
      <c r="AO139" s="134">
        <v>0</v>
      </c>
      <c r="AP139" s="134">
        <v>0</v>
      </c>
    </row>
    <row r="140" spans="1:42" x14ac:dyDescent="0.25">
      <c r="A140" s="134">
        <v>0</v>
      </c>
      <c r="B140" s="134">
        <v>0</v>
      </c>
      <c r="C140" s="134">
        <v>0</v>
      </c>
      <c r="D140" s="134">
        <v>0</v>
      </c>
      <c r="E140" s="134">
        <v>0</v>
      </c>
      <c r="F140" s="134">
        <v>0</v>
      </c>
      <c r="G140" s="134">
        <v>0</v>
      </c>
      <c r="H140" s="134">
        <v>0</v>
      </c>
      <c r="I140" s="134">
        <v>0</v>
      </c>
      <c r="J140" s="134">
        <v>0</v>
      </c>
      <c r="K140" s="134">
        <v>0</v>
      </c>
      <c r="L140" s="134">
        <v>0</v>
      </c>
      <c r="M140" s="134">
        <v>0</v>
      </c>
      <c r="N140" s="134">
        <v>0</v>
      </c>
      <c r="O140" s="134">
        <v>0</v>
      </c>
      <c r="P140" s="134">
        <v>0</v>
      </c>
      <c r="Q140" s="134">
        <v>0</v>
      </c>
      <c r="R140" s="134">
        <v>0</v>
      </c>
      <c r="S140" s="134">
        <v>0</v>
      </c>
      <c r="T140" s="134">
        <v>0</v>
      </c>
      <c r="U140" s="134">
        <v>0</v>
      </c>
      <c r="V140" s="134">
        <v>0</v>
      </c>
      <c r="W140" s="134">
        <v>0</v>
      </c>
      <c r="X140" s="134">
        <v>0</v>
      </c>
      <c r="Y140" s="134">
        <v>0</v>
      </c>
      <c r="Z140" s="134">
        <v>0</v>
      </c>
      <c r="AA140" s="134">
        <v>0</v>
      </c>
      <c r="AB140" s="134">
        <v>0</v>
      </c>
      <c r="AC140" s="134">
        <v>0</v>
      </c>
      <c r="AD140" s="134">
        <v>0</v>
      </c>
      <c r="AE140" s="134">
        <v>0</v>
      </c>
      <c r="AF140" s="134">
        <v>0</v>
      </c>
      <c r="AG140" s="134">
        <v>0</v>
      </c>
      <c r="AH140" s="134">
        <v>0</v>
      </c>
      <c r="AI140" s="134">
        <v>0</v>
      </c>
      <c r="AJ140" s="134">
        <v>0</v>
      </c>
      <c r="AK140" s="134">
        <v>0</v>
      </c>
      <c r="AL140" s="134">
        <v>0</v>
      </c>
      <c r="AM140" s="134">
        <v>0</v>
      </c>
      <c r="AN140" s="134">
        <v>0</v>
      </c>
      <c r="AO140" s="134">
        <v>0</v>
      </c>
      <c r="AP140" s="134">
        <v>0</v>
      </c>
    </row>
    <row r="141" spans="1:42" x14ac:dyDescent="0.25">
      <c r="A141" s="134">
        <v>0</v>
      </c>
      <c r="B141" s="134">
        <v>0</v>
      </c>
      <c r="C141" s="134">
        <v>0</v>
      </c>
      <c r="D141" s="134">
        <v>0</v>
      </c>
      <c r="E141" s="134">
        <v>0</v>
      </c>
      <c r="F141" s="134">
        <v>0</v>
      </c>
      <c r="G141" s="134">
        <v>0</v>
      </c>
      <c r="H141" s="134">
        <v>0</v>
      </c>
      <c r="I141" s="134">
        <v>0</v>
      </c>
      <c r="J141" s="134">
        <v>0</v>
      </c>
      <c r="K141" s="134">
        <v>0</v>
      </c>
      <c r="L141" s="134">
        <v>0</v>
      </c>
      <c r="M141" s="134">
        <v>0</v>
      </c>
      <c r="N141" s="134">
        <v>0</v>
      </c>
      <c r="O141" s="134">
        <v>0</v>
      </c>
      <c r="P141" s="134">
        <v>0</v>
      </c>
      <c r="Q141" s="134">
        <v>0</v>
      </c>
      <c r="R141" s="134">
        <v>0</v>
      </c>
      <c r="S141" s="134">
        <v>0</v>
      </c>
      <c r="T141" s="134">
        <v>32</v>
      </c>
      <c r="U141" s="134">
        <v>0</v>
      </c>
      <c r="V141" s="134">
        <v>51</v>
      </c>
      <c r="W141" s="134">
        <v>0</v>
      </c>
      <c r="X141" s="134">
        <v>0</v>
      </c>
      <c r="Y141" s="134">
        <v>12</v>
      </c>
      <c r="Z141" s="134">
        <v>0</v>
      </c>
      <c r="AA141" s="134">
        <v>0</v>
      </c>
      <c r="AB141" s="134">
        <v>0</v>
      </c>
      <c r="AC141" s="134">
        <v>0</v>
      </c>
      <c r="AD141" s="134">
        <v>0</v>
      </c>
      <c r="AE141" s="134">
        <v>0</v>
      </c>
      <c r="AF141" s="134">
        <v>0</v>
      </c>
      <c r="AG141" s="134">
        <v>0</v>
      </c>
      <c r="AH141" s="134">
        <v>0</v>
      </c>
      <c r="AI141" s="134">
        <v>0</v>
      </c>
      <c r="AJ141" s="134">
        <v>0</v>
      </c>
      <c r="AK141" s="134">
        <v>0</v>
      </c>
      <c r="AL141" s="134">
        <v>0</v>
      </c>
      <c r="AM141" s="134">
        <v>0</v>
      </c>
      <c r="AN141" s="134">
        <v>0</v>
      </c>
      <c r="AO141" s="134">
        <v>0</v>
      </c>
      <c r="AP141" s="134">
        <v>0</v>
      </c>
    </row>
    <row r="142" spans="1:42" x14ac:dyDescent="0.25">
      <c r="A142" s="134">
        <v>0</v>
      </c>
      <c r="B142" s="134">
        <v>0</v>
      </c>
      <c r="C142" s="134">
        <v>0</v>
      </c>
      <c r="D142" s="134">
        <v>0</v>
      </c>
      <c r="E142" s="134">
        <v>0</v>
      </c>
      <c r="F142" s="134">
        <v>0</v>
      </c>
      <c r="G142" s="134">
        <v>0</v>
      </c>
      <c r="H142" s="134">
        <v>0</v>
      </c>
      <c r="I142" s="134">
        <v>0</v>
      </c>
      <c r="J142" s="134">
        <v>0</v>
      </c>
      <c r="K142" s="134">
        <v>0</v>
      </c>
      <c r="L142" s="134">
        <v>0</v>
      </c>
      <c r="M142" s="134">
        <v>0</v>
      </c>
      <c r="N142" s="134">
        <v>0</v>
      </c>
      <c r="O142" s="134">
        <v>0</v>
      </c>
      <c r="P142" s="134">
        <v>0</v>
      </c>
      <c r="Q142" s="134">
        <v>41</v>
      </c>
      <c r="R142" s="134">
        <v>0</v>
      </c>
      <c r="S142" s="134">
        <v>31</v>
      </c>
      <c r="T142" s="134">
        <v>0</v>
      </c>
      <c r="U142" s="134">
        <v>0</v>
      </c>
      <c r="V142" s="134">
        <v>41</v>
      </c>
      <c r="W142" s="134">
        <v>31</v>
      </c>
      <c r="X142" s="134">
        <v>13</v>
      </c>
      <c r="Y142" s="134">
        <v>0</v>
      </c>
      <c r="Z142" s="134">
        <v>0</v>
      </c>
      <c r="AA142" s="134">
        <v>0</v>
      </c>
      <c r="AB142" s="134">
        <v>0</v>
      </c>
      <c r="AC142" s="134">
        <v>0</v>
      </c>
      <c r="AD142" s="134">
        <v>0</v>
      </c>
      <c r="AE142" s="134">
        <v>0</v>
      </c>
      <c r="AF142" s="134">
        <v>0</v>
      </c>
      <c r="AG142" s="134">
        <v>0</v>
      </c>
      <c r="AH142" s="134">
        <v>0</v>
      </c>
      <c r="AI142" s="134">
        <v>0</v>
      </c>
      <c r="AJ142" s="134">
        <v>0</v>
      </c>
      <c r="AK142" s="134">
        <v>0</v>
      </c>
      <c r="AL142" s="134">
        <v>0</v>
      </c>
      <c r="AM142" s="134">
        <v>0</v>
      </c>
      <c r="AN142" s="134">
        <v>0</v>
      </c>
      <c r="AO142" s="134">
        <v>0</v>
      </c>
      <c r="AP142" s="134">
        <v>0</v>
      </c>
    </row>
    <row r="143" spans="1:42" x14ac:dyDescent="0.25">
      <c r="A143" s="134">
        <v>0</v>
      </c>
      <c r="B143" s="134">
        <v>0</v>
      </c>
      <c r="C143" s="134">
        <v>0</v>
      </c>
      <c r="D143" s="134">
        <v>0</v>
      </c>
      <c r="E143" s="134">
        <v>0</v>
      </c>
      <c r="F143" s="134">
        <v>0</v>
      </c>
      <c r="G143" s="134">
        <v>0</v>
      </c>
      <c r="H143" s="134">
        <v>0</v>
      </c>
      <c r="I143" s="134">
        <v>0</v>
      </c>
      <c r="J143" s="134">
        <v>0</v>
      </c>
      <c r="K143" s="134">
        <v>0</v>
      </c>
      <c r="L143" s="134">
        <v>0</v>
      </c>
      <c r="M143" s="134">
        <v>0</v>
      </c>
      <c r="N143" s="134">
        <v>0</v>
      </c>
      <c r="O143" s="134">
        <v>0</v>
      </c>
      <c r="P143" s="134">
        <v>0</v>
      </c>
      <c r="Q143" s="134">
        <v>0</v>
      </c>
      <c r="R143" s="134">
        <v>21</v>
      </c>
      <c r="S143" s="134">
        <v>0</v>
      </c>
      <c r="T143" s="134">
        <v>24</v>
      </c>
      <c r="U143" s="134">
        <v>32</v>
      </c>
      <c r="V143" s="134">
        <v>21</v>
      </c>
      <c r="W143" s="134">
        <v>0</v>
      </c>
      <c r="X143" s="134">
        <v>0</v>
      </c>
      <c r="Y143" s="134">
        <v>0</v>
      </c>
      <c r="Z143" s="134">
        <v>0</v>
      </c>
      <c r="AA143" s="134">
        <v>0</v>
      </c>
      <c r="AB143" s="134">
        <v>0</v>
      </c>
      <c r="AC143" s="134">
        <v>0</v>
      </c>
      <c r="AD143" s="134">
        <v>0</v>
      </c>
      <c r="AE143" s="134">
        <v>0</v>
      </c>
      <c r="AF143" s="134">
        <v>0</v>
      </c>
      <c r="AG143" s="134">
        <v>0</v>
      </c>
      <c r="AH143" s="134">
        <v>0</v>
      </c>
      <c r="AI143" s="134">
        <v>0</v>
      </c>
      <c r="AJ143" s="134">
        <v>0</v>
      </c>
      <c r="AK143" s="134">
        <v>0</v>
      </c>
      <c r="AL143" s="134">
        <v>0</v>
      </c>
      <c r="AM143" s="134">
        <v>0</v>
      </c>
      <c r="AN143" s="134">
        <v>0</v>
      </c>
      <c r="AO143" s="134">
        <v>0</v>
      </c>
      <c r="AP143" s="134">
        <v>0</v>
      </c>
    </row>
    <row r="144" spans="1:42" x14ac:dyDescent="0.25">
      <c r="A144" s="134">
        <v>0</v>
      </c>
      <c r="B144" s="134">
        <v>0</v>
      </c>
      <c r="C144" s="134">
        <v>0</v>
      </c>
      <c r="D144" s="134">
        <v>0</v>
      </c>
      <c r="E144" s="134">
        <v>0</v>
      </c>
      <c r="F144" s="134">
        <v>0</v>
      </c>
      <c r="G144" s="134">
        <v>0</v>
      </c>
      <c r="H144" s="134">
        <v>0</v>
      </c>
      <c r="I144" s="134">
        <v>0</v>
      </c>
      <c r="J144" s="134">
        <v>0</v>
      </c>
      <c r="K144" s="134">
        <v>0</v>
      </c>
      <c r="L144" s="134">
        <v>0</v>
      </c>
      <c r="M144" s="134">
        <v>0</v>
      </c>
      <c r="N144" s="134">
        <v>0</v>
      </c>
      <c r="O144" s="134">
        <v>0</v>
      </c>
      <c r="P144" s="134">
        <v>0</v>
      </c>
      <c r="Q144" s="134">
        <v>12</v>
      </c>
      <c r="R144" s="134">
        <v>0</v>
      </c>
      <c r="S144" s="134">
        <v>21</v>
      </c>
      <c r="T144" s="134">
        <v>0</v>
      </c>
      <c r="U144" s="134">
        <v>52</v>
      </c>
      <c r="V144" s="134">
        <v>0</v>
      </c>
      <c r="W144" s="134">
        <v>0</v>
      </c>
      <c r="X144" s="134">
        <v>0</v>
      </c>
      <c r="Y144" s="134">
        <v>12</v>
      </c>
      <c r="Z144" s="134">
        <v>0</v>
      </c>
      <c r="AA144" s="134">
        <v>0</v>
      </c>
      <c r="AB144" s="134">
        <v>0</v>
      </c>
      <c r="AC144" s="134">
        <v>0</v>
      </c>
      <c r="AD144" s="134">
        <v>0</v>
      </c>
      <c r="AE144" s="134">
        <v>0</v>
      </c>
      <c r="AF144" s="134">
        <v>0</v>
      </c>
      <c r="AG144" s="134">
        <v>0</v>
      </c>
      <c r="AH144" s="134">
        <v>0</v>
      </c>
      <c r="AI144" s="134">
        <v>0</v>
      </c>
      <c r="AJ144" s="134">
        <v>0</v>
      </c>
      <c r="AK144" s="134">
        <v>0</v>
      </c>
      <c r="AL144" s="134">
        <v>0</v>
      </c>
      <c r="AM144" s="134">
        <v>0</v>
      </c>
      <c r="AN144" s="134">
        <v>0</v>
      </c>
      <c r="AO144" s="134">
        <v>0</v>
      </c>
      <c r="AP144" s="134">
        <v>0</v>
      </c>
    </row>
    <row r="145" spans="1:42" x14ac:dyDescent="0.25">
      <c r="A145" s="134">
        <v>0</v>
      </c>
      <c r="B145" s="134">
        <v>0</v>
      </c>
      <c r="C145" s="134">
        <v>0</v>
      </c>
      <c r="D145" s="134">
        <v>0</v>
      </c>
      <c r="E145" s="134">
        <v>0</v>
      </c>
      <c r="F145" s="134">
        <v>0</v>
      </c>
      <c r="G145" s="134">
        <v>0</v>
      </c>
      <c r="H145" s="134">
        <v>0</v>
      </c>
      <c r="I145" s="134">
        <v>0</v>
      </c>
      <c r="J145" s="134">
        <v>0</v>
      </c>
      <c r="K145" s="134">
        <v>0</v>
      </c>
      <c r="L145" s="134">
        <v>0</v>
      </c>
      <c r="M145" s="134">
        <v>0</v>
      </c>
      <c r="N145" s="134">
        <v>0</v>
      </c>
      <c r="O145" s="134">
        <v>0</v>
      </c>
      <c r="P145" s="134">
        <v>0</v>
      </c>
      <c r="Q145" s="134">
        <v>0</v>
      </c>
      <c r="R145" s="134">
        <v>0</v>
      </c>
      <c r="S145" s="134">
        <v>0</v>
      </c>
      <c r="T145" s="134">
        <v>13</v>
      </c>
      <c r="U145" s="134">
        <v>23</v>
      </c>
      <c r="V145" s="134">
        <v>0</v>
      </c>
      <c r="W145" s="134">
        <v>61</v>
      </c>
      <c r="X145" s="134">
        <v>0</v>
      </c>
      <c r="Y145" s="134">
        <v>0</v>
      </c>
      <c r="Z145" s="134">
        <v>0</v>
      </c>
      <c r="AA145" s="134">
        <v>0</v>
      </c>
      <c r="AB145" s="134">
        <v>0</v>
      </c>
      <c r="AC145" s="134">
        <v>0</v>
      </c>
      <c r="AD145" s="134">
        <v>0</v>
      </c>
      <c r="AE145" s="134">
        <v>0</v>
      </c>
      <c r="AF145" s="134">
        <v>0</v>
      </c>
      <c r="AG145" s="134">
        <v>0</v>
      </c>
      <c r="AH145" s="134">
        <v>0</v>
      </c>
      <c r="AI145" s="134">
        <v>0</v>
      </c>
      <c r="AJ145" s="134">
        <v>0</v>
      </c>
      <c r="AK145" s="134">
        <v>0</v>
      </c>
      <c r="AL145" s="134">
        <v>0</v>
      </c>
      <c r="AM145" s="134">
        <v>0</v>
      </c>
      <c r="AN145" s="134">
        <v>0</v>
      </c>
      <c r="AO145" s="134">
        <v>0</v>
      </c>
      <c r="AP145" s="134">
        <v>0</v>
      </c>
    </row>
    <row r="146" spans="1:42" x14ac:dyDescent="0.25">
      <c r="A146" s="134">
        <v>0</v>
      </c>
      <c r="B146" s="134">
        <v>0</v>
      </c>
      <c r="C146" s="134">
        <v>0</v>
      </c>
      <c r="D146" s="134">
        <v>0</v>
      </c>
      <c r="E146" s="134">
        <v>0</v>
      </c>
      <c r="F146" s="134">
        <v>0</v>
      </c>
      <c r="G146" s="134">
        <v>0</v>
      </c>
      <c r="H146" s="134">
        <v>0</v>
      </c>
      <c r="I146" s="134">
        <v>0</v>
      </c>
      <c r="J146" s="134">
        <v>0</v>
      </c>
      <c r="K146" s="134">
        <v>0</v>
      </c>
      <c r="L146" s="134">
        <v>0</v>
      </c>
      <c r="M146" s="134">
        <v>0</v>
      </c>
      <c r="N146" s="134">
        <v>0</v>
      </c>
      <c r="O146" s="134">
        <v>0</v>
      </c>
      <c r="P146" s="134">
        <v>0</v>
      </c>
      <c r="Q146" s="134">
        <v>0</v>
      </c>
      <c r="R146" s="134">
        <v>0</v>
      </c>
      <c r="S146" s="134">
        <v>0</v>
      </c>
      <c r="T146" s="134">
        <v>0</v>
      </c>
      <c r="U146" s="134">
        <v>0</v>
      </c>
      <c r="V146" s="134">
        <v>0</v>
      </c>
      <c r="W146" s="134">
        <v>0</v>
      </c>
      <c r="X146" s="134">
        <v>0</v>
      </c>
      <c r="Y146" s="134">
        <v>0</v>
      </c>
      <c r="Z146" s="134">
        <v>0</v>
      </c>
      <c r="AA146" s="134">
        <v>0</v>
      </c>
      <c r="AB146" s="134">
        <v>0</v>
      </c>
      <c r="AC146" s="134">
        <v>0</v>
      </c>
      <c r="AD146" s="134">
        <v>0</v>
      </c>
      <c r="AE146" s="134">
        <v>0</v>
      </c>
      <c r="AF146" s="134">
        <v>0</v>
      </c>
      <c r="AG146" s="134">
        <v>0</v>
      </c>
      <c r="AH146" s="134">
        <v>0</v>
      </c>
      <c r="AI146" s="134">
        <v>0</v>
      </c>
      <c r="AJ146" s="134">
        <v>0</v>
      </c>
      <c r="AK146" s="134">
        <v>0</v>
      </c>
      <c r="AL146" s="134">
        <v>0</v>
      </c>
      <c r="AM146" s="134">
        <v>0</v>
      </c>
      <c r="AN146" s="134">
        <v>0</v>
      </c>
      <c r="AO146" s="134">
        <v>0</v>
      </c>
      <c r="AP146" s="134">
        <v>0</v>
      </c>
    </row>
    <row r="147" spans="1:42" ht="15.75" thickBot="1" x14ac:dyDescent="0.3"/>
    <row r="148" spans="1:42" x14ac:dyDescent="0.25">
      <c r="A148" s="113">
        <v>6</v>
      </c>
      <c r="B148" s="114">
        <v>6</v>
      </c>
      <c r="C148" s="114">
        <v>6</v>
      </c>
      <c r="D148" s="114">
        <v>6</v>
      </c>
      <c r="E148" s="114">
        <v>6</v>
      </c>
      <c r="F148" s="114">
        <v>6</v>
      </c>
      <c r="G148" s="114">
        <v>6</v>
      </c>
      <c r="H148" s="114">
        <v>6</v>
      </c>
      <c r="I148" s="114">
        <v>6</v>
      </c>
      <c r="J148" s="114">
        <v>6</v>
      </c>
      <c r="K148" s="114">
        <v>6</v>
      </c>
      <c r="L148" s="114">
        <v>6</v>
      </c>
      <c r="M148" s="114">
        <v>6</v>
      </c>
      <c r="N148" s="115">
        <v>6</v>
      </c>
      <c r="O148" s="115">
        <v>6</v>
      </c>
      <c r="P148" s="115">
        <v>6</v>
      </c>
      <c r="Q148" s="115">
        <v>6</v>
      </c>
      <c r="R148" s="115">
        <v>6</v>
      </c>
      <c r="S148" s="115">
        <v>6</v>
      </c>
      <c r="T148" s="115">
        <v>6</v>
      </c>
      <c r="U148" s="115">
        <v>6</v>
      </c>
      <c r="V148" s="115">
        <v>5</v>
      </c>
      <c r="W148" s="115">
        <v>5</v>
      </c>
      <c r="X148" s="115">
        <v>5</v>
      </c>
      <c r="Y148" s="115">
        <v>5</v>
      </c>
      <c r="Z148" s="115">
        <v>5</v>
      </c>
      <c r="AA148" s="116">
        <v>6</v>
      </c>
      <c r="AB148" s="116">
        <v>6</v>
      </c>
      <c r="AC148" s="116">
        <v>6</v>
      </c>
      <c r="AD148" s="116">
        <v>6</v>
      </c>
      <c r="AE148" s="116">
        <v>6</v>
      </c>
      <c r="AF148" s="116">
        <v>6</v>
      </c>
      <c r="AG148" s="116">
        <v>6</v>
      </c>
      <c r="AH148" s="116">
        <v>6</v>
      </c>
      <c r="AI148" s="116">
        <v>6</v>
      </c>
      <c r="AJ148" s="116">
        <v>6</v>
      </c>
      <c r="AK148" s="116">
        <v>6</v>
      </c>
      <c r="AL148" s="116">
        <v>6</v>
      </c>
      <c r="AM148" s="116">
        <v>6</v>
      </c>
      <c r="AN148" s="116">
        <v>6</v>
      </c>
      <c r="AO148" s="116">
        <v>6</v>
      </c>
      <c r="AP148" s="117">
        <v>6</v>
      </c>
    </row>
    <row r="149" spans="1:42" x14ac:dyDescent="0.25">
      <c r="A149" s="118">
        <v>6</v>
      </c>
      <c r="B149" s="119">
        <v>6</v>
      </c>
      <c r="C149" s="119">
        <v>6</v>
      </c>
      <c r="D149" s="119">
        <v>6</v>
      </c>
      <c r="E149" s="119">
        <v>6</v>
      </c>
      <c r="F149" s="119">
        <v>6</v>
      </c>
      <c r="G149" s="119">
        <v>6</v>
      </c>
      <c r="H149" s="119">
        <v>6</v>
      </c>
      <c r="I149" s="119">
        <v>6</v>
      </c>
      <c r="J149" s="119">
        <v>6</v>
      </c>
      <c r="K149" s="119">
        <v>5</v>
      </c>
      <c r="L149" s="119">
        <v>5</v>
      </c>
      <c r="M149" s="119">
        <v>5</v>
      </c>
      <c r="N149" s="109">
        <v>5</v>
      </c>
      <c r="O149" s="109">
        <v>5</v>
      </c>
      <c r="P149" s="109">
        <v>5</v>
      </c>
      <c r="Q149" s="109">
        <v>6</v>
      </c>
      <c r="R149" s="109">
        <v>6</v>
      </c>
      <c r="S149" s="109">
        <v>6</v>
      </c>
      <c r="T149" s="109">
        <v>6</v>
      </c>
      <c r="U149" s="109">
        <v>6</v>
      </c>
      <c r="V149" s="109">
        <v>5</v>
      </c>
      <c r="W149" s="109">
        <v>5</v>
      </c>
      <c r="X149" s="109">
        <v>5</v>
      </c>
      <c r="Y149" s="109">
        <v>5</v>
      </c>
      <c r="Z149" s="109">
        <v>5</v>
      </c>
      <c r="AA149" s="120">
        <v>5</v>
      </c>
      <c r="AB149" s="120">
        <v>5</v>
      </c>
      <c r="AC149" s="120">
        <v>5</v>
      </c>
      <c r="AD149" s="120">
        <v>6</v>
      </c>
      <c r="AE149" s="120">
        <v>6</v>
      </c>
      <c r="AF149" s="120">
        <v>6</v>
      </c>
      <c r="AG149" s="120">
        <v>6</v>
      </c>
      <c r="AH149" s="120">
        <v>6</v>
      </c>
      <c r="AI149" s="120">
        <v>6</v>
      </c>
      <c r="AJ149" s="120">
        <v>6</v>
      </c>
      <c r="AK149" s="120">
        <v>6</v>
      </c>
      <c r="AL149" s="120">
        <v>6</v>
      </c>
      <c r="AM149" s="120">
        <v>6</v>
      </c>
      <c r="AN149" s="120">
        <v>6</v>
      </c>
      <c r="AO149" s="120">
        <v>6</v>
      </c>
      <c r="AP149" s="121">
        <v>6</v>
      </c>
    </row>
    <row r="150" spans="1:42" x14ac:dyDescent="0.25">
      <c r="A150" s="118">
        <v>6</v>
      </c>
      <c r="B150" s="119">
        <v>6</v>
      </c>
      <c r="C150" s="119">
        <v>6</v>
      </c>
      <c r="D150" s="119">
        <v>6</v>
      </c>
      <c r="E150" s="119">
        <v>6</v>
      </c>
      <c r="F150" s="119">
        <v>6</v>
      </c>
      <c r="G150" s="119">
        <v>6</v>
      </c>
      <c r="H150" s="119">
        <v>6</v>
      </c>
      <c r="I150" s="119">
        <v>6</v>
      </c>
      <c r="J150" s="119">
        <v>6</v>
      </c>
      <c r="K150" s="119">
        <v>6</v>
      </c>
      <c r="L150" s="119">
        <v>6</v>
      </c>
      <c r="M150" s="119">
        <v>5</v>
      </c>
      <c r="N150" s="109">
        <v>5</v>
      </c>
      <c r="O150" s="109">
        <v>4</v>
      </c>
      <c r="P150" s="109">
        <v>4</v>
      </c>
      <c r="Q150" s="109">
        <v>4</v>
      </c>
      <c r="R150" s="109">
        <v>4</v>
      </c>
      <c r="S150" s="109">
        <v>4</v>
      </c>
      <c r="T150" s="109">
        <v>4</v>
      </c>
      <c r="U150" s="109">
        <v>5</v>
      </c>
      <c r="V150" s="109">
        <v>5</v>
      </c>
      <c r="W150" s="109">
        <v>5</v>
      </c>
      <c r="X150" s="109">
        <v>5</v>
      </c>
      <c r="Y150" s="109">
        <v>5</v>
      </c>
      <c r="Z150" s="109">
        <v>5</v>
      </c>
      <c r="AA150" s="120">
        <v>6</v>
      </c>
      <c r="AB150" s="120">
        <v>6</v>
      </c>
      <c r="AC150" s="120">
        <v>6</v>
      </c>
      <c r="AD150" s="120">
        <v>6</v>
      </c>
      <c r="AE150" s="120">
        <v>6</v>
      </c>
      <c r="AF150" s="120">
        <v>6</v>
      </c>
      <c r="AG150" s="120">
        <v>6</v>
      </c>
      <c r="AH150" s="120">
        <v>6</v>
      </c>
      <c r="AI150" s="120">
        <v>6</v>
      </c>
      <c r="AJ150" s="120">
        <v>6</v>
      </c>
      <c r="AK150" s="120">
        <v>6</v>
      </c>
      <c r="AL150" s="120">
        <v>6</v>
      </c>
      <c r="AM150" s="120">
        <v>6</v>
      </c>
      <c r="AN150" s="120">
        <v>6</v>
      </c>
      <c r="AO150" s="120">
        <v>6</v>
      </c>
      <c r="AP150" s="121">
        <v>6</v>
      </c>
    </row>
    <row r="151" spans="1:42" x14ac:dyDescent="0.25">
      <c r="A151" s="118">
        <v>6</v>
      </c>
      <c r="B151" s="119">
        <v>6</v>
      </c>
      <c r="C151" s="119">
        <v>6</v>
      </c>
      <c r="D151" s="119">
        <v>6</v>
      </c>
      <c r="E151" s="119">
        <v>6</v>
      </c>
      <c r="F151" s="119">
        <v>5</v>
      </c>
      <c r="G151" s="119">
        <v>5</v>
      </c>
      <c r="H151" s="119">
        <v>5</v>
      </c>
      <c r="I151" s="119">
        <v>5</v>
      </c>
      <c r="J151" s="119">
        <v>5</v>
      </c>
      <c r="K151" s="119">
        <v>5</v>
      </c>
      <c r="L151" s="119">
        <v>5</v>
      </c>
      <c r="M151" s="119">
        <v>5</v>
      </c>
      <c r="N151" s="109">
        <v>5</v>
      </c>
      <c r="O151" s="109">
        <v>5</v>
      </c>
      <c r="P151" s="109">
        <v>5</v>
      </c>
      <c r="Q151" s="109">
        <v>5</v>
      </c>
      <c r="R151" s="109">
        <v>4</v>
      </c>
      <c r="S151" s="109">
        <v>4</v>
      </c>
      <c r="T151" s="109">
        <v>4</v>
      </c>
      <c r="U151" s="109">
        <v>4</v>
      </c>
      <c r="V151" s="109">
        <v>4</v>
      </c>
      <c r="W151" s="109">
        <v>4</v>
      </c>
      <c r="X151" s="109">
        <v>4</v>
      </c>
      <c r="Y151" s="109">
        <v>4</v>
      </c>
      <c r="Z151" s="109">
        <v>4</v>
      </c>
      <c r="AA151" s="120">
        <v>5</v>
      </c>
      <c r="AB151" s="120">
        <v>5</v>
      </c>
      <c r="AC151" s="120">
        <v>5</v>
      </c>
      <c r="AD151" s="120">
        <v>5</v>
      </c>
      <c r="AE151" s="120">
        <v>5</v>
      </c>
      <c r="AF151" s="120">
        <v>5</v>
      </c>
      <c r="AG151" s="120">
        <v>5</v>
      </c>
      <c r="AH151" s="120">
        <v>5</v>
      </c>
      <c r="AI151" s="120">
        <v>5</v>
      </c>
      <c r="AJ151" s="120">
        <v>6</v>
      </c>
      <c r="AK151" s="120">
        <v>6</v>
      </c>
      <c r="AL151" s="120">
        <v>6</v>
      </c>
      <c r="AM151" s="120">
        <v>6</v>
      </c>
      <c r="AN151" s="120">
        <v>6</v>
      </c>
      <c r="AO151" s="120">
        <v>6</v>
      </c>
      <c r="AP151" s="121">
        <v>6</v>
      </c>
    </row>
    <row r="152" spans="1:42" x14ac:dyDescent="0.25">
      <c r="A152" s="118">
        <v>6</v>
      </c>
      <c r="B152" s="119">
        <v>6</v>
      </c>
      <c r="C152" s="119">
        <v>6</v>
      </c>
      <c r="D152" s="119">
        <v>6</v>
      </c>
      <c r="E152" s="119">
        <v>6</v>
      </c>
      <c r="F152" s="119">
        <v>5</v>
      </c>
      <c r="G152" s="119">
        <v>6</v>
      </c>
      <c r="H152" s="119">
        <v>6</v>
      </c>
      <c r="I152" s="119">
        <v>6</v>
      </c>
      <c r="J152" s="119">
        <v>6</v>
      </c>
      <c r="K152" s="119">
        <v>5</v>
      </c>
      <c r="L152" s="119">
        <v>5</v>
      </c>
      <c r="M152" s="119">
        <v>5</v>
      </c>
      <c r="N152" s="109">
        <v>5</v>
      </c>
      <c r="O152" s="109">
        <v>5</v>
      </c>
      <c r="P152" s="109">
        <v>5</v>
      </c>
      <c r="Q152" s="109">
        <v>4</v>
      </c>
      <c r="R152" s="109">
        <v>2</v>
      </c>
      <c r="S152" s="109">
        <v>3</v>
      </c>
      <c r="T152" s="109">
        <v>3</v>
      </c>
      <c r="U152" s="109">
        <v>3</v>
      </c>
      <c r="V152" s="109">
        <v>2</v>
      </c>
      <c r="W152" s="109">
        <v>3</v>
      </c>
      <c r="X152" s="109">
        <v>3</v>
      </c>
      <c r="Y152" s="109">
        <v>4</v>
      </c>
      <c r="Z152" s="109">
        <v>5</v>
      </c>
      <c r="AA152" s="120">
        <v>5</v>
      </c>
      <c r="AB152" s="120">
        <v>5</v>
      </c>
      <c r="AC152" s="120">
        <v>5</v>
      </c>
      <c r="AD152" s="120">
        <v>5</v>
      </c>
      <c r="AE152" s="120">
        <v>5</v>
      </c>
      <c r="AF152" s="120">
        <v>5</v>
      </c>
      <c r="AG152" s="120">
        <v>5</v>
      </c>
      <c r="AH152" s="120">
        <v>5</v>
      </c>
      <c r="AI152" s="120">
        <v>5</v>
      </c>
      <c r="AJ152" s="120">
        <v>6</v>
      </c>
      <c r="AK152" s="120">
        <v>6</v>
      </c>
      <c r="AL152" s="120">
        <v>6</v>
      </c>
      <c r="AM152" s="120">
        <v>6</v>
      </c>
      <c r="AN152" s="120">
        <v>6</v>
      </c>
      <c r="AO152" s="120">
        <v>6</v>
      </c>
      <c r="AP152" s="121">
        <v>6</v>
      </c>
    </row>
    <row r="153" spans="1:42" x14ac:dyDescent="0.25">
      <c r="A153" s="118">
        <v>6</v>
      </c>
      <c r="B153" s="119">
        <v>6</v>
      </c>
      <c r="C153" s="119">
        <v>6</v>
      </c>
      <c r="D153" s="119">
        <v>6</v>
      </c>
      <c r="E153" s="119">
        <v>6</v>
      </c>
      <c r="F153" s="119">
        <v>5</v>
      </c>
      <c r="G153" s="119">
        <v>5</v>
      </c>
      <c r="H153" s="119">
        <v>5</v>
      </c>
      <c r="I153" s="119">
        <v>5</v>
      </c>
      <c r="J153" s="119">
        <v>5</v>
      </c>
      <c r="K153" s="119">
        <v>5</v>
      </c>
      <c r="L153" s="119">
        <v>5</v>
      </c>
      <c r="M153" s="119">
        <v>5</v>
      </c>
      <c r="N153" s="122">
        <v>5</v>
      </c>
      <c r="O153" s="122">
        <v>5</v>
      </c>
      <c r="P153" s="122">
        <v>4</v>
      </c>
      <c r="Q153" s="122">
        <v>3</v>
      </c>
      <c r="R153" s="122">
        <v>2</v>
      </c>
      <c r="S153" s="122">
        <v>2</v>
      </c>
      <c r="T153" s="122">
        <v>2</v>
      </c>
      <c r="U153" s="122">
        <v>3</v>
      </c>
      <c r="V153" s="122">
        <v>2</v>
      </c>
      <c r="W153" s="122">
        <v>2</v>
      </c>
      <c r="X153" s="122">
        <v>3</v>
      </c>
      <c r="Y153" s="122">
        <v>4</v>
      </c>
      <c r="Z153" s="122">
        <v>5</v>
      </c>
      <c r="AA153" s="120">
        <v>4</v>
      </c>
      <c r="AB153" s="120">
        <v>5</v>
      </c>
      <c r="AC153" s="120">
        <v>5</v>
      </c>
      <c r="AD153" s="120">
        <v>5</v>
      </c>
      <c r="AE153" s="120">
        <v>5</v>
      </c>
      <c r="AF153" s="120">
        <v>5</v>
      </c>
      <c r="AG153" s="120">
        <v>5</v>
      </c>
      <c r="AH153" s="120">
        <v>5</v>
      </c>
      <c r="AI153" s="120">
        <v>5</v>
      </c>
      <c r="AJ153" s="120">
        <v>6</v>
      </c>
      <c r="AK153" s="120">
        <v>6</v>
      </c>
      <c r="AL153" s="120">
        <v>6</v>
      </c>
      <c r="AM153" s="120">
        <v>6</v>
      </c>
      <c r="AN153" s="120">
        <v>6</v>
      </c>
      <c r="AO153" s="120">
        <v>6</v>
      </c>
      <c r="AP153" s="121">
        <v>6</v>
      </c>
    </row>
    <row r="154" spans="1:42" ht="15.75" thickBot="1" x14ac:dyDescent="0.3">
      <c r="A154" s="123">
        <v>6</v>
      </c>
      <c r="B154" s="124">
        <v>6</v>
      </c>
      <c r="C154" s="124">
        <v>6</v>
      </c>
      <c r="D154" s="124">
        <v>6</v>
      </c>
      <c r="E154" s="124">
        <v>6</v>
      </c>
      <c r="F154" s="124">
        <v>5</v>
      </c>
      <c r="G154" s="124">
        <v>5</v>
      </c>
      <c r="H154" s="124">
        <v>5</v>
      </c>
      <c r="I154" s="124">
        <v>5</v>
      </c>
      <c r="J154" s="124">
        <v>5</v>
      </c>
      <c r="K154" s="124">
        <v>5</v>
      </c>
      <c r="L154" s="124">
        <v>5</v>
      </c>
      <c r="M154" s="124">
        <v>5</v>
      </c>
      <c r="N154" s="122">
        <v>4</v>
      </c>
      <c r="O154" s="122">
        <v>4</v>
      </c>
      <c r="P154" s="122">
        <v>4</v>
      </c>
      <c r="Q154" s="122">
        <v>3</v>
      </c>
      <c r="R154" s="122">
        <v>2</v>
      </c>
      <c r="S154" s="122">
        <v>1</v>
      </c>
      <c r="T154" s="122">
        <v>2</v>
      </c>
      <c r="U154" s="122">
        <v>1</v>
      </c>
      <c r="V154" s="122">
        <v>1</v>
      </c>
      <c r="W154" s="122">
        <v>1</v>
      </c>
      <c r="X154" s="122">
        <v>2</v>
      </c>
      <c r="Y154" s="122">
        <v>2</v>
      </c>
      <c r="Z154" s="122">
        <v>3</v>
      </c>
      <c r="AA154" s="120">
        <v>4</v>
      </c>
      <c r="AB154" s="120">
        <v>4</v>
      </c>
      <c r="AC154" s="120">
        <v>5</v>
      </c>
      <c r="AD154" s="120">
        <v>4</v>
      </c>
      <c r="AE154" s="120">
        <v>5</v>
      </c>
      <c r="AF154" s="120">
        <v>5</v>
      </c>
      <c r="AG154" s="120">
        <v>5</v>
      </c>
      <c r="AH154" s="120">
        <v>5</v>
      </c>
      <c r="AI154" s="120">
        <v>5</v>
      </c>
      <c r="AJ154" s="120">
        <v>6</v>
      </c>
      <c r="AK154" s="120">
        <v>6</v>
      </c>
      <c r="AL154" s="120">
        <v>6</v>
      </c>
      <c r="AM154" s="120">
        <v>6</v>
      </c>
      <c r="AN154" s="120">
        <v>6</v>
      </c>
      <c r="AO154" s="120">
        <v>6</v>
      </c>
      <c r="AP154" s="121">
        <v>6</v>
      </c>
    </row>
    <row r="155" spans="1:42" ht="15.75" thickBot="1" x14ac:dyDescent="0.3">
      <c r="A155" s="123">
        <v>6</v>
      </c>
      <c r="B155" s="124">
        <v>6</v>
      </c>
      <c r="C155" s="124">
        <v>6</v>
      </c>
      <c r="D155" s="124">
        <v>6</v>
      </c>
      <c r="E155" s="124">
        <v>6</v>
      </c>
      <c r="F155" s="124">
        <v>5</v>
      </c>
      <c r="G155" s="124">
        <v>6</v>
      </c>
      <c r="H155" s="124">
        <v>6</v>
      </c>
      <c r="I155" s="124">
        <v>6</v>
      </c>
      <c r="J155" s="124">
        <v>6</v>
      </c>
      <c r="K155" s="124">
        <v>5</v>
      </c>
      <c r="L155" s="124">
        <v>5</v>
      </c>
      <c r="M155" s="124">
        <v>5</v>
      </c>
      <c r="N155" s="122">
        <v>4</v>
      </c>
      <c r="O155" s="122">
        <v>4</v>
      </c>
      <c r="P155" s="122">
        <v>3</v>
      </c>
      <c r="Q155" s="122">
        <v>3</v>
      </c>
      <c r="R155" s="122">
        <v>2</v>
      </c>
      <c r="S155" s="122">
        <v>1</v>
      </c>
      <c r="T155" s="122">
        <v>1</v>
      </c>
      <c r="U155" s="125">
        <v>1</v>
      </c>
      <c r="V155" s="122">
        <v>2</v>
      </c>
      <c r="W155" s="122">
        <v>2</v>
      </c>
      <c r="X155" s="122">
        <v>2</v>
      </c>
      <c r="Y155" s="122">
        <v>3</v>
      </c>
      <c r="Z155" s="122">
        <v>3</v>
      </c>
      <c r="AA155" s="120">
        <v>4</v>
      </c>
      <c r="AB155" s="120">
        <v>4</v>
      </c>
      <c r="AC155" s="120">
        <v>4</v>
      </c>
      <c r="AD155" s="120">
        <v>6</v>
      </c>
      <c r="AE155" s="120">
        <v>6</v>
      </c>
      <c r="AF155" s="120">
        <v>6</v>
      </c>
      <c r="AG155" s="120">
        <v>6</v>
      </c>
      <c r="AH155" s="120">
        <v>5</v>
      </c>
      <c r="AI155" s="120">
        <v>5</v>
      </c>
      <c r="AJ155" s="120">
        <v>5</v>
      </c>
      <c r="AK155" s="120">
        <v>5</v>
      </c>
      <c r="AL155" s="120">
        <v>6</v>
      </c>
      <c r="AM155" s="120">
        <v>6</v>
      </c>
      <c r="AN155" s="120">
        <v>6</v>
      </c>
      <c r="AO155" s="120">
        <v>6</v>
      </c>
      <c r="AP155" s="121">
        <v>6</v>
      </c>
    </row>
    <row r="156" spans="1:42" x14ac:dyDescent="0.25">
      <c r="A156" s="123">
        <v>6</v>
      </c>
      <c r="B156" s="124">
        <v>6</v>
      </c>
      <c r="C156" s="124">
        <v>6</v>
      </c>
      <c r="D156" s="124">
        <v>6</v>
      </c>
      <c r="E156" s="124">
        <v>6</v>
      </c>
      <c r="F156" s="124">
        <v>5</v>
      </c>
      <c r="G156" s="124">
        <v>6</v>
      </c>
      <c r="H156" s="124">
        <v>6</v>
      </c>
      <c r="I156" s="124">
        <v>6</v>
      </c>
      <c r="J156" s="124">
        <v>6</v>
      </c>
      <c r="K156" s="124">
        <v>5</v>
      </c>
      <c r="L156" s="124">
        <v>5</v>
      </c>
      <c r="M156" s="124">
        <v>5</v>
      </c>
      <c r="N156" s="126">
        <v>4</v>
      </c>
      <c r="O156" s="126">
        <v>4</v>
      </c>
      <c r="P156" s="126">
        <v>4</v>
      </c>
      <c r="Q156" s="126">
        <v>2</v>
      </c>
      <c r="R156" s="124">
        <v>2</v>
      </c>
      <c r="S156" s="124">
        <v>2</v>
      </c>
      <c r="T156" s="124">
        <v>2</v>
      </c>
      <c r="U156" s="124">
        <v>3</v>
      </c>
      <c r="V156" s="124">
        <v>3</v>
      </c>
      <c r="W156" s="127">
        <v>1</v>
      </c>
      <c r="X156" s="127">
        <v>1</v>
      </c>
      <c r="Y156" s="127">
        <v>1</v>
      </c>
      <c r="Z156" s="127">
        <v>1</v>
      </c>
      <c r="AA156" s="124">
        <v>4</v>
      </c>
      <c r="AB156" s="124">
        <v>4</v>
      </c>
      <c r="AC156" s="124">
        <v>4</v>
      </c>
      <c r="AD156" s="124">
        <v>4</v>
      </c>
      <c r="AE156" s="124">
        <v>4</v>
      </c>
      <c r="AF156" s="124">
        <v>4</v>
      </c>
      <c r="AG156" s="124">
        <v>4</v>
      </c>
      <c r="AH156" s="124">
        <v>5</v>
      </c>
      <c r="AI156" s="124">
        <v>5</v>
      </c>
      <c r="AJ156" s="124">
        <v>5</v>
      </c>
      <c r="AK156" s="124">
        <v>5</v>
      </c>
      <c r="AL156" s="124">
        <v>5</v>
      </c>
      <c r="AM156" s="124">
        <v>5</v>
      </c>
      <c r="AN156" s="124">
        <v>5</v>
      </c>
      <c r="AO156" s="124">
        <v>5</v>
      </c>
      <c r="AP156" s="128">
        <v>5</v>
      </c>
    </row>
    <row r="157" spans="1:42" ht="15.75" thickBot="1" x14ac:dyDescent="0.3">
      <c r="A157" s="129">
        <v>6</v>
      </c>
      <c r="B157" s="130">
        <v>6</v>
      </c>
      <c r="C157" s="130">
        <v>6</v>
      </c>
      <c r="D157" s="130">
        <v>6</v>
      </c>
      <c r="E157" s="130">
        <v>6</v>
      </c>
      <c r="F157" s="130">
        <v>5</v>
      </c>
      <c r="G157" s="130">
        <v>6</v>
      </c>
      <c r="H157" s="130">
        <v>6</v>
      </c>
      <c r="I157" s="130">
        <v>6</v>
      </c>
      <c r="J157" s="130">
        <v>6</v>
      </c>
      <c r="K157" s="130">
        <v>5</v>
      </c>
      <c r="L157" s="130">
        <v>5</v>
      </c>
      <c r="M157" s="130">
        <v>5</v>
      </c>
      <c r="N157" s="131">
        <v>5</v>
      </c>
      <c r="O157" s="131">
        <v>5</v>
      </c>
      <c r="P157" s="131">
        <v>5</v>
      </c>
      <c r="Q157" s="131">
        <v>5</v>
      </c>
      <c r="R157" s="130">
        <v>5</v>
      </c>
      <c r="S157" s="130">
        <v>5</v>
      </c>
      <c r="T157" s="130">
        <v>5</v>
      </c>
      <c r="U157" s="130">
        <v>5</v>
      </c>
      <c r="V157" s="130">
        <v>5</v>
      </c>
      <c r="W157" s="132">
        <v>2</v>
      </c>
      <c r="X157" s="132">
        <v>2</v>
      </c>
      <c r="Y157" s="132">
        <v>2</v>
      </c>
      <c r="Z157" s="132">
        <v>2</v>
      </c>
      <c r="AA157" s="130">
        <v>6</v>
      </c>
      <c r="AB157" s="130">
        <v>6</v>
      </c>
      <c r="AC157" s="130">
        <v>6</v>
      </c>
      <c r="AD157" s="130">
        <v>6</v>
      </c>
      <c r="AE157" s="130">
        <v>6</v>
      </c>
      <c r="AF157" s="130">
        <v>6</v>
      </c>
      <c r="AG157" s="130">
        <v>6</v>
      </c>
      <c r="AH157" s="130">
        <v>6</v>
      </c>
      <c r="AI157" s="130">
        <v>6</v>
      </c>
      <c r="AJ157" s="130">
        <v>6</v>
      </c>
      <c r="AK157" s="130">
        <v>6</v>
      </c>
      <c r="AL157" s="130">
        <v>6</v>
      </c>
      <c r="AM157" s="130">
        <v>6</v>
      </c>
      <c r="AN157" s="130">
        <v>6</v>
      </c>
      <c r="AO157" s="130">
        <v>6</v>
      </c>
      <c r="AP157" s="133">
        <v>6</v>
      </c>
    </row>
    <row r="158" spans="1:42" x14ac:dyDescent="0.25">
      <c r="A158" s="134">
        <v>0</v>
      </c>
      <c r="B158" s="134">
        <v>0</v>
      </c>
      <c r="C158" s="134">
        <v>0</v>
      </c>
      <c r="D158" s="134">
        <v>0</v>
      </c>
      <c r="E158" s="134">
        <v>0</v>
      </c>
      <c r="F158" s="134">
        <v>0</v>
      </c>
      <c r="G158" s="134">
        <v>0</v>
      </c>
      <c r="H158" s="134">
        <v>0</v>
      </c>
      <c r="I158" s="134">
        <v>0</v>
      </c>
      <c r="J158" s="134">
        <v>0</v>
      </c>
      <c r="K158" s="134">
        <v>0</v>
      </c>
      <c r="L158" s="134">
        <v>0</v>
      </c>
      <c r="M158" s="134">
        <v>0</v>
      </c>
      <c r="N158" s="134">
        <v>0</v>
      </c>
      <c r="O158" s="134">
        <v>0</v>
      </c>
      <c r="P158" s="134">
        <v>0</v>
      </c>
      <c r="Q158" s="134">
        <v>0</v>
      </c>
      <c r="R158" s="134">
        <v>0</v>
      </c>
      <c r="S158" s="134">
        <v>0</v>
      </c>
      <c r="T158" s="134">
        <v>0</v>
      </c>
      <c r="U158" s="134">
        <v>0</v>
      </c>
      <c r="V158" s="134">
        <v>0</v>
      </c>
      <c r="W158" s="134">
        <v>0</v>
      </c>
      <c r="X158" s="134">
        <v>0</v>
      </c>
      <c r="Y158" s="134">
        <v>0</v>
      </c>
      <c r="Z158" s="134">
        <v>0</v>
      </c>
      <c r="AA158" s="134">
        <v>0</v>
      </c>
      <c r="AB158" s="134">
        <v>0</v>
      </c>
      <c r="AC158" s="134">
        <v>0</v>
      </c>
      <c r="AD158" s="134">
        <v>0</v>
      </c>
      <c r="AE158" s="134">
        <v>0</v>
      </c>
      <c r="AF158" s="134">
        <v>0</v>
      </c>
      <c r="AG158" s="134">
        <v>0</v>
      </c>
      <c r="AH158" s="134">
        <v>0</v>
      </c>
      <c r="AI158" s="134">
        <v>0</v>
      </c>
      <c r="AJ158" s="134">
        <v>0</v>
      </c>
      <c r="AK158" s="134">
        <v>0</v>
      </c>
      <c r="AL158" s="134">
        <v>0</v>
      </c>
      <c r="AM158" s="134">
        <v>0</v>
      </c>
      <c r="AN158" s="134">
        <v>0</v>
      </c>
      <c r="AO158" s="134">
        <v>0</v>
      </c>
      <c r="AP158" s="134">
        <v>0</v>
      </c>
    </row>
    <row r="159" spans="1:42" x14ac:dyDescent="0.25">
      <c r="A159" s="134">
        <v>0</v>
      </c>
      <c r="B159" s="134">
        <v>0</v>
      </c>
      <c r="C159" s="134">
        <v>0</v>
      </c>
      <c r="D159" s="134">
        <v>0</v>
      </c>
      <c r="E159" s="134">
        <v>0</v>
      </c>
      <c r="F159" s="134">
        <v>0</v>
      </c>
      <c r="G159" s="134">
        <v>0</v>
      </c>
      <c r="H159" s="134">
        <v>0</v>
      </c>
      <c r="I159" s="134">
        <v>0</v>
      </c>
      <c r="J159" s="134">
        <v>0</v>
      </c>
      <c r="K159" s="134">
        <v>0</v>
      </c>
      <c r="L159" s="134">
        <v>0</v>
      </c>
      <c r="M159" s="134">
        <v>0</v>
      </c>
      <c r="N159" s="134">
        <v>0</v>
      </c>
      <c r="O159" s="134">
        <v>0</v>
      </c>
      <c r="P159" s="134">
        <v>0</v>
      </c>
      <c r="Q159" s="134">
        <v>0</v>
      </c>
      <c r="R159" s="134">
        <v>0</v>
      </c>
      <c r="S159" s="134">
        <v>0</v>
      </c>
      <c r="T159" s="134">
        <v>0</v>
      </c>
      <c r="U159" s="134">
        <v>0</v>
      </c>
      <c r="V159" s="134">
        <v>0</v>
      </c>
      <c r="W159" s="134">
        <v>0</v>
      </c>
      <c r="X159" s="134">
        <v>0</v>
      </c>
      <c r="Y159" s="134">
        <v>0</v>
      </c>
      <c r="Z159" s="134">
        <v>0</v>
      </c>
      <c r="AA159" s="134">
        <v>0</v>
      </c>
      <c r="AB159" s="134">
        <v>0</v>
      </c>
      <c r="AC159" s="134">
        <v>0</v>
      </c>
      <c r="AD159" s="134">
        <v>0</v>
      </c>
      <c r="AE159" s="134">
        <v>0</v>
      </c>
      <c r="AF159" s="134">
        <v>0</v>
      </c>
      <c r="AG159" s="134">
        <v>0</v>
      </c>
      <c r="AH159" s="134">
        <v>0</v>
      </c>
      <c r="AI159" s="134">
        <v>0</v>
      </c>
      <c r="AJ159" s="134">
        <v>0</v>
      </c>
      <c r="AK159" s="134">
        <v>0</v>
      </c>
      <c r="AL159" s="134">
        <v>0</v>
      </c>
      <c r="AM159" s="134">
        <v>0</v>
      </c>
      <c r="AN159" s="134">
        <v>0</v>
      </c>
      <c r="AO159" s="134">
        <v>0</v>
      </c>
      <c r="AP159" s="134">
        <v>0</v>
      </c>
    </row>
    <row r="160" spans="1:42" x14ac:dyDescent="0.25">
      <c r="A160" s="134">
        <v>0</v>
      </c>
      <c r="B160" s="134">
        <v>0</v>
      </c>
      <c r="C160" s="134">
        <v>0</v>
      </c>
      <c r="D160" s="134">
        <v>0</v>
      </c>
      <c r="E160" s="134">
        <v>0</v>
      </c>
      <c r="F160" s="134">
        <v>0</v>
      </c>
      <c r="G160" s="134">
        <v>0</v>
      </c>
      <c r="H160" s="134">
        <v>0</v>
      </c>
      <c r="I160" s="134">
        <v>0</v>
      </c>
      <c r="J160" s="134">
        <v>0</v>
      </c>
      <c r="K160" s="134">
        <v>0</v>
      </c>
      <c r="L160" s="134">
        <v>0</v>
      </c>
      <c r="M160" s="134">
        <v>0</v>
      </c>
      <c r="N160" s="134">
        <v>0</v>
      </c>
      <c r="O160" s="134">
        <v>0</v>
      </c>
      <c r="P160" s="134">
        <v>0</v>
      </c>
      <c r="Q160" s="134">
        <v>0</v>
      </c>
      <c r="R160" s="134">
        <v>0</v>
      </c>
      <c r="S160" s="134">
        <v>0</v>
      </c>
      <c r="T160" s="134">
        <v>0</v>
      </c>
      <c r="U160" s="134">
        <v>0</v>
      </c>
      <c r="V160" s="134">
        <v>0</v>
      </c>
      <c r="W160" s="134">
        <v>0</v>
      </c>
      <c r="X160" s="134">
        <v>0</v>
      </c>
      <c r="Y160" s="134">
        <v>0</v>
      </c>
      <c r="Z160" s="134">
        <v>0</v>
      </c>
      <c r="AA160" s="134">
        <v>0</v>
      </c>
      <c r="AB160" s="134">
        <v>0</v>
      </c>
      <c r="AC160" s="134">
        <v>0</v>
      </c>
      <c r="AD160" s="134">
        <v>0</v>
      </c>
      <c r="AE160" s="134">
        <v>0</v>
      </c>
      <c r="AF160" s="134">
        <v>0</v>
      </c>
      <c r="AG160" s="134">
        <v>0</v>
      </c>
      <c r="AH160" s="134">
        <v>0</v>
      </c>
      <c r="AI160" s="134">
        <v>0</v>
      </c>
      <c r="AJ160" s="134">
        <v>0</v>
      </c>
      <c r="AK160" s="134">
        <v>0</v>
      </c>
      <c r="AL160" s="134">
        <v>0</v>
      </c>
      <c r="AM160" s="134">
        <v>0</v>
      </c>
      <c r="AN160" s="134">
        <v>0</v>
      </c>
      <c r="AO160" s="134">
        <v>0</v>
      </c>
      <c r="AP160" s="134">
        <v>0</v>
      </c>
    </row>
    <row r="161" spans="1:42" x14ac:dyDescent="0.25">
      <c r="A161" s="134">
        <v>0</v>
      </c>
      <c r="B161" s="134">
        <v>0</v>
      </c>
      <c r="C161" s="134">
        <v>0</v>
      </c>
      <c r="D161" s="134">
        <v>0</v>
      </c>
      <c r="E161" s="134">
        <v>0</v>
      </c>
      <c r="F161" s="134">
        <v>0</v>
      </c>
      <c r="G161" s="134">
        <v>0</v>
      </c>
      <c r="H161" s="134">
        <v>0</v>
      </c>
      <c r="I161" s="134">
        <v>0</v>
      </c>
      <c r="J161" s="134">
        <v>0</v>
      </c>
      <c r="K161" s="134">
        <v>0</v>
      </c>
      <c r="L161" s="134">
        <v>0</v>
      </c>
      <c r="M161" s="134">
        <v>0</v>
      </c>
      <c r="N161" s="134">
        <v>0</v>
      </c>
      <c r="O161" s="134">
        <v>0</v>
      </c>
      <c r="P161" s="134">
        <v>0</v>
      </c>
      <c r="Q161" s="134">
        <v>0</v>
      </c>
      <c r="R161" s="134">
        <v>0</v>
      </c>
      <c r="S161" s="134">
        <v>0</v>
      </c>
      <c r="T161" s="134">
        <v>0</v>
      </c>
      <c r="U161" s="134">
        <v>0</v>
      </c>
      <c r="V161" s="134">
        <v>0</v>
      </c>
      <c r="W161" s="134">
        <v>0</v>
      </c>
      <c r="X161" s="134">
        <v>0</v>
      </c>
      <c r="Y161" s="134">
        <v>0</v>
      </c>
      <c r="Z161" s="134">
        <v>0</v>
      </c>
      <c r="AA161" s="134">
        <v>0</v>
      </c>
      <c r="AB161" s="134">
        <v>0</v>
      </c>
      <c r="AC161" s="134">
        <v>0</v>
      </c>
      <c r="AD161" s="134">
        <v>0</v>
      </c>
      <c r="AE161" s="134">
        <v>0</v>
      </c>
      <c r="AF161" s="134">
        <v>0</v>
      </c>
      <c r="AG161" s="134">
        <v>0</v>
      </c>
      <c r="AH161" s="134">
        <v>0</v>
      </c>
      <c r="AI161" s="134">
        <v>0</v>
      </c>
      <c r="AJ161" s="134">
        <v>0</v>
      </c>
      <c r="AK161" s="134">
        <v>0</v>
      </c>
      <c r="AL161" s="134">
        <v>0</v>
      </c>
      <c r="AM161" s="134">
        <v>0</v>
      </c>
      <c r="AN161" s="134">
        <v>0</v>
      </c>
      <c r="AO161" s="134">
        <v>0</v>
      </c>
      <c r="AP161" s="134">
        <v>0</v>
      </c>
    </row>
    <row r="162" spans="1:42" x14ac:dyDescent="0.25">
      <c r="A162" s="134">
        <v>0</v>
      </c>
      <c r="B162" s="134">
        <v>0</v>
      </c>
      <c r="C162" s="134">
        <v>0</v>
      </c>
      <c r="D162" s="134">
        <v>0</v>
      </c>
      <c r="E162" s="134">
        <v>0</v>
      </c>
      <c r="F162" s="134">
        <v>0</v>
      </c>
      <c r="G162" s="134">
        <v>0</v>
      </c>
      <c r="H162" s="134">
        <v>0</v>
      </c>
      <c r="I162" s="134">
        <v>0</v>
      </c>
      <c r="J162" s="134">
        <v>0</v>
      </c>
      <c r="K162" s="134">
        <v>0</v>
      </c>
      <c r="L162" s="134">
        <v>0</v>
      </c>
      <c r="M162" s="134">
        <v>0</v>
      </c>
      <c r="N162" s="134">
        <v>0</v>
      </c>
      <c r="O162" s="134">
        <v>0</v>
      </c>
      <c r="P162" s="134">
        <v>0</v>
      </c>
      <c r="Q162" s="134">
        <v>0</v>
      </c>
      <c r="R162" s="134">
        <v>0</v>
      </c>
      <c r="S162" s="134">
        <v>0</v>
      </c>
      <c r="T162" s="134">
        <v>32</v>
      </c>
      <c r="U162" s="134">
        <v>0</v>
      </c>
      <c r="V162" s="134">
        <v>51</v>
      </c>
      <c r="W162" s="134">
        <v>0</v>
      </c>
      <c r="X162" s="134">
        <v>0</v>
      </c>
      <c r="Y162" s="134">
        <v>12</v>
      </c>
      <c r="Z162" s="134">
        <v>0</v>
      </c>
      <c r="AA162" s="134">
        <v>0</v>
      </c>
      <c r="AB162" s="134">
        <v>0</v>
      </c>
      <c r="AC162" s="134">
        <v>0</v>
      </c>
      <c r="AD162" s="134">
        <v>0</v>
      </c>
      <c r="AE162" s="134">
        <v>0</v>
      </c>
      <c r="AF162" s="134">
        <v>0</v>
      </c>
      <c r="AG162" s="134">
        <v>0</v>
      </c>
      <c r="AH162" s="134">
        <v>0</v>
      </c>
      <c r="AI162" s="134">
        <v>0</v>
      </c>
      <c r="AJ162" s="134">
        <v>0</v>
      </c>
      <c r="AK162" s="134">
        <v>0</v>
      </c>
      <c r="AL162" s="134">
        <v>0</v>
      </c>
      <c r="AM162" s="134">
        <v>0</v>
      </c>
      <c r="AN162" s="134">
        <v>0</v>
      </c>
      <c r="AO162" s="134">
        <v>0</v>
      </c>
      <c r="AP162" s="134">
        <v>0</v>
      </c>
    </row>
    <row r="163" spans="1:42" x14ac:dyDescent="0.25">
      <c r="A163" s="134">
        <v>0</v>
      </c>
      <c r="B163" s="134">
        <v>0</v>
      </c>
      <c r="C163" s="134">
        <v>0</v>
      </c>
      <c r="D163" s="134">
        <v>0</v>
      </c>
      <c r="E163" s="134">
        <v>0</v>
      </c>
      <c r="F163" s="134">
        <v>0</v>
      </c>
      <c r="G163" s="134">
        <v>0</v>
      </c>
      <c r="H163" s="134">
        <v>0</v>
      </c>
      <c r="I163" s="134">
        <v>0</v>
      </c>
      <c r="J163" s="134">
        <v>0</v>
      </c>
      <c r="K163" s="134">
        <v>0</v>
      </c>
      <c r="L163" s="134">
        <v>0</v>
      </c>
      <c r="M163" s="134">
        <v>0</v>
      </c>
      <c r="N163" s="134">
        <v>0</v>
      </c>
      <c r="O163" s="134">
        <v>0</v>
      </c>
      <c r="P163" s="134">
        <v>0</v>
      </c>
      <c r="Q163" s="134">
        <v>41</v>
      </c>
      <c r="R163" s="134">
        <v>0</v>
      </c>
      <c r="S163" s="134">
        <v>31</v>
      </c>
      <c r="T163" s="134">
        <v>0</v>
      </c>
      <c r="U163" s="134">
        <v>0</v>
      </c>
      <c r="V163" s="134">
        <v>41</v>
      </c>
      <c r="W163" s="134">
        <v>31</v>
      </c>
      <c r="X163" s="134">
        <v>13</v>
      </c>
      <c r="Y163" s="134">
        <v>0</v>
      </c>
      <c r="Z163" s="134">
        <v>0</v>
      </c>
      <c r="AA163" s="134">
        <v>0</v>
      </c>
      <c r="AB163" s="134">
        <v>0</v>
      </c>
      <c r="AC163" s="134">
        <v>0</v>
      </c>
      <c r="AD163" s="134">
        <v>0</v>
      </c>
      <c r="AE163" s="134">
        <v>0</v>
      </c>
      <c r="AF163" s="134">
        <v>0</v>
      </c>
      <c r="AG163" s="134">
        <v>0</v>
      </c>
      <c r="AH163" s="134">
        <v>0</v>
      </c>
      <c r="AI163" s="134">
        <v>0</v>
      </c>
      <c r="AJ163" s="134">
        <v>0</v>
      </c>
      <c r="AK163" s="134">
        <v>0</v>
      </c>
      <c r="AL163" s="134">
        <v>0</v>
      </c>
      <c r="AM163" s="134">
        <v>0</v>
      </c>
      <c r="AN163" s="134">
        <v>0</v>
      </c>
      <c r="AO163" s="134">
        <v>0</v>
      </c>
      <c r="AP163" s="134">
        <v>0</v>
      </c>
    </row>
    <row r="164" spans="1:42" x14ac:dyDescent="0.25">
      <c r="A164" s="134">
        <v>0</v>
      </c>
      <c r="B164" s="134">
        <v>0</v>
      </c>
      <c r="C164" s="134">
        <v>0</v>
      </c>
      <c r="D164" s="134">
        <v>0</v>
      </c>
      <c r="E164" s="134">
        <v>0</v>
      </c>
      <c r="F164" s="134">
        <v>0</v>
      </c>
      <c r="G164" s="134">
        <v>0</v>
      </c>
      <c r="H164" s="134">
        <v>0</v>
      </c>
      <c r="I164" s="134">
        <v>0</v>
      </c>
      <c r="J164" s="134">
        <v>0</v>
      </c>
      <c r="K164" s="134">
        <v>0</v>
      </c>
      <c r="L164" s="134">
        <v>0</v>
      </c>
      <c r="M164" s="134">
        <v>0</v>
      </c>
      <c r="N164" s="134">
        <v>0</v>
      </c>
      <c r="O164" s="134">
        <v>0</v>
      </c>
      <c r="P164" s="134">
        <v>0</v>
      </c>
      <c r="Q164" s="134">
        <v>0</v>
      </c>
      <c r="R164" s="134">
        <v>21</v>
      </c>
      <c r="S164" s="134">
        <v>0</v>
      </c>
      <c r="T164" s="134">
        <v>24</v>
      </c>
      <c r="U164" s="134">
        <v>32</v>
      </c>
      <c r="V164" s="134">
        <v>21</v>
      </c>
      <c r="W164" s="134">
        <v>0</v>
      </c>
      <c r="X164" s="134">
        <v>0</v>
      </c>
      <c r="Y164" s="134">
        <v>0</v>
      </c>
      <c r="Z164" s="134">
        <v>0</v>
      </c>
      <c r="AA164" s="134">
        <v>0</v>
      </c>
      <c r="AB164" s="134">
        <v>0</v>
      </c>
      <c r="AC164" s="134">
        <v>0</v>
      </c>
      <c r="AD164" s="134">
        <v>0</v>
      </c>
      <c r="AE164" s="134">
        <v>0</v>
      </c>
      <c r="AF164" s="134">
        <v>0</v>
      </c>
      <c r="AG164" s="134">
        <v>0</v>
      </c>
      <c r="AH164" s="134">
        <v>0</v>
      </c>
      <c r="AI164" s="134">
        <v>0</v>
      </c>
      <c r="AJ164" s="134">
        <v>0</v>
      </c>
      <c r="AK164" s="134">
        <v>0</v>
      </c>
      <c r="AL164" s="134">
        <v>0</v>
      </c>
      <c r="AM164" s="134">
        <v>0</v>
      </c>
      <c r="AN164" s="134">
        <v>0</v>
      </c>
      <c r="AO164" s="134">
        <v>0</v>
      </c>
      <c r="AP164" s="134">
        <v>0</v>
      </c>
    </row>
    <row r="165" spans="1:42" x14ac:dyDescent="0.25">
      <c r="A165" s="134">
        <v>0</v>
      </c>
      <c r="B165" s="134">
        <v>0</v>
      </c>
      <c r="C165" s="134">
        <v>0</v>
      </c>
      <c r="D165" s="134">
        <v>0</v>
      </c>
      <c r="E165" s="134">
        <v>0</v>
      </c>
      <c r="F165" s="134">
        <v>0</v>
      </c>
      <c r="G165" s="134">
        <v>0</v>
      </c>
      <c r="H165" s="134">
        <v>0</v>
      </c>
      <c r="I165" s="134">
        <v>0</v>
      </c>
      <c r="J165" s="134">
        <v>0</v>
      </c>
      <c r="K165" s="134">
        <v>0</v>
      </c>
      <c r="L165" s="134">
        <v>0</v>
      </c>
      <c r="M165" s="134">
        <v>0</v>
      </c>
      <c r="N165" s="134">
        <v>0</v>
      </c>
      <c r="O165" s="134">
        <v>0</v>
      </c>
      <c r="P165" s="134">
        <v>0</v>
      </c>
      <c r="Q165" s="134">
        <v>12</v>
      </c>
      <c r="R165" s="134">
        <v>0</v>
      </c>
      <c r="S165" s="134">
        <v>21</v>
      </c>
      <c r="T165" s="134">
        <v>0</v>
      </c>
      <c r="U165" s="134">
        <v>52</v>
      </c>
      <c r="V165" s="134">
        <v>0</v>
      </c>
      <c r="W165" s="134">
        <v>0</v>
      </c>
      <c r="X165" s="134">
        <v>0</v>
      </c>
      <c r="Y165" s="134">
        <v>12</v>
      </c>
      <c r="Z165" s="134">
        <v>0</v>
      </c>
      <c r="AA165" s="134">
        <v>0</v>
      </c>
      <c r="AB165" s="134">
        <v>0</v>
      </c>
      <c r="AC165" s="134">
        <v>0</v>
      </c>
      <c r="AD165" s="134">
        <v>0</v>
      </c>
      <c r="AE165" s="134">
        <v>0</v>
      </c>
      <c r="AF165" s="134">
        <v>0</v>
      </c>
      <c r="AG165" s="134">
        <v>0</v>
      </c>
      <c r="AH165" s="134">
        <v>0</v>
      </c>
      <c r="AI165" s="134">
        <v>0</v>
      </c>
      <c r="AJ165" s="134">
        <v>0</v>
      </c>
      <c r="AK165" s="134">
        <v>0</v>
      </c>
      <c r="AL165" s="134">
        <v>0</v>
      </c>
      <c r="AM165" s="134">
        <v>0</v>
      </c>
      <c r="AN165" s="134">
        <v>0</v>
      </c>
      <c r="AO165" s="134">
        <v>0</v>
      </c>
      <c r="AP165" s="134">
        <v>0</v>
      </c>
    </row>
    <row r="166" spans="1:42" x14ac:dyDescent="0.25">
      <c r="A166" s="134">
        <v>0</v>
      </c>
      <c r="B166" s="134">
        <v>0</v>
      </c>
      <c r="C166" s="134">
        <v>0</v>
      </c>
      <c r="D166" s="134">
        <v>0</v>
      </c>
      <c r="E166" s="134">
        <v>0</v>
      </c>
      <c r="F166" s="134">
        <v>0</v>
      </c>
      <c r="G166" s="134">
        <v>0</v>
      </c>
      <c r="H166" s="134">
        <v>0</v>
      </c>
      <c r="I166" s="134">
        <v>0</v>
      </c>
      <c r="J166" s="134">
        <v>0</v>
      </c>
      <c r="K166" s="134">
        <v>0</v>
      </c>
      <c r="L166" s="134">
        <v>0</v>
      </c>
      <c r="M166" s="134">
        <v>0</v>
      </c>
      <c r="N166" s="134">
        <v>0</v>
      </c>
      <c r="O166" s="134">
        <v>0</v>
      </c>
      <c r="P166" s="134">
        <v>0</v>
      </c>
      <c r="Q166" s="134">
        <v>0</v>
      </c>
      <c r="R166" s="134">
        <v>0</v>
      </c>
      <c r="S166" s="134">
        <v>0</v>
      </c>
      <c r="T166" s="134">
        <v>13</v>
      </c>
      <c r="U166" s="134">
        <v>23</v>
      </c>
      <c r="V166" s="134">
        <v>0</v>
      </c>
      <c r="W166" s="134">
        <v>61</v>
      </c>
      <c r="X166" s="134">
        <v>0</v>
      </c>
      <c r="Y166" s="134">
        <v>0</v>
      </c>
      <c r="Z166" s="134">
        <v>0</v>
      </c>
      <c r="AA166" s="134">
        <v>0</v>
      </c>
      <c r="AB166" s="134">
        <v>0</v>
      </c>
      <c r="AC166" s="134">
        <v>0</v>
      </c>
      <c r="AD166" s="134">
        <v>0</v>
      </c>
      <c r="AE166" s="134">
        <v>0</v>
      </c>
      <c r="AF166" s="134">
        <v>0</v>
      </c>
      <c r="AG166" s="134">
        <v>0</v>
      </c>
      <c r="AH166" s="134">
        <v>0</v>
      </c>
      <c r="AI166" s="134">
        <v>0</v>
      </c>
      <c r="AJ166" s="134">
        <v>0</v>
      </c>
      <c r="AK166" s="134">
        <v>0</v>
      </c>
      <c r="AL166" s="134">
        <v>0</v>
      </c>
      <c r="AM166" s="134">
        <v>0</v>
      </c>
      <c r="AN166" s="134">
        <v>0</v>
      </c>
      <c r="AO166" s="134">
        <v>0</v>
      </c>
      <c r="AP166" s="134">
        <v>0</v>
      </c>
    </row>
    <row r="167" spans="1:42" x14ac:dyDescent="0.25">
      <c r="A167" s="134">
        <v>0</v>
      </c>
      <c r="B167" s="134">
        <v>0</v>
      </c>
      <c r="C167" s="134">
        <v>0</v>
      </c>
      <c r="D167" s="134">
        <v>0</v>
      </c>
      <c r="E167" s="134">
        <v>0</v>
      </c>
      <c r="F167" s="134">
        <v>0</v>
      </c>
      <c r="G167" s="134">
        <v>0</v>
      </c>
      <c r="H167" s="134">
        <v>0</v>
      </c>
      <c r="I167" s="134">
        <v>0</v>
      </c>
      <c r="J167" s="134">
        <v>0</v>
      </c>
      <c r="K167" s="134">
        <v>0</v>
      </c>
      <c r="L167" s="134">
        <v>0</v>
      </c>
      <c r="M167" s="134">
        <v>0</v>
      </c>
      <c r="N167" s="134">
        <v>0</v>
      </c>
      <c r="O167" s="134">
        <v>0</v>
      </c>
      <c r="P167" s="134">
        <v>0</v>
      </c>
      <c r="Q167" s="134">
        <v>0</v>
      </c>
      <c r="R167" s="134">
        <v>0</v>
      </c>
      <c r="S167" s="134">
        <v>0</v>
      </c>
      <c r="T167" s="134">
        <v>0</v>
      </c>
      <c r="U167" s="134">
        <v>0</v>
      </c>
      <c r="V167" s="134">
        <v>0</v>
      </c>
      <c r="W167" s="134">
        <v>0</v>
      </c>
      <c r="X167" s="134">
        <v>0</v>
      </c>
      <c r="Y167" s="134">
        <v>0</v>
      </c>
      <c r="Z167" s="134">
        <v>0</v>
      </c>
      <c r="AA167" s="134">
        <v>0</v>
      </c>
      <c r="AB167" s="134">
        <v>0</v>
      </c>
      <c r="AC167" s="134">
        <v>0</v>
      </c>
      <c r="AD167" s="134">
        <v>0</v>
      </c>
      <c r="AE167" s="134">
        <v>0</v>
      </c>
      <c r="AF167" s="134">
        <v>0</v>
      </c>
      <c r="AG167" s="134">
        <v>0</v>
      </c>
      <c r="AH167" s="134">
        <v>0</v>
      </c>
      <c r="AI167" s="134">
        <v>0</v>
      </c>
      <c r="AJ167" s="134">
        <v>0</v>
      </c>
      <c r="AK167" s="134">
        <v>0</v>
      </c>
      <c r="AL167" s="134">
        <v>0</v>
      </c>
      <c r="AM167" s="134">
        <v>0</v>
      </c>
      <c r="AN167" s="134">
        <v>0</v>
      </c>
      <c r="AO167" s="134">
        <v>0</v>
      </c>
      <c r="AP167" s="134">
        <v>0</v>
      </c>
    </row>
    <row r="168" spans="1:42" ht="15.75" thickBot="1" x14ac:dyDescent="0.3"/>
    <row r="169" spans="1:42" x14ac:dyDescent="0.25">
      <c r="A169" s="113">
        <v>6</v>
      </c>
      <c r="B169" s="114">
        <v>6</v>
      </c>
      <c r="C169" s="114">
        <v>6</v>
      </c>
      <c r="D169" s="114">
        <v>6</v>
      </c>
      <c r="E169" s="114">
        <v>6</v>
      </c>
      <c r="F169" s="114">
        <v>6</v>
      </c>
      <c r="G169" s="114">
        <v>6</v>
      </c>
      <c r="H169" s="114">
        <v>6</v>
      </c>
      <c r="I169" s="114">
        <v>6</v>
      </c>
      <c r="J169" s="114">
        <v>6</v>
      </c>
      <c r="K169" s="114">
        <v>6</v>
      </c>
      <c r="L169" s="114">
        <v>6</v>
      </c>
      <c r="M169" s="114">
        <v>6</v>
      </c>
      <c r="N169" s="115">
        <v>6</v>
      </c>
      <c r="O169" s="115">
        <v>6</v>
      </c>
      <c r="P169" s="115">
        <v>6</v>
      </c>
      <c r="Q169" s="115">
        <v>6</v>
      </c>
      <c r="R169" s="115">
        <v>6</v>
      </c>
      <c r="S169" s="115">
        <v>6</v>
      </c>
      <c r="T169" s="115">
        <v>6</v>
      </c>
      <c r="U169" s="115">
        <v>6</v>
      </c>
      <c r="V169" s="115">
        <v>5</v>
      </c>
      <c r="W169" s="115">
        <v>5</v>
      </c>
      <c r="X169" s="115">
        <v>5</v>
      </c>
      <c r="Y169" s="115">
        <v>5</v>
      </c>
      <c r="Z169" s="115">
        <v>5</v>
      </c>
      <c r="AA169" s="116">
        <v>6</v>
      </c>
      <c r="AB169" s="116">
        <v>6</v>
      </c>
      <c r="AC169" s="116">
        <v>6</v>
      </c>
      <c r="AD169" s="116">
        <v>6</v>
      </c>
      <c r="AE169" s="116">
        <v>6</v>
      </c>
      <c r="AF169" s="116">
        <v>6</v>
      </c>
      <c r="AG169" s="116">
        <v>6</v>
      </c>
      <c r="AH169" s="116">
        <v>6</v>
      </c>
      <c r="AI169" s="116">
        <v>6</v>
      </c>
      <c r="AJ169" s="116">
        <v>6</v>
      </c>
      <c r="AK169" s="116">
        <v>6</v>
      </c>
      <c r="AL169" s="116">
        <v>6</v>
      </c>
      <c r="AM169" s="116">
        <v>6</v>
      </c>
      <c r="AN169" s="116">
        <v>6</v>
      </c>
      <c r="AO169" s="116">
        <v>6</v>
      </c>
      <c r="AP169" s="117">
        <v>6</v>
      </c>
    </row>
    <row r="170" spans="1:42" x14ac:dyDescent="0.25">
      <c r="A170" s="118">
        <v>6</v>
      </c>
      <c r="B170" s="119">
        <v>6</v>
      </c>
      <c r="C170" s="119">
        <v>6</v>
      </c>
      <c r="D170" s="119">
        <v>6</v>
      </c>
      <c r="E170" s="119">
        <v>6</v>
      </c>
      <c r="F170" s="119">
        <v>6</v>
      </c>
      <c r="G170" s="119">
        <v>6</v>
      </c>
      <c r="H170" s="119">
        <v>6</v>
      </c>
      <c r="I170" s="119">
        <v>6</v>
      </c>
      <c r="J170" s="119">
        <v>6</v>
      </c>
      <c r="K170" s="119">
        <v>5</v>
      </c>
      <c r="L170" s="119">
        <v>5</v>
      </c>
      <c r="M170" s="119">
        <v>5</v>
      </c>
      <c r="N170" s="109">
        <v>5</v>
      </c>
      <c r="O170" s="109">
        <v>5</v>
      </c>
      <c r="P170" s="109">
        <v>5</v>
      </c>
      <c r="Q170" s="109">
        <v>6</v>
      </c>
      <c r="R170" s="109">
        <v>6</v>
      </c>
      <c r="S170" s="109">
        <v>6</v>
      </c>
      <c r="T170" s="109">
        <v>6</v>
      </c>
      <c r="U170" s="109">
        <v>6</v>
      </c>
      <c r="V170" s="109">
        <v>5</v>
      </c>
      <c r="W170" s="109">
        <v>5</v>
      </c>
      <c r="X170" s="109">
        <v>5</v>
      </c>
      <c r="Y170" s="109">
        <v>5</v>
      </c>
      <c r="Z170" s="109">
        <v>5</v>
      </c>
      <c r="AA170" s="120">
        <v>5</v>
      </c>
      <c r="AB170" s="120">
        <v>5</v>
      </c>
      <c r="AC170" s="120">
        <v>5</v>
      </c>
      <c r="AD170" s="120">
        <v>6</v>
      </c>
      <c r="AE170" s="120">
        <v>6</v>
      </c>
      <c r="AF170" s="120">
        <v>6</v>
      </c>
      <c r="AG170" s="120">
        <v>6</v>
      </c>
      <c r="AH170" s="120">
        <v>6</v>
      </c>
      <c r="AI170" s="120">
        <v>6</v>
      </c>
      <c r="AJ170" s="120">
        <v>6</v>
      </c>
      <c r="AK170" s="120">
        <v>6</v>
      </c>
      <c r="AL170" s="120">
        <v>6</v>
      </c>
      <c r="AM170" s="120">
        <v>6</v>
      </c>
      <c r="AN170" s="120">
        <v>6</v>
      </c>
      <c r="AO170" s="120">
        <v>6</v>
      </c>
      <c r="AP170" s="121">
        <v>6</v>
      </c>
    </row>
    <row r="171" spans="1:42" x14ac:dyDescent="0.25">
      <c r="A171" s="118">
        <v>6</v>
      </c>
      <c r="B171" s="119">
        <v>6</v>
      </c>
      <c r="C171" s="119">
        <v>6</v>
      </c>
      <c r="D171" s="119">
        <v>6</v>
      </c>
      <c r="E171" s="119">
        <v>6</v>
      </c>
      <c r="F171" s="119">
        <v>6</v>
      </c>
      <c r="G171" s="119">
        <v>6</v>
      </c>
      <c r="H171" s="119">
        <v>6</v>
      </c>
      <c r="I171" s="119">
        <v>6</v>
      </c>
      <c r="J171" s="119">
        <v>6</v>
      </c>
      <c r="K171" s="119">
        <v>6</v>
      </c>
      <c r="L171" s="119">
        <v>6</v>
      </c>
      <c r="M171" s="119">
        <v>5</v>
      </c>
      <c r="N171" s="109">
        <v>5</v>
      </c>
      <c r="O171" s="109">
        <v>4</v>
      </c>
      <c r="P171" s="109">
        <v>4</v>
      </c>
      <c r="Q171" s="109">
        <v>4</v>
      </c>
      <c r="R171" s="109">
        <v>4</v>
      </c>
      <c r="S171" s="109">
        <v>4</v>
      </c>
      <c r="T171" s="109">
        <v>4</v>
      </c>
      <c r="U171" s="109">
        <v>5</v>
      </c>
      <c r="V171" s="109">
        <v>5</v>
      </c>
      <c r="W171" s="109">
        <v>5</v>
      </c>
      <c r="X171" s="109">
        <v>5</v>
      </c>
      <c r="Y171" s="109">
        <v>5</v>
      </c>
      <c r="Z171" s="109">
        <v>5</v>
      </c>
      <c r="AA171" s="120">
        <v>6</v>
      </c>
      <c r="AB171" s="120">
        <v>6</v>
      </c>
      <c r="AC171" s="120">
        <v>6</v>
      </c>
      <c r="AD171" s="120">
        <v>6</v>
      </c>
      <c r="AE171" s="120">
        <v>6</v>
      </c>
      <c r="AF171" s="120">
        <v>6</v>
      </c>
      <c r="AG171" s="120">
        <v>6</v>
      </c>
      <c r="AH171" s="120">
        <v>6</v>
      </c>
      <c r="AI171" s="120">
        <v>6</v>
      </c>
      <c r="AJ171" s="120">
        <v>6</v>
      </c>
      <c r="AK171" s="120">
        <v>6</v>
      </c>
      <c r="AL171" s="120">
        <v>6</v>
      </c>
      <c r="AM171" s="120">
        <v>6</v>
      </c>
      <c r="AN171" s="120">
        <v>6</v>
      </c>
      <c r="AO171" s="120">
        <v>6</v>
      </c>
      <c r="AP171" s="121">
        <v>6</v>
      </c>
    </row>
    <row r="172" spans="1:42" x14ac:dyDescent="0.25">
      <c r="A172" s="118">
        <v>6</v>
      </c>
      <c r="B172" s="119">
        <v>6</v>
      </c>
      <c r="C172" s="119">
        <v>6</v>
      </c>
      <c r="D172" s="119">
        <v>6</v>
      </c>
      <c r="E172" s="119">
        <v>6</v>
      </c>
      <c r="F172" s="119">
        <v>5</v>
      </c>
      <c r="G172" s="119">
        <v>5</v>
      </c>
      <c r="H172" s="119">
        <v>5</v>
      </c>
      <c r="I172" s="119">
        <v>5</v>
      </c>
      <c r="J172" s="119">
        <v>5</v>
      </c>
      <c r="K172" s="119">
        <v>5</v>
      </c>
      <c r="L172" s="119">
        <v>5</v>
      </c>
      <c r="M172" s="119">
        <v>5</v>
      </c>
      <c r="N172" s="109">
        <v>5</v>
      </c>
      <c r="O172" s="109">
        <v>5</v>
      </c>
      <c r="P172" s="109">
        <v>5</v>
      </c>
      <c r="Q172" s="109">
        <v>5</v>
      </c>
      <c r="R172" s="109">
        <v>4</v>
      </c>
      <c r="S172" s="109">
        <v>4</v>
      </c>
      <c r="T172" s="109">
        <v>4</v>
      </c>
      <c r="U172" s="109">
        <v>4</v>
      </c>
      <c r="V172" s="109">
        <v>4</v>
      </c>
      <c r="W172" s="109">
        <v>4</v>
      </c>
      <c r="X172" s="109">
        <v>4</v>
      </c>
      <c r="Y172" s="109">
        <v>4</v>
      </c>
      <c r="Z172" s="109">
        <v>4</v>
      </c>
      <c r="AA172" s="120">
        <v>5</v>
      </c>
      <c r="AB172" s="120">
        <v>5</v>
      </c>
      <c r="AC172" s="120">
        <v>5</v>
      </c>
      <c r="AD172" s="120">
        <v>5</v>
      </c>
      <c r="AE172" s="120">
        <v>5</v>
      </c>
      <c r="AF172" s="120">
        <v>5</v>
      </c>
      <c r="AG172" s="120">
        <v>5</v>
      </c>
      <c r="AH172" s="120">
        <v>5</v>
      </c>
      <c r="AI172" s="120">
        <v>5</v>
      </c>
      <c r="AJ172" s="120">
        <v>6</v>
      </c>
      <c r="AK172" s="120">
        <v>6</v>
      </c>
      <c r="AL172" s="120">
        <v>6</v>
      </c>
      <c r="AM172" s="120">
        <v>6</v>
      </c>
      <c r="AN172" s="120">
        <v>6</v>
      </c>
      <c r="AO172" s="120">
        <v>6</v>
      </c>
      <c r="AP172" s="121">
        <v>6</v>
      </c>
    </row>
    <row r="173" spans="1:42" x14ac:dyDescent="0.25">
      <c r="A173" s="118">
        <v>6</v>
      </c>
      <c r="B173" s="119">
        <v>6</v>
      </c>
      <c r="C173" s="119">
        <v>6</v>
      </c>
      <c r="D173" s="119">
        <v>6</v>
      </c>
      <c r="E173" s="119">
        <v>6</v>
      </c>
      <c r="F173" s="119">
        <v>5</v>
      </c>
      <c r="G173" s="119">
        <v>6</v>
      </c>
      <c r="H173" s="119">
        <v>6</v>
      </c>
      <c r="I173" s="119">
        <v>6</v>
      </c>
      <c r="J173" s="119">
        <v>6</v>
      </c>
      <c r="K173" s="119">
        <v>5</v>
      </c>
      <c r="L173" s="119">
        <v>5</v>
      </c>
      <c r="M173" s="119">
        <v>5</v>
      </c>
      <c r="N173" s="109">
        <v>5</v>
      </c>
      <c r="O173" s="109">
        <v>5</v>
      </c>
      <c r="P173" s="109">
        <v>5</v>
      </c>
      <c r="Q173" s="109">
        <v>4</v>
      </c>
      <c r="R173" s="109">
        <v>2</v>
      </c>
      <c r="S173" s="109">
        <v>3</v>
      </c>
      <c r="T173" s="109">
        <v>3</v>
      </c>
      <c r="U173" s="109">
        <v>3</v>
      </c>
      <c r="V173" s="109">
        <v>2</v>
      </c>
      <c r="W173" s="109">
        <v>3</v>
      </c>
      <c r="X173" s="109">
        <v>3</v>
      </c>
      <c r="Y173" s="109">
        <v>4</v>
      </c>
      <c r="Z173" s="109">
        <v>5</v>
      </c>
      <c r="AA173" s="120">
        <v>5</v>
      </c>
      <c r="AB173" s="120">
        <v>5</v>
      </c>
      <c r="AC173" s="120">
        <v>5</v>
      </c>
      <c r="AD173" s="120">
        <v>5</v>
      </c>
      <c r="AE173" s="120">
        <v>5</v>
      </c>
      <c r="AF173" s="120">
        <v>5</v>
      </c>
      <c r="AG173" s="120">
        <v>5</v>
      </c>
      <c r="AH173" s="120">
        <v>5</v>
      </c>
      <c r="AI173" s="120">
        <v>5</v>
      </c>
      <c r="AJ173" s="120">
        <v>6</v>
      </c>
      <c r="AK173" s="120">
        <v>6</v>
      </c>
      <c r="AL173" s="120">
        <v>6</v>
      </c>
      <c r="AM173" s="120">
        <v>6</v>
      </c>
      <c r="AN173" s="120">
        <v>6</v>
      </c>
      <c r="AO173" s="120">
        <v>6</v>
      </c>
      <c r="AP173" s="121">
        <v>6</v>
      </c>
    </row>
    <row r="174" spans="1:42" x14ac:dyDescent="0.25">
      <c r="A174" s="118">
        <v>6</v>
      </c>
      <c r="B174" s="119">
        <v>6</v>
      </c>
      <c r="C174" s="119">
        <v>6</v>
      </c>
      <c r="D174" s="119">
        <v>6</v>
      </c>
      <c r="E174" s="119">
        <v>6</v>
      </c>
      <c r="F174" s="119">
        <v>5</v>
      </c>
      <c r="G174" s="119">
        <v>5</v>
      </c>
      <c r="H174" s="119">
        <v>5</v>
      </c>
      <c r="I174" s="119">
        <v>5</v>
      </c>
      <c r="J174" s="119">
        <v>5</v>
      </c>
      <c r="K174" s="119">
        <v>5</v>
      </c>
      <c r="L174" s="119">
        <v>5</v>
      </c>
      <c r="M174" s="119">
        <v>5</v>
      </c>
      <c r="N174" s="122">
        <v>5</v>
      </c>
      <c r="O174" s="122">
        <v>5</v>
      </c>
      <c r="P174" s="122">
        <v>4</v>
      </c>
      <c r="Q174" s="122">
        <v>3</v>
      </c>
      <c r="R174" s="122">
        <v>2</v>
      </c>
      <c r="S174" s="122">
        <v>2</v>
      </c>
      <c r="T174" s="122">
        <v>2</v>
      </c>
      <c r="U174" s="122">
        <v>3</v>
      </c>
      <c r="V174" s="122">
        <v>2</v>
      </c>
      <c r="W174" s="122">
        <v>2</v>
      </c>
      <c r="X174" s="122">
        <v>3</v>
      </c>
      <c r="Y174" s="122">
        <v>4</v>
      </c>
      <c r="Z174" s="122">
        <v>5</v>
      </c>
      <c r="AA174" s="120">
        <v>4</v>
      </c>
      <c r="AB174" s="120">
        <v>5</v>
      </c>
      <c r="AC174" s="120">
        <v>5</v>
      </c>
      <c r="AD174" s="120">
        <v>5</v>
      </c>
      <c r="AE174" s="120">
        <v>5</v>
      </c>
      <c r="AF174" s="120">
        <v>5</v>
      </c>
      <c r="AG174" s="120">
        <v>5</v>
      </c>
      <c r="AH174" s="120">
        <v>5</v>
      </c>
      <c r="AI174" s="120">
        <v>5</v>
      </c>
      <c r="AJ174" s="120">
        <v>6</v>
      </c>
      <c r="AK174" s="120">
        <v>6</v>
      </c>
      <c r="AL174" s="120">
        <v>6</v>
      </c>
      <c r="AM174" s="120">
        <v>6</v>
      </c>
      <c r="AN174" s="120">
        <v>6</v>
      </c>
      <c r="AO174" s="120">
        <v>6</v>
      </c>
      <c r="AP174" s="121">
        <v>6</v>
      </c>
    </row>
    <row r="175" spans="1:42" ht="15.75" thickBot="1" x14ac:dyDescent="0.3">
      <c r="A175" s="123">
        <v>6</v>
      </c>
      <c r="B175" s="124">
        <v>6</v>
      </c>
      <c r="C175" s="124">
        <v>6</v>
      </c>
      <c r="D175" s="124">
        <v>6</v>
      </c>
      <c r="E175" s="124">
        <v>6</v>
      </c>
      <c r="F175" s="124">
        <v>5</v>
      </c>
      <c r="G175" s="124">
        <v>5</v>
      </c>
      <c r="H175" s="124">
        <v>5</v>
      </c>
      <c r="I175" s="124">
        <v>5</v>
      </c>
      <c r="J175" s="124">
        <v>5</v>
      </c>
      <c r="K175" s="124">
        <v>5</v>
      </c>
      <c r="L175" s="124">
        <v>5</v>
      </c>
      <c r="M175" s="124">
        <v>5</v>
      </c>
      <c r="N175" s="122">
        <v>4</v>
      </c>
      <c r="O175" s="122">
        <v>4</v>
      </c>
      <c r="P175" s="122">
        <v>4</v>
      </c>
      <c r="Q175" s="122">
        <v>3</v>
      </c>
      <c r="R175" s="122">
        <v>2</v>
      </c>
      <c r="S175" s="122">
        <v>1</v>
      </c>
      <c r="T175" s="122">
        <v>2</v>
      </c>
      <c r="U175" s="122">
        <v>1</v>
      </c>
      <c r="V175" s="122">
        <v>1</v>
      </c>
      <c r="W175" s="122">
        <v>1</v>
      </c>
      <c r="X175" s="122">
        <v>2</v>
      </c>
      <c r="Y175" s="122">
        <v>2</v>
      </c>
      <c r="Z175" s="122">
        <v>3</v>
      </c>
      <c r="AA175" s="120">
        <v>4</v>
      </c>
      <c r="AB175" s="120">
        <v>4</v>
      </c>
      <c r="AC175" s="120">
        <v>5</v>
      </c>
      <c r="AD175" s="120">
        <v>4</v>
      </c>
      <c r="AE175" s="120">
        <v>5</v>
      </c>
      <c r="AF175" s="120">
        <v>5</v>
      </c>
      <c r="AG175" s="120">
        <v>5</v>
      </c>
      <c r="AH175" s="120">
        <v>5</v>
      </c>
      <c r="AI175" s="120">
        <v>5</v>
      </c>
      <c r="AJ175" s="120">
        <v>6</v>
      </c>
      <c r="AK175" s="120">
        <v>6</v>
      </c>
      <c r="AL175" s="120">
        <v>6</v>
      </c>
      <c r="AM175" s="120">
        <v>6</v>
      </c>
      <c r="AN175" s="120">
        <v>6</v>
      </c>
      <c r="AO175" s="120">
        <v>6</v>
      </c>
      <c r="AP175" s="121">
        <v>6</v>
      </c>
    </row>
    <row r="176" spans="1:42" ht="15.75" thickBot="1" x14ac:dyDescent="0.3">
      <c r="A176" s="123">
        <v>6</v>
      </c>
      <c r="B176" s="124">
        <v>6</v>
      </c>
      <c r="C176" s="124">
        <v>6</v>
      </c>
      <c r="D176" s="124">
        <v>6</v>
      </c>
      <c r="E176" s="124">
        <v>6</v>
      </c>
      <c r="F176" s="124">
        <v>5</v>
      </c>
      <c r="G176" s="124">
        <v>6</v>
      </c>
      <c r="H176" s="124">
        <v>6</v>
      </c>
      <c r="I176" s="124">
        <v>6</v>
      </c>
      <c r="J176" s="124">
        <v>6</v>
      </c>
      <c r="K176" s="124">
        <v>5</v>
      </c>
      <c r="L176" s="124">
        <v>5</v>
      </c>
      <c r="M176" s="124">
        <v>5</v>
      </c>
      <c r="N176" s="122">
        <v>4</v>
      </c>
      <c r="O176" s="122">
        <v>4</v>
      </c>
      <c r="P176" s="122">
        <v>3</v>
      </c>
      <c r="Q176" s="122">
        <v>3</v>
      </c>
      <c r="R176" s="122">
        <v>2</v>
      </c>
      <c r="S176" s="122">
        <v>1</v>
      </c>
      <c r="T176" s="122">
        <v>1</v>
      </c>
      <c r="U176" s="125">
        <v>1</v>
      </c>
      <c r="V176" s="122">
        <v>2</v>
      </c>
      <c r="W176" s="122">
        <v>2</v>
      </c>
      <c r="X176" s="122">
        <v>2</v>
      </c>
      <c r="Y176" s="122">
        <v>3</v>
      </c>
      <c r="Z176" s="122">
        <v>3</v>
      </c>
      <c r="AA176" s="120">
        <v>4</v>
      </c>
      <c r="AB176" s="120">
        <v>4</v>
      </c>
      <c r="AC176" s="120">
        <v>4</v>
      </c>
      <c r="AD176" s="120">
        <v>6</v>
      </c>
      <c r="AE176" s="120">
        <v>6</v>
      </c>
      <c r="AF176" s="120">
        <v>6</v>
      </c>
      <c r="AG176" s="120">
        <v>6</v>
      </c>
      <c r="AH176" s="120">
        <v>5</v>
      </c>
      <c r="AI176" s="120">
        <v>5</v>
      </c>
      <c r="AJ176" s="120">
        <v>5</v>
      </c>
      <c r="AK176" s="120">
        <v>5</v>
      </c>
      <c r="AL176" s="120">
        <v>6</v>
      </c>
      <c r="AM176" s="120">
        <v>6</v>
      </c>
      <c r="AN176" s="120">
        <v>6</v>
      </c>
      <c r="AO176" s="120">
        <v>6</v>
      </c>
      <c r="AP176" s="121">
        <v>6</v>
      </c>
    </row>
    <row r="177" spans="1:42" x14ac:dyDescent="0.25">
      <c r="A177" s="123">
        <v>6</v>
      </c>
      <c r="B177" s="124">
        <v>6</v>
      </c>
      <c r="C177" s="124">
        <v>6</v>
      </c>
      <c r="D177" s="124">
        <v>6</v>
      </c>
      <c r="E177" s="124">
        <v>6</v>
      </c>
      <c r="F177" s="124">
        <v>5</v>
      </c>
      <c r="G177" s="124">
        <v>6</v>
      </c>
      <c r="H177" s="124">
        <v>6</v>
      </c>
      <c r="I177" s="124">
        <v>6</v>
      </c>
      <c r="J177" s="124">
        <v>6</v>
      </c>
      <c r="K177" s="124">
        <v>5</v>
      </c>
      <c r="L177" s="124">
        <v>5</v>
      </c>
      <c r="M177" s="124">
        <v>5</v>
      </c>
      <c r="N177" s="126">
        <v>4</v>
      </c>
      <c r="O177" s="126">
        <v>4</v>
      </c>
      <c r="P177" s="126">
        <v>4</v>
      </c>
      <c r="Q177" s="126">
        <v>2</v>
      </c>
      <c r="R177" s="124">
        <v>2</v>
      </c>
      <c r="S177" s="124">
        <v>2</v>
      </c>
      <c r="T177" s="124">
        <v>2</v>
      </c>
      <c r="U177" s="124">
        <v>3</v>
      </c>
      <c r="V177" s="124">
        <v>3</v>
      </c>
      <c r="W177" s="127">
        <v>1</v>
      </c>
      <c r="X177" s="127">
        <v>1</v>
      </c>
      <c r="Y177" s="127">
        <v>1</v>
      </c>
      <c r="Z177" s="127">
        <v>1</v>
      </c>
      <c r="AA177" s="124">
        <v>4</v>
      </c>
      <c r="AB177" s="124">
        <v>4</v>
      </c>
      <c r="AC177" s="124">
        <v>4</v>
      </c>
      <c r="AD177" s="124">
        <v>4</v>
      </c>
      <c r="AE177" s="124">
        <v>4</v>
      </c>
      <c r="AF177" s="124">
        <v>4</v>
      </c>
      <c r="AG177" s="124">
        <v>4</v>
      </c>
      <c r="AH177" s="124">
        <v>5</v>
      </c>
      <c r="AI177" s="124">
        <v>5</v>
      </c>
      <c r="AJ177" s="124">
        <v>5</v>
      </c>
      <c r="AK177" s="124">
        <v>5</v>
      </c>
      <c r="AL177" s="124">
        <v>5</v>
      </c>
      <c r="AM177" s="124">
        <v>5</v>
      </c>
      <c r="AN177" s="124">
        <v>5</v>
      </c>
      <c r="AO177" s="124">
        <v>5</v>
      </c>
      <c r="AP177" s="128">
        <v>5</v>
      </c>
    </row>
    <row r="178" spans="1:42" ht="15.75" thickBot="1" x14ac:dyDescent="0.3">
      <c r="A178" s="129">
        <v>6</v>
      </c>
      <c r="B178" s="130">
        <v>6</v>
      </c>
      <c r="C178" s="130">
        <v>6</v>
      </c>
      <c r="D178" s="130">
        <v>6</v>
      </c>
      <c r="E178" s="130">
        <v>6</v>
      </c>
      <c r="F178" s="130">
        <v>5</v>
      </c>
      <c r="G178" s="130">
        <v>6</v>
      </c>
      <c r="H178" s="130">
        <v>6</v>
      </c>
      <c r="I178" s="130">
        <v>6</v>
      </c>
      <c r="J178" s="130">
        <v>6</v>
      </c>
      <c r="K178" s="130">
        <v>5</v>
      </c>
      <c r="L178" s="130">
        <v>5</v>
      </c>
      <c r="M178" s="130">
        <v>5</v>
      </c>
      <c r="N178" s="131">
        <v>5</v>
      </c>
      <c r="O178" s="131">
        <v>5</v>
      </c>
      <c r="P178" s="131">
        <v>5</v>
      </c>
      <c r="Q178" s="131">
        <v>5</v>
      </c>
      <c r="R178" s="130">
        <v>5</v>
      </c>
      <c r="S178" s="130">
        <v>5</v>
      </c>
      <c r="T178" s="130">
        <v>5</v>
      </c>
      <c r="U178" s="130">
        <v>5</v>
      </c>
      <c r="V178" s="130">
        <v>5</v>
      </c>
      <c r="W178" s="132">
        <v>2</v>
      </c>
      <c r="X178" s="132">
        <v>2</v>
      </c>
      <c r="Y178" s="132">
        <v>2</v>
      </c>
      <c r="Z178" s="132">
        <v>2</v>
      </c>
      <c r="AA178" s="130">
        <v>6</v>
      </c>
      <c r="AB178" s="130">
        <v>6</v>
      </c>
      <c r="AC178" s="130">
        <v>6</v>
      </c>
      <c r="AD178" s="130">
        <v>6</v>
      </c>
      <c r="AE178" s="130">
        <v>6</v>
      </c>
      <c r="AF178" s="130">
        <v>6</v>
      </c>
      <c r="AG178" s="130">
        <v>6</v>
      </c>
      <c r="AH178" s="130">
        <v>6</v>
      </c>
      <c r="AI178" s="130">
        <v>6</v>
      </c>
      <c r="AJ178" s="130">
        <v>6</v>
      </c>
      <c r="AK178" s="130">
        <v>6</v>
      </c>
      <c r="AL178" s="130">
        <v>6</v>
      </c>
      <c r="AM178" s="130">
        <v>6</v>
      </c>
      <c r="AN178" s="130">
        <v>6</v>
      </c>
      <c r="AO178" s="130">
        <v>6</v>
      </c>
      <c r="AP178" s="133">
        <v>6</v>
      </c>
    </row>
    <row r="179" spans="1:42" x14ac:dyDescent="0.25">
      <c r="A179" s="134">
        <v>0</v>
      </c>
      <c r="B179" s="134">
        <v>0</v>
      </c>
      <c r="C179" s="134">
        <v>0</v>
      </c>
      <c r="D179" s="134">
        <v>0</v>
      </c>
      <c r="E179" s="134">
        <v>0</v>
      </c>
      <c r="F179" s="134">
        <v>0</v>
      </c>
      <c r="G179" s="134">
        <v>0</v>
      </c>
      <c r="H179" s="134">
        <v>0</v>
      </c>
      <c r="I179" s="134">
        <v>0</v>
      </c>
      <c r="J179" s="134">
        <v>0</v>
      </c>
      <c r="K179" s="134">
        <v>0</v>
      </c>
      <c r="L179" s="134">
        <v>0</v>
      </c>
      <c r="M179" s="134">
        <v>0</v>
      </c>
      <c r="N179" s="134">
        <v>0</v>
      </c>
      <c r="O179" s="134">
        <v>0</v>
      </c>
      <c r="P179" s="134">
        <v>0</v>
      </c>
      <c r="Q179" s="134">
        <v>0</v>
      </c>
      <c r="R179" s="134">
        <v>0</v>
      </c>
      <c r="S179" s="134">
        <v>0</v>
      </c>
      <c r="T179" s="134">
        <v>0</v>
      </c>
      <c r="U179" s="134">
        <v>0</v>
      </c>
      <c r="V179" s="134">
        <v>0</v>
      </c>
      <c r="W179" s="134">
        <v>0</v>
      </c>
      <c r="X179" s="134">
        <v>0</v>
      </c>
      <c r="Y179" s="134">
        <v>0</v>
      </c>
      <c r="Z179" s="134">
        <v>0</v>
      </c>
      <c r="AA179" s="134">
        <v>0</v>
      </c>
      <c r="AB179" s="134">
        <v>0</v>
      </c>
      <c r="AC179" s="134">
        <v>0</v>
      </c>
      <c r="AD179" s="134">
        <v>0</v>
      </c>
      <c r="AE179" s="134">
        <v>0</v>
      </c>
      <c r="AF179" s="134">
        <v>0</v>
      </c>
      <c r="AG179" s="134">
        <v>0</v>
      </c>
      <c r="AH179" s="134">
        <v>0</v>
      </c>
      <c r="AI179" s="134">
        <v>0</v>
      </c>
      <c r="AJ179" s="134">
        <v>0</v>
      </c>
      <c r="AK179" s="134">
        <v>0</v>
      </c>
      <c r="AL179" s="134">
        <v>0</v>
      </c>
      <c r="AM179" s="134">
        <v>0</v>
      </c>
      <c r="AN179" s="134">
        <v>0</v>
      </c>
      <c r="AO179" s="134">
        <v>0</v>
      </c>
      <c r="AP179" s="134">
        <v>0</v>
      </c>
    </row>
    <row r="180" spans="1:42" x14ac:dyDescent="0.25">
      <c r="A180" s="134">
        <v>0</v>
      </c>
      <c r="B180" s="134">
        <v>0</v>
      </c>
      <c r="C180" s="134">
        <v>0</v>
      </c>
      <c r="D180" s="134">
        <v>0</v>
      </c>
      <c r="E180" s="134">
        <v>0</v>
      </c>
      <c r="F180" s="134">
        <v>0</v>
      </c>
      <c r="G180" s="134">
        <v>0</v>
      </c>
      <c r="H180" s="134">
        <v>0</v>
      </c>
      <c r="I180" s="134">
        <v>0</v>
      </c>
      <c r="J180" s="134">
        <v>0</v>
      </c>
      <c r="K180" s="134">
        <v>0</v>
      </c>
      <c r="L180" s="134">
        <v>0</v>
      </c>
      <c r="M180" s="134">
        <v>0</v>
      </c>
      <c r="N180" s="134">
        <v>0</v>
      </c>
      <c r="O180" s="134">
        <v>0</v>
      </c>
      <c r="P180" s="134">
        <v>0</v>
      </c>
      <c r="Q180" s="134">
        <v>0</v>
      </c>
      <c r="R180" s="134">
        <v>0</v>
      </c>
      <c r="S180" s="134">
        <v>0</v>
      </c>
      <c r="T180" s="134">
        <v>0</v>
      </c>
      <c r="U180" s="134">
        <v>0</v>
      </c>
      <c r="V180" s="134">
        <v>0</v>
      </c>
      <c r="W180" s="134">
        <v>0</v>
      </c>
      <c r="X180" s="134">
        <v>0</v>
      </c>
      <c r="Y180" s="134">
        <v>0</v>
      </c>
      <c r="Z180" s="134">
        <v>0</v>
      </c>
      <c r="AA180" s="134">
        <v>0</v>
      </c>
      <c r="AB180" s="134">
        <v>0</v>
      </c>
      <c r="AC180" s="134">
        <v>0</v>
      </c>
      <c r="AD180" s="134">
        <v>0</v>
      </c>
      <c r="AE180" s="134">
        <v>0</v>
      </c>
      <c r="AF180" s="134">
        <v>0</v>
      </c>
      <c r="AG180" s="134">
        <v>0</v>
      </c>
      <c r="AH180" s="134">
        <v>0</v>
      </c>
      <c r="AI180" s="134">
        <v>0</v>
      </c>
      <c r="AJ180" s="134">
        <v>0</v>
      </c>
      <c r="AK180" s="134">
        <v>0</v>
      </c>
      <c r="AL180" s="134">
        <v>0</v>
      </c>
      <c r="AM180" s="134">
        <v>0</v>
      </c>
      <c r="AN180" s="134">
        <v>0</v>
      </c>
      <c r="AO180" s="134">
        <v>0</v>
      </c>
      <c r="AP180" s="134">
        <v>0</v>
      </c>
    </row>
    <row r="181" spans="1:42" x14ac:dyDescent="0.25">
      <c r="A181" s="134">
        <v>0</v>
      </c>
      <c r="B181" s="134">
        <v>0</v>
      </c>
      <c r="C181" s="134">
        <v>0</v>
      </c>
      <c r="D181" s="134">
        <v>0</v>
      </c>
      <c r="E181" s="134">
        <v>0</v>
      </c>
      <c r="F181" s="134">
        <v>0</v>
      </c>
      <c r="G181" s="134">
        <v>0</v>
      </c>
      <c r="H181" s="134">
        <v>0</v>
      </c>
      <c r="I181" s="134">
        <v>0</v>
      </c>
      <c r="J181" s="134">
        <v>0</v>
      </c>
      <c r="K181" s="134">
        <v>0</v>
      </c>
      <c r="L181" s="134">
        <v>0</v>
      </c>
      <c r="M181" s="134">
        <v>0</v>
      </c>
      <c r="N181" s="134">
        <v>0</v>
      </c>
      <c r="O181" s="134">
        <v>0</v>
      </c>
      <c r="P181" s="134">
        <v>0</v>
      </c>
      <c r="Q181" s="134">
        <v>0</v>
      </c>
      <c r="R181" s="134">
        <v>0</v>
      </c>
      <c r="S181" s="134">
        <v>0</v>
      </c>
      <c r="T181" s="134">
        <v>0</v>
      </c>
      <c r="U181" s="134">
        <v>0</v>
      </c>
      <c r="V181" s="134">
        <v>0</v>
      </c>
      <c r="W181" s="134">
        <v>0</v>
      </c>
      <c r="X181" s="134">
        <v>0</v>
      </c>
      <c r="Y181" s="134">
        <v>0</v>
      </c>
      <c r="Z181" s="134">
        <v>0</v>
      </c>
      <c r="AA181" s="134">
        <v>0</v>
      </c>
      <c r="AB181" s="134">
        <v>0</v>
      </c>
      <c r="AC181" s="134">
        <v>0</v>
      </c>
      <c r="AD181" s="134">
        <v>0</v>
      </c>
      <c r="AE181" s="134">
        <v>0</v>
      </c>
      <c r="AF181" s="134">
        <v>0</v>
      </c>
      <c r="AG181" s="134">
        <v>0</v>
      </c>
      <c r="AH181" s="134">
        <v>0</v>
      </c>
      <c r="AI181" s="134">
        <v>0</v>
      </c>
      <c r="AJ181" s="134">
        <v>0</v>
      </c>
      <c r="AK181" s="134">
        <v>0</v>
      </c>
      <c r="AL181" s="134">
        <v>0</v>
      </c>
      <c r="AM181" s="134">
        <v>0</v>
      </c>
      <c r="AN181" s="134">
        <v>0</v>
      </c>
      <c r="AO181" s="134">
        <v>0</v>
      </c>
      <c r="AP181" s="134">
        <v>0</v>
      </c>
    </row>
    <row r="182" spans="1:42" x14ac:dyDescent="0.25">
      <c r="A182" s="134">
        <v>0</v>
      </c>
      <c r="B182" s="134">
        <v>0</v>
      </c>
      <c r="C182" s="134">
        <v>0</v>
      </c>
      <c r="D182" s="134">
        <v>0</v>
      </c>
      <c r="E182" s="134">
        <v>0</v>
      </c>
      <c r="F182" s="134">
        <v>0</v>
      </c>
      <c r="G182" s="134">
        <v>0</v>
      </c>
      <c r="H182" s="134">
        <v>0</v>
      </c>
      <c r="I182" s="134">
        <v>0</v>
      </c>
      <c r="J182" s="134">
        <v>0</v>
      </c>
      <c r="K182" s="134">
        <v>0</v>
      </c>
      <c r="L182" s="134">
        <v>0</v>
      </c>
      <c r="M182" s="134">
        <v>0</v>
      </c>
      <c r="N182" s="134">
        <v>0</v>
      </c>
      <c r="O182" s="134">
        <v>0</v>
      </c>
      <c r="P182" s="134">
        <v>0</v>
      </c>
      <c r="Q182" s="134">
        <v>0</v>
      </c>
      <c r="R182" s="134">
        <v>0</v>
      </c>
      <c r="S182" s="134">
        <v>0</v>
      </c>
      <c r="T182" s="134">
        <v>0</v>
      </c>
      <c r="U182" s="134">
        <v>0</v>
      </c>
      <c r="V182" s="134">
        <v>0</v>
      </c>
      <c r="W182" s="134">
        <v>0</v>
      </c>
      <c r="X182" s="134">
        <v>0</v>
      </c>
      <c r="Y182" s="134">
        <v>0</v>
      </c>
      <c r="Z182" s="134">
        <v>0</v>
      </c>
      <c r="AA182" s="134">
        <v>0</v>
      </c>
      <c r="AB182" s="134">
        <v>0</v>
      </c>
      <c r="AC182" s="134">
        <v>0</v>
      </c>
      <c r="AD182" s="134">
        <v>0</v>
      </c>
      <c r="AE182" s="134">
        <v>0</v>
      </c>
      <c r="AF182" s="134">
        <v>0</v>
      </c>
      <c r="AG182" s="134">
        <v>0</v>
      </c>
      <c r="AH182" s="134">
        <v>0</v>
      </c>
      <c r="AI182" s="134">
        <v>0</v>
      </c>
      <c r="AJ182" s="134">
        <v>0</v>
      </c>
      <c r="AK182" s="134">
        <v>0</v>
      </c>
      <c r="AL182" s="134">
        <v>0</v>
      </c>
      <c r="AM182" s="134">
        <v>0</v>
      </c>
      <c r="AN182" s="134">
        <v>0</v>
      </c>
      <c r="AO182" s="134">
        <v>0</v>
      </c>
      <c r="AP182" s="134">
        <v>0</v>
      </c>
    </row>
    <row r="183" spans="1:42" x14ac:dyDescent="0.25">
      <c r="A183" s="134">
        <v>0</v>
      </c>
      <c r="B183" s="134">
        <v>0</v>
      </c>
      <c r="C183" s="134">
        <v>0</v>
      </c>
      <c r="D183" s="134">
        <v>0</v>
      </c>
      <c r="E183" s="134">
        <v>0</v>
      </c>
      <c r="F183" s="134">
        <v>0</v>
      </c>
      <c r="G183" s="134">
        <v>0</v>
      </c>
      <c r="H183" s="134">
        <v>0</v>
      </c>
      <c r="I183" s="134">
        <v>0</v>
      </c>
      <c r="J183" s="134">
        <v>0</v>
      </c>
      <c r="K183" s="134">
        <v>0</v>
      </c>
      <c r="L183" s="134">
        <v>0</v>
      </c>
      <c r="M183" s="134">
        <v>0</v>
      </c>
      <c r="N183" s="134">
        <v>0</v>
      </c>
      <c r="O183" s="134">
        <v>0</v>
      </c>
      <c r="P183" s="134">
        <v>0</v>
      </c>
      <c r="Q183" s="134">
        <v>0</v>
      </c>
      <c r="R183" s="134">
        <v>0</v>
      </c>
      <c r="S183" s="134">
        <v>0</v>
      </c>
      <c r="T183" s="134">
        <v>32</v>
      </c>
      <c r="U183" s="134">
        <v>0</v>
      </c>
      <c r="V183" s="134">
        <v>51</v>
      </c>
      <c r="W183" s="134">
        <v>0</v>
      </c>
      <c r="X183" s="134">
        <v>0</v>
      </c>
      <c r="Y183" s="134">
        <v>12</v>
      </c>
      <c r="Z183" s="134">
        <v>0</v>
      </c>
      <c r="AA183" s="134">
        <v>0</v>
      </c>
      <c r="AB183" s="134">
        <v>0</v>
      </c>
      <c r="AC183" s="134">
        <v>0</v>
      </c>
      <c r="AD183" s="134">
        <v>0</v>
      </c>
      <c r="AE183" s="134">
        <v>0</v>
      </c>
      <c r="AF183" s="134">
        <v>0</v>
      </c>
      <c r="AG183" s="134">
        <v>0</v>
      </c>
      <c r="AH183" s="134">
        <v>0</v>
      </c>
      <c r="AI183" s="134">
        <v>0</v>
      </c>
      <c r="AJ183" s="134">
        <v>0</v>
      </c>
      <c r="AK183" s="134">
        <v>0</v>
      </c>
      <c r="AL183" s="134">
        <v>0</v>
      </c>
      <c r="AM183" s="134">
        <v>0</v>
      </c>
      <c r="AN183" s="134">
        <v>0</v>
      </c>
      <c r="AO183" s="134">
        <v>0</v>
      </c>
      <c r="AP183" s="134">
        <v>0</v>
      </c>
    </row>
    <row r="184" spans="1:42" x14ac:dyDescent="0.25">
      <c r="A184" s="134">
        <v>0</v>
      </c>
      <c r="B184" s="134">
        <v>0</v>
      </c>
      <c r="C184" s="134">
        <v>0</v>
      </c>
      <c r="D184" s="134">
        <v>0</v>
      </c>
      <c r="E184" s="134">
        <v>0</v>
      </c>
      <c r="F184" s="134">
        <v>0</v>
      </c>
      <c r="G184" s="134">
        <v>0</v>
      </c>
      <c r="H184" s="134">
        <v>0</v>
      </c>
      <c r="I184" s="134">
        <v>0</v>
      </c>
      <c r="J184" s="134">
        <v>0</v>
      </c>
      <c r="K184" s="134">
        <v>0</v>
      </c>
      <c r="L184" s="134">
        <v>0</v>
      </c>
      <c r="M184" s="134">
        <v>0</v>
      </c>
      <c r="N184" s="134">
        <v>0</v>
      </c>
      <c r="O184" s="134">
        <v>0</v>
      </c>
      <c r="P184" s="134">
        <v>0</v>
      </c>
      <c r="Q184" s="134">
        <v>41</v>
      </c>
      <c r="R184" s="134">
        <v>0</v>
      </c>
      <c r="S184" s="134">
        <v>31</v>
      </c>
      <c r="T184" s="134">
        <v>0</v>
      </c>
      <c r="U184" s="134">
        <v>0</v>
      </c>
      <c r="V184" s="134">
        <v>41</v>
      </c>
      <c r="W184" s="134">
        <v>31</v>
      </c>
      <c r="X184" s="134">
        <v>13</v>
      </c>
      <c r="Y184" s="134">
        <v>0</v>
      </c>
      <c r="Z184" s="134">
        <v>0</v>
      </c>
      <c r="AA184" s="134">
        <v>0</v>
      </c>
      <c r="AB184" s="134">
        <v>0</v>
      </c>
      <c r="AC184" s="134">
        <v>0</v>
      </c>
      <c r="AD184" s="134">
        <v>0</v>
      </c>
      <c r="AE184" s="134">
        <v>0</v>
      </c>
      <c r="AF184" s="134">
        <v>0</v>
      </c>
      <c r="AG184" s="134">
        <v>0</v>
      </c>
      <c r="AH184" s="134">
        <v>0</v>
      </c>
      <c r="AI184" s="134">
        <v>0</v>
      </c>
      <c r="AJ184" s="134">
        <v>0</v>
      </c>
      <c r="AK184" s="134">
        <v>0</v>
      </c>
      <c r="AL184" s="134">
        <v>0</v>
      </c>
      <c r="AM184" s="134">
        <v>0</v>
      </c>
      <c r="AN184" s="134">
        <v>0</v>
      </c>
      <c r="AO184" s="134">
        <v>0</v>
      </c>
      <c r="AP184" s="134">
        <v>0</v>
      </c>
    </row>
    <row r="185" spans="1:42" x14ac:dyDescent="0.25">
      <c r="A185" s="134">
        <v>0</v>
      </c>
      <c r="B185" s="134">
        <v>0</v>
      </c>
      <c r="C185" s="134">
        <v>0</v>
      </c>
      <c r="D185" s="134">
        <v>0</v>
      </c>
      <c r="E185" s="134">
        <v>0</v>
      </c>
      <c r="F185" s="134">
        <v>0</v>
      </c>
      <c r="G185" s="134">
        <v>0</v>
      </c>
      <c r="H185" s="134">
        <v>0</v>
      </c>
      <c r="I185" s="134">
        <v>0</v>
      </c>
      <c r="J185" s="134">
        <v>0</v>
      </c>
      <c r="K185" s="134">
        <v>0</v>
      </c>
      <c r="L185" s="134">
        <v>0</v>
      </c>
      <c r="M185" s="134">
        <v>0</v>
      </c>
      <c r="N185" s="134">
        <v>0</v>
      </c>
      <c r="O185" s="134">
        <v>0</v>
      </c>
      <c r="P185" s="134">
        <v>0</v>
      </c>
      <c r="Q185" s="134">
        <v>0</v>
      </c>
      <c r="R185" s="134">
        <v>21</v>
      </c>
      <c r="S185" s="134">
        <v>0</v>
      </c>
      <c r="T185" s="134">
        <v>24</v>
      </c>
      <c r="U185" s="134">
        <v>32</v>
      </c>
      <c r="V185" s="134">
        <v>21</v>
      </c>
      <c r="W185" s="134">
        <v>0</v>
      </c>
      <c r="X185" s="134">
        <v>0</v>
      </c>
      <c r="Y185" s="134">
        <v>0</v>
      </c>
      <c r="Z185" s="134">
        <v>0</v>
      </c>
      <c r="AA185" s="134">
        <v>0</v>
      </c>
      <c r="AB185" s="134">
        <v>0</v>
      </c>
      <c r="AC185" s="134">
        <v>0</v>
      </c>
      <c r="AD185" s="134">
        <v>0</v>
      </c>
      <c r="AE185" s="134">
        <v>0</v>
      </c>
      <c r="AF185" s="134">
        <v>0</v>
      </c>
      <c r="AG185" s="134">
        <v>0</v>
      </c>
      <c r="AH185" s="134">
        <v>0</v>
      </c>
      <c r="AI185" s="134">
        <v>0</v>
      </c>
      <c r="AJ185" s="134">
        <v>0</v>
      </c>
      <c r="AK185" s="134">
        <v>0</v>
      </c>
      <c r="AL185" s="134">
        <v>0</v>
      </c>
      <c r="AM185" s="134">
        <v>0</v>
      </c>
      <c r="AN185" s="134">
        <v>0</v>
      </c>
      <c r="AO185" s="134">
        <v>0</v>
      </c>
      <c r="AP185" s="134">
        <v>0</v>
      </c>
    </row>
    <row r="186" spans="1:42" x14ac:dyDescent="0.25">
      <c r="A186" s="134">
        <v>0</v>
      </c>
      <c r="B186" s="134">
        <v>0</v>
      </c>
      <c r="C186" s="134">
        <v>0</v>
      </c>
      <c r="D186" s="134">
        <v>0</v>
      </c>
      <c r="E186" s="134">
        <v>0</v>
      </c>
      <c r="F186" s="134">
        <v>0</v>
      </c>
      <c r="G186" s="134">
        <v>0</v>
      </c>
      <c r="H186" s="134">
        <v>0</v>
      </c>
      <c r="I186" s="134">
        <v>0</v>
      </c>
      <c r="J186" s="134">
        <v>0</v>
      </c>
      <c r="K186" s="134">
        <v>0</v>
      </c>
      <c r="L186" s="134">
        <v>0</v>
      </c>
      <c r="M186" s="134">
        <v>0</v>
      </c>
      <c r="N186" s="134">
        <v>0</v>
      </c>
      <c r="O186" s="134">
        <v>0</v>
      </c>
      <c r="P186" s="134">
        <v>0</v>
      </c>
      <c r="Q186" s="134">
        <v>12</v>
      </c>
      <c r="R186" s="134">
        <v>0</v>
      </c>
      <c r="S186" s="134">
        <v>21</v>
      </c>
      <c r="T186" s="134">
        <v>0</v>
      </c>
      <c r="U186" s="134">
        <v>52</v>
      </c>
      <c r="V186" s="134">
        <v>0</v>
      </c>
      <c r="W186" s="134">
        <v>0</v>
      </c>
      <c r="X186" s="134">
        <v>0</v>
      </c>
      <c r="Y186" s="134">
        <v>12</v>
      </c>
      <c r="Z186" s="134">
        <v>0</v>
      </c>
      <c r="AA186" s="134">
        <v>0</v>
      </c>
      <c r="AB186" s="134">
        <v>0</v>
      </c>
      <c r="AC186" s="134">
        <v>0</v>
      </c>
      <c r="AD186" s="134">
        <v>0</v>
      </c>
      <c r="AE186" s="134">
        <v>0</v>
      </c>
      <c r="AF186" s="134">
        <v>0</v>
      </c>
      <c r="AG186" s="134">
        <v>0</v>
      </c>
      <c r="AH186" s="134">
        <v>0</v>
      </c>
      <c r="AI186" s="134">
        <v>0</v>
      </c>
      <c r="AJ186" s="134">
        <v>0</v>
      </c>
      <c r="AK186" s="134">
        <v>0</v>
      </c>
      <c r="AL186" s="134">
        <v>0</v>
      </c>
      <c r="AM186" s="134">
        <v>0</v>
      </c>
      <c r="AN186" s="134">
        <v>0</v>
      </c>
      <c r="AO186" s="134">
        <v>0</v>
      </c>
      <c r="AP186" s="134">
        <v>0</v>
      </c>
    </row>
    <row r="187" spans="1:42" x14ac:dyDescent="0.25">
      <c r="A187" s="134">
        <v>0</v>
      </c>
      <c r="B187" s="134">
        <v>0</v>
      </c>
      <c r="C187" s="134">
        <v>0</v>
      </c>
      <c r="D187" s="134">
        <v>0</v>
      </c>
      <c r="E187" s="134">
        <v>0</v>
      </c>
      <c r="F187" s="134">
        <v>0</v>
      </c>
      <c r="G187" s="134">
        <v>0</v>
      </c>
      <c r="H187" s="134">
        <v>0</v>
      </c>
      <c r="I187" s="134">
        <v>0</v>
      </c>
      <c r="J187" s="134">
        <v>0</v>
      </c>
      <c r="K187" s="134">
        <v>0</v>
      </c>
      <c r="L187" s="134">
        <v>0</v>
      </c>
      <c r="M187" s="134">
        <v>0</v>
      </c>
      <c r="N187" s="134">
        <v>0</v>
      </c>
      <c r="O187" s="134">
        <v>0</v>
      </c>
      <c r="P187" s="134">
        <v>0</v>
      </c>
      <c r="Q187" s="134">
        <v>0</v>
      </c>
      <c r="R187" s="134">
        <v>0</v>
      </c>
      <c r="S187" s="134">
        <v>0</v>
      </c>
      <c r="T187" s="134">
        <v>13</v>
      </c>
      <c r="U187" s="134">
        <v>23</v>
      </c>
      <c r="V187" s="134">
        <v>0</v>
      </c>
      <c r="W187" s="134">
        <v>61</v>
      </c>
      <c r="X187" s="134">
        <v>0</v>
      </c>
      <c r="Y187" s="134">
        <v>0</v>
      </c>
      <c r="Z187" s="134">
        <v>0</v>
      </c>
      <c r="AA187" s="134">
        <v>0</v>
      </c>
      <c r="AB187" s="134">
        <v>0</v>
      </c>
      <c r="AC187" s="134">
        <v>0</v>
      </c>
      <c r="AD187" s="134">
        <v>0</v>
      </c>
      <c r="AE187" s="134">
        <v>0</v>
      </c>
      <c r="AF187" s="134">
        <v>0</v>
      </c>
      <c r="AG187" s="134">
        <v>0</v>
      </c>
      <c r="AH187" s="134">
        <v>0</v>
      </c>
      <c r="AI187" s="134">
        <v>0</v>
      </c>
      <c r="AJ187" s="134">
        <v>0</v>
      </c>
      <c r="AK187" s="134">
        <v>0</v>
      </c>
      <c r="AL187" s="134">
        <v>0</v>
      </c>
      <c r="AM187" s="134">
        <v>0</v>
      </c>
      <c r="AN187" s="134">
        <v>0</v>
      </c>
      <c r="AO187" s="134">
        <v>0</v>
      </c>
      <c r="AP187" s="134">
        <v>0</v>
      </c>
    </row>
    <row r="188" spans="1:42" x14ac:dyDescent="0.25">
      <c r="A188" s="134">
        <v>0</v>
      </c>
      <c r="B188" s="134">
        <v>0</v>
      </c>
      <c r="C188" s="134">
        <v>0</v>
      </c>
      <c r="D188" s="134">
        <v>0</v>
      </c>
      <c r="E188" s="134">
        <v>0</v>
      </c>
      <c r="F188" s="134">
        <v>0</v>
      </c>
      <c r="G188" s="134">
        <v>0</v>
      </c>
      <c r="H188" s="134">
        <v>0</v>
      </c>
      <c r="I188" s="134">
        <v>0</v>
      </c>
      <c r="J188" s="134">
        <v>0</v>
      </c>
      <c r="K188" s="134">
        <v>0</v>
      </c>
      <c r="L188" s="134">
        <v>0</v>
      </c>
      <c r="M188" s="134">
        <v>0</v>
      </c>
      <c r="N188" s="134">
        <v>0</v>
      </c>
      <c r="O188" s="134">
        <v>0</v>
      </c>
      <c r="P188" s="134">
        <v>0</v>
      </c>
      <c r="Q188" s="134">
        <v>0</v>
      </c>
      <c r="R188" s="134">
        <v>0</v>
      </c>
      <c r="S188" s="134">
        <v>0</v>
      </c>
      <c r="T188" s="134">
        <v>0</v>
      </c>
      <c r="U188" s="134">
        <v>0</v>
      </c>
      <c r="V188" s="134">
        <v>0</v>
      </c>
      <c r="W188" s="134">
        <v>0</v>
      </c>
      <c r="X188" s="134">
        <v>0</v>
      </c>
      <c r="Y188" s="134">
        <v>0</v>
      </c>
      <c r="Z188" s="134">
        <v>0</v>
      </c>
      <c r="AA188" s="134">
        <v>0</v>
      </c>
      <c r="AB188" s="134">
        <v>0</v>
      </c>
      <c r="AC188" s="134">
        <v>0</v>
      </c>
      <c r="AD188" s="134">
        <v>0</v>
      </c>
      <c r="AE188" s="134">
        <v>0</v>
      </c>
      <c r="AF188" s="134">
        <v>0</v>
      </c>
      <c r="AG188" s="134">
        <v>0</v>
      </c>
      <c r="AH188" s="134">
        <v>0</v>
      </c>
      <c r="AI188" s="134">
        <v>0</v>
      </c>
      <c r="AJ188" s="134">
        <v>0</v>
      </c>
      <c r="AK188" s="134">
        <v>0</v>
      </c>
      <c r="AL188" s="134">
        <v>0</v>
      </c>
      <c r="AM188" s="134">
        <v>0</v>
      </c>
      <c r="AN188" s="134">
        <v>0</v>
      </c>
      <c r="AO188" s="134">
        <v>0</v>
      </c>
      <c r="AP188" s="134">
        <v>0</v>
      </c>
    </row>
    <row r="189" spans="1:42" ht="15.75" thickBot="1" x14ac:dyDescent="0.3"/>
    <row r="190" spans="1:42" x14ac:dyDescent="0.25">
      <c r="A190" s="113">
        <v>6</v>
      </c>
      <c r="B190" s="114">
        <v>6</v>
      </c>
      <c r="C190" s="114">
        <v>6</v>
      </c>
      <c r="D190" s="114">
        <v>6</v>
      </c>
      <c r="E190" s="114">
        <v>6</v>
      </c>
      <c r="F190" s="114">
        <v>6</v>
      </c>
      <c r="G190" s="114">
        <v>6</v>
      </c>
      <c r="H190" s="114">
        <v>6</v>
      </c>
      <c r="I190" s="114">
        <v>6</v>
      </c>
      <c r="J190" s="114">
        <v>6</v>
      </c>
      <c r="K190" s="114">
        <v>6</v>
      </c>
      <c r="L190" s="114">
        <v>6</v>
      </c>
      <c r="M190" s="114">
        <v>6</v>
      </c>
      <c r="N190" s="115">
        <v>6</v>
      </c>
      <c r="O190" s="115">
        <v>6</v>
      </c>
      <c r="P190" s="115">
        <v>6</v>
      </c>
      <c r="Q190" s="115">
        <v>6</v>
      </c>
      <c r="R190" s="115">
        <v>6</v>
      </c>
      <c r="S190" s="115">
        <v>6</v>
      </c>
      <c r="T190" s="115">
        <v>6</v>
      </c>
      <c r="U190" s="115">
        <v>6</v>
      </c>
      <c r="V190" s="115">
        <v>5</v>
      </c>
      <c r="W190" s="115">
        <v>5</v>
      </c>
      <c r="X190" s="115">
        <v>5</v>
      </c>
      <c r="Y190" s="115">
        <v>5</v>
      </c>
      <c r="Z190" s="115">
        <v>5</v>
      </c>
      <c r="AA190" s="116">
        <v>6</v>
      </c>
      <c r="AB190" s="116">
        <v>6</v>
      </c>
      <c r="AC190" s="116">
        <v>6</v>
      </c>
      <c r="AD190" s="116">
        <v>6</v>
      </c>
      <c r="AE190" s="116">
        <v>6</v>
      </c>
      <c r="AF190" s="116">
        <v>6</v>
      </c>
      <c r="AG190" s="116">
        <v>6</v>
      </c>
      <c r="AH190" s="116">
        <v>6</v>
      </c>
      <c r="AI190" s="116">
        <v>6</v>
      </c>
      <c r="AJ190" s="116">
        <v>6</v>
      </c>
      <c r="AK190" s="116">
        <v>6</v>
      </c>
      <c r="AL190" s="116">
        <v>6</v>
      </c>
      <c r="AM190" s="116">
        <v>6</v>
      </c>
      <c r="AN190" s="116">
        <v>6</v>
      </c>
      <c r="AO190" s="116">
        <v>6</v>
      </c>
      <c r="AP190" s="117">
        <v>6</v>
      </c>
    </row>
    <row r="191" spans="1:42" x14ac:dyDescent="0.25">
      <c r="A191" s="118">
        <v>6</v>
      </c>
      <c r="B191" s="119">
        <v>6</v>
      </c>
      <c r="C191" s="119">
        <v>6</v>
      </c>
      <c r="D191" s="119">
        <v>6</v>
      </c>
      <c r="E191" s="119">
        <v>6</v>
      </c>
      <c r="F191" s="119">
        <v>6</v>
      </c>
      <c r="G191" s="119">
        <v>6</v>
      </c>
      <c r="H191" s="119">
        <v>6</v>
      </c>
      <c r="I191" s="119">
        <v>6</v>
      </c>
      <c r="J191" s="119">
        <v>6</v>
      </c>
      <c r="K191" s="119">
        <v>5</v>
      </c>
      <c r="L191" s="119">
        <v>5</v>
      </c>
      <c r="M191" s="119">
        <v>5</v>
      </c>
      <c r="N191" s="109">
        <v>5</v>
      </c>
      <c r="O191" s="109">
        <v>5</v>
      </c>
      <c r="P191" s="109">
        <v>5</v>
      </c>
      <c r="Q191" s="109">
        <v>6</v>
      </c>
      <c r="R191" s="109">
        <v>6</v>
      </c>
      <c r="S191" s="109">
        <v>6</v>
      </c>
      <c r="T191" s="109">
        <v>6</v>
      </c>
      <c r="U191" s="109">
        <v>6</v>
      </c>
      <c r="V191" s="109">
        <v>5</v>
      </c>
      <c r="W191" s="109">
        <v>5</v>
      </c>
      <c r="X191" s="109">
        <v>5</v>
      </c>
      <c r="Y191" s="109">
        <v>5</v>
      </c>
      <c r="Z191" s="109">
        <v>5</v>
      </c>
      <c r="AA191" s="120">
        <v>5</v>
      </c>
      <c r="AB191" s="120">
        <v>5</v>
      </c>
      <c r="AC191" s="120">
        <v>5</v>
      </c>
      <c r="AD191" s="120">
        <v>6</v>
      </c>
      <c r="AE191" s="120">
        <v>6</v>
      </c>
      <c r="AF191" s="120">
        <v>6</v>
      </c>
      <c r="AG191" s="120">
        <v>6</v>
      </c>
      <c r="AH191" s="120">
        <v>6</v>
      </c>
      <c r="AI191" s="120">
        <v>6</v>
      </c>
      <c r="AJ191" s="120">
        <v>6</v>
      </c>
      <c r="AK191" s="120">
        <v>6</v>
      </c>
      <c r="AL191" s="120">
        <v>6</v>
      </c>
      <c r="AM191" s="120">
        <v>6</v>
      </c>
      <c r="AN191" s="120">
        <v>6</v>
      </c>
      <c r="AO191" s="120">
        <v>6</v>
      </c>
      <c r="AP191" s="121">
        <v>6</v>
      </c>
    </row>
    <row r="192" spans="1:42" x14ac:dyDescent="0.25">
      <c r="A192" s="118">
        <v>6</v>
      </c>
      <c r="B192" s="119">
        <v>6</v>
      </c>
      <c r="C192" s="119">
        <v>6</v>
      </c>
      <c r="D192" s="119">
        <v>6</v>
      </c>
      <c r="E192" s="119">
        <v>6</v>
      </c>
      <c r="F192" s="119">
        <v>6</v>
      </c>
      <c r="G192" s="119">
        <v>6</v>
      </c>
      <c r="H192" s="119">
        <v>6</v>
      </c>
      <c r="I192" s="119">
        <v>6</v>
      </c>
      <c r="J192" s="119">
        <v>6</v>
      </c>
      <c r="K192" s="119">
        <v>6</v>
      </c>
      <c r="L192" s="119">
        <v>6</v>
      </c>
      <c r="M192" s="119">
        <v>5</v>
      </c>
      <c r="N192" s="109">
        <v>5</v>
      </c>
      <c r="O192" s="109">
        <v>4</v>
      </c>
      <c r="P192" s="109">
        <v>4</v>
      </c>
      <c r="Q192" s="109">
        <v>4</v>
      </c>
      <c r="R192" s="109">
        <v>4</v>
      </c>
      <c r="S192" s="109">
        <v>4</v>
      </c>
      <c r="T192" s="109">
        <v>4</v>
      </c>
      <c r="U192" s="109">
        <v>5</v>
      </c>
      <c r="V192" s="109">
        <v>5</v>
      </c>
      <c r="W192" s="109">
        <v>5</v>
      </c>
      <c r="X192" s="109">
        <v>5</v>
      </c>
      <c r="Y192" s="109">
        <v>5</v>
      </c>
      <c r="Z192" s="109">
        <v>5</v>
      </c>
      <c r="AA192" s="120">
        <v>6</v>
      </c>
      <c r="AB192" s="120">
        <v>6</v>
      </c>
      <c r="AC192" s="120">
        <v>6</v>
      </c>
      <c r="AD192" s="120">
        <v>6</v>
      </c>
      <c r="AE192" s="120">
        <v>6</v>
      </c>
      <c r="AF192" s="120">
        <v>6</v>
      </c>
      <c r="AG192" s="120">
        <v>6</v>
      </c>
      <c r="AH192" s="120">
        <v>6</v>
      </c>
      <c r="AI192" s="120">
        <v>6</v>
      </c>
      <c r="AJ192" s="120">
        <v>6</v>
      </c>
      <c r="AK192" s="120">
        <v>6</v>
      </c>
      <c r="AL192" s="120">
        <v>6</v>
      </c>
      <c r="AM192" s="120">
        <v>6</v>
      </c>
      <c r="AN192" s="120">
        <v>6</v>
      </c>
      <c r="AO192" s="120">
        <v>6</v>
      </c>
      <c r="AP192" s="121">
        <v>6</v>
      </c>
    </row>
    <row r="193" spans="1:42" x14ac:dyDescent="0.25">
      <c r="A193" s="118">
        <v>6</v>
      </c>
      <c r="B193" s="119">
        <v>6</v>
      </c>
      <c r="C193" s="119">
        <v>6</v>
      </c>
      <c r="D193" s="119">
        <v>6</v>
      </c>
      <c r="E193" s="119">
        <v>6</v>
      </c>
      <c r="F193" s="119">
        <v>5</v>
      </c>
      <c r="G193" s="119">
        <v>5</v>
      </c>
      <c r="H193" s="119">
        <v>5</v>
      </c>
      <c r="I193" s="119">
        <v>5</v>
      </c>
      <c r="J193" s="119">
        <v>5</v>
      </c>
      <c r="K193" s="119">
        <v>5</v>
      </c>
      <c r="L193" s="119">
        <v>5</v>
      </c>
      <c r="M193" s="119">
        <v>5</v>
      </c>
      <c r="N193" s="109">
        <v>5</v>
      </c>
      <c r="O193" s="109">
        <v>5</v>
      </c>
      <c r="P193" s="109">
        <v>5</v>
      </c>
      <c r="Q193" s="109">
        <v>5</v>
      </c>
      <c r="R193" s="109">
        <v>4</v>
      </c>
      <c r="S193" s="109">
        <v>4</v>
      </c>
      <c r="T193" s="109">
        <v>4</v>
      </c>
      <c r="U193" s="109">
        <v>4</v>
      </c>
      <c r="V193" s="109">
        <v>4</v>
      </c>
      <c r="W193" s="109">
        <v>4</v>
      </c>
      <c r="X193" s="109">
        <v>4</v>
      </c>
      <c r="Y193" s="109">
        <v>4</v>
      </c>
      <c r="Z193" s="109">
        <v>4</v>
      </c>
      <c r="AA193" s="120">
        <v>5</v>
      </c>
      <c r="AB193" s="120">
        <v>5</v>
      </c>
      <c r="AC193" s="120">
        <v>5</v>
      </c>
      <c r="AD193" s="120">
        <v>5</v>
      </c>
      <c r="AE193" s="120">
        <v>5</v>
      </c>
      <c r="AF193" s="120">
        <v>5</v>
      </c>
      <c r="AG193" s="120">
        <v>5</v>
      </c>
      <c r="AH193" s="120">
        <v>5</v>
      </c>
      <c r="AI193" s="120">
        <v>5</v>
      </c>
      <c r="AJ193" s="120">
        <v>6</v>
      </c>
      <c r="AK193" s="120">
        <v>6</v>
      </c>
      <c r="AL193" s="120">
        <v>6</v>
      </c>
      <c r="AM193" s="120">
        <v>6</v>
      </c>
      <c r="AN193" s="120">
        <v>6</v>
      </c>
      <c r="AO193" s="120">
        <v>6</v>
      </c>
      <c r="AP193" s="121">
        <v>6</v>
      </c>
    </row>
    <row r="194" spans="1:42" x14ac:dyDescent="0.25">
      <c r="A194" s="118">
        <v>6</v>
      </c>
      <c r="B194" s="119">
        <v>6</v>
      </c>
      <c r="C194" s="119">
        <v>6</v>
      </c>
      <c r="D194" s="119">
        <v>6</v>
      </c>
      <c r="E194" s="119">
        <v>6</v>
      </c>
      <c r="F194" s="119">
        <v>5</v>
      </c>
      <c r="G194" s="119">
        <v>6</v>
      </c>
      <c r="H194" s="119">
        <v>6</v>
      </c>
      <c r="I194" s="119">
        <v>6</v>
      </c>
      <c r="J194" s="119">
        <v>6</v>
      </c>
      <c r="K194" s="119">
        <v>5</v>
      </c>
      <c r="L194" s="119">
        <v>5</v>
      </c>
      <c r="M194" s="119">
        <v>5</v>
      </c>
      <c r="N194" s="109">
        <v>5</v>
      </c>
      <c r="O194" s="109">
        <v>5</v>
      </c>
      <c r="P194" s="109">
        <v>5</v>
      </c>
      <c r="Q194" s="109">
        <v>4</v>
      </c>
      <c r="R194" s="109">
        <v>2</v>
      </c>
      <c r="S194" s="109">
        <v>3</v>
      </c>
      <c r="T194" s="109">
        <v>3</v>
      </c>
      <c r="U194" s="109">
        <v>3</v>
      </c>
      <c r="V194" s="109">
        <v>2</v>
      </c>
      <c r="W194" s="109">
        <v>3</v>
      </c>
      <c r="X194" s="109">
        <v>3</v>
      </c>
      <c r="Y194" s="109">
        <v>4</v>
      </c>
      <c r="Z194" s="109">
        <v>5</v>
      </c>
      <c r="AA194" s="120">
        <v>5</v>
      </c>
      <c r="AB194" s="120">
        <v>5</v>
      </c>
      <c r="AC194" s="120">
        <v>5</v>
      </c>
      <c r="AD194" s="120">
        <v>5</v>
      </c>
      <c r="AE194" s="120">
        <v>5</v>
      </c>
      <c r="AF194" s="120">
        <v>5</v>
      </c>
      <c r="AG194" s="120">
        <v>5</v>
      </c>
      <c r="AH194" s="120">
        <v>5</v>
      </c>
      <c r="AI194" s="120">
        <v>5</v>
      </c>
      <c r="AJ194" s="120">
        <v>6</v>
      </c>
      <c r="AK194" s="120">
        <v>6</v>
      </c>
      <c r="AL194" s="120">
        <v>6</v>
      </c>
      <c r="AM194" s="120">
        <v>6</v>
      </c>
      <c r="AN194" s="120">
        <v>6</v>
      </c>
      <c r="AO194" s="120">
        <v>6</v>
      </c>
      <c r="AP194" s="121">
        <v>6</v>
      </c>
    </row>
    <row r="195" spans="1:42" x14ac:dyDescent="0.25">
      <c r="A195" s="118">
        <v>6</v>
      </c>
      <c r="B195" s="119">
        <v>6</v>
      </c>
      <c r="C195" s="119">
        <v>6</v>
      </c>
      <c r="D195" s="119">
        <v>6</v>
      </c>
      <c r="E195" s="119">
        <v>6</v>
      </c>
      <c r="F195" s="119">
        <v>5</v>
      </c>
      <c r="G195" s="119">
        <v>5</v>
      </c>
      <c r="H195" s="119">
        <v>5</v>
      </c>
      <c r="I195" s="119">
        <v>5</v>
      </c>
      <c r="J195" s="119">
        <v>5</v>
      </c>
      <c r="K195" s="119">
        <v>5</v>
      </c>
      <c r="L195" s="119">
        <v>5</v>
      </c>
      <c r="M195" s="119">
        <v>5</v>
      </c>
      <c r="N195" s="122">
        <v>5</v>
      </c>
      <c r="O195" s="122">
        <v>5</v>
      </c>
      <c r="P195" s="122">
        <v>4</v>
      </c>
      <c r="Q195" s="122">
        <v>3</v>
      </c>
      <c r="R195" s="122">
        <v>2</v>
      </c>
      <c r="S195" s="122">
        <v>2</v>
      </c>
      <c r="T195" s="122">
        <v>2</v>
      </c>
      <c r="U195" s="122">
        <v>3</v>
      </c>
      <c r="V195" s="122">
        <v>2</v>
      </c>
      <c r="W195" s="122">
        <v>2</v>
      </c>
      <c r="X195" s="122">
        <v>3</v>
      </c>
      <c r="Y195" s="122">
        <v>4</v>
      </c>
      <c r="Z195" s="122">
        <v>5</v>
      </c>
      <c r="AA195" s="120">
        <v>4</v>
      </c>
      <c r="AB195" s="120">
        <v>5</v>
      </c>
      <c r="AC195" s="120">
        <v>5</v>
      </c>
      <c r="AD195" s="120">
        <v>5</v>
      </c>
      <c r="AE195" s="120">
        <v>5</v>
      </c>
      <c r="AF195" s="120">
        <v>5</v>
      </c>
      <c r="AG195" s="120">
        <v>5</v>
      </c>
      <c r="AH195" s="120">
        <v>5</v>
      </c>
      <c r="AI195" s="120">
        <v>5</v>
      </c>
      <c r="AJ195" s="120">
        <v>6</v>
      </c>
      <c r="AK195" s="120">
        <v>6</v>
      </c>
      <c r="AL195" s="120">
        <v>6</v>
      </c>
      <c r="AM195" s="120">
        <v>6</v>
      </c>
      <c r="AN195" s="120">
        <v>6</v>
      </c>
      <c r="AO195" s="120">
        <v>6</v>
      </c>
      <c r="AP195" s="121">
        <v>6</v>
      </c>
    </row>
    <row r="196" spans="1:42" ht="15.75" thickBot="1" x14ac:dyDescent="0.3">
      <c r="A196" s="123">
        <v>6</v>
      </c>
      <c r="B196" s="124">
        <v>6</v>
      </c>
      <c r="C196" s="124">
        <v>6</v>
      </c>
      <c r="D196" s="124">
        <v>6</v>
      </c>
      <c r="E196" s="124">
        <v>6</v>
      </c>
      <c r="F196" s="124">
        <v>5</v>
      </c>
      <c r="G196" s="124">
        <v>5</v>
      </c>
      <c r="H196" s="124">
        <v>5</v>
      </c>
      <c r="I196" s="124">
        <v>5</v>
      </c>
      <c r="J196" s="124">
        <v>5</v>
      </c>
      <c r="K196" s="124">
        <v>5</v>
      </c>
      <c r="L196" s="124">
        <v>5</v>
      </c>
      <c r="M196" s="124">
        <v>5</v>
      </c>
      <c r="N196" s="122">
        <v>4</v>
      </c>
      <c r="O196" s="122">
        <v>4</v>
      </c>
      <c r="P196" s="122">
        <v>4</v>
      </c>
      <c r="Q196" s="122">
        <v>3</v>
      </c>
      <c r="R196" s="122">
        <v>2</v>
      </c>
      <c r="S196" s="122">
        <v>1</v>
      </c>
      <c r="T196" s="122">
        <v>2</v>
      </c>
      <c r="U196" s="122">
        <v>1</v>
      </c>
      <c r="V196" s="122">
        <v>1</v>
      </c>
      <c r="W196" s="122">
        <v>1</v>
      </c>
      <c r="X196" s="122">
        <v>2</v>
      </c>
      <c r="Y196" s="122">
        <v>2</v>
      </c>
      <c r="Z196" s="122">
        <v>3</v>
      </c>
      <c r="AA196" s="120">
        <v>4</v>
      </c>
      <c r="AB196" s="120">
        <v>4</v>
      </c>
      <c r="AC196" s="120">
        <v>5</v>
      </c>
      <c r="AD196" s="120">
        <v>4</v>
      </c>
      <c r="AE196" s="120">
        <v>5</v>
      </c>
      <c r="AF196" s="120">
        <v>5</v>
      </c>
      <c r="AG196" s="120">
        <v>5</v>
      </c>
      <c r="AH196" s="120">
        <v>5</v>
      </c>
      <c r="AI196" s="120">
        <v>5</v>
      </c>
      <c r="AJ196" s="120">
        <v>6</v>
      </c>
      <c r="AK196" s="120">
        <v>6</v>
      </c>
      <c r="AL196" s="120">
        <v>6</v>
      </c>
      <c r="AM196" s="120">
        <v>6</v>
      </c>
      <c r="AN196" s="120">
        <v>6</v>
      </c>
      <c r="AO196" s="120">
        <v>6</v>
      </c>
      <c r="AP196" s="121">
        <v>6</v>
      </c>
    </row>
    <row r="197" spans="1:42" ht="15.75" thickBot="1" x14ac:dyDescent="0.3">
      <c r="A197" s="123">
        <v>6</v>
      </c>
      <c r="B197" s="124">
        <v>6</v>
      </c>
      <c r="C197" s="124">
        <v>6</v>
      </c>
      <c r="D197" s="124">
        <v>6</v>
      </c>
      <c r="E197" s="124">
        <v>6</v>
      </c>
      <c r="F197" s="124">
        <v>5</v>
      </c>
      <c r="G197" s="124">
        <v>6</v>
      </c>
      <c r="H197" s="124">
        <v>6</v>
      </c>
      <c r="I197" s="124">
        <v>6</v>
      </c>
      <c r="J197" s="124">
        <v>6</v>
      </c>
      <c r="K197" s="124">
        <v>5</v>
      </c>
      <c r="L197" s="124">
        <v>5</v>
      </c>
      <c r="M197" s="124">
        <v>5</v>
      </c>
      <c r="N197" s="122">
        <v>4</v>
      </c>
      <c r="O197" s="122">
        <v>4</v>
      </c>
      <c r="P197" s="122">
        <v>3</v>
      </c>
      <c r="Q197" s="122">
        <v>3</v>
      </c>
      <c r="R197" s="122">
        <v>2</v>
      </c>
      <c r="S197" s="122">
        <v>1</v>
      </c>
      <c r="T197" s="122">
        <v>1</v>
      </c>
      <c r="U197" s="125">
        <v>1</v>
      </c>
      <c r="V197" s="122">
        <v>2</v>
      </c>
      <c r="W197" s="122">
        <v>2</v>
      </c>
      <c r="X197" s="122">
        <v>2</v>
      </c>
      <c r="Y197" s="122">
        <v>3</v>
      </c>
      <c r="Z197" s="122">
        <v>3</v>
      </c>
      <c r="AA197" s="120">
        <v>4</v>
      </c>
      <c r="AB197" s="120">
        <v>4</v>
      </c>
      <c r="AC197" s="120">
        <v>4</v>
      </c>
      <c r="AD197" s="120">
        <v>6</v>
      </c>
      <c r="AE197" s="120">
        <v>6</v>
      </c>
      <c r="AF197" s="120">
        <v>6</v>
      </c>
      <c r="AG197" s="120">
        <v>6</v>
      </c>
      <c r="AH197" s="120">
        <v>5</v>
      </c>
      <c r="AI197" s="120">
        <v>5</v>
      </c>
      <c r="AJ197" s="120">
        <v>5</v>
      </c>
      <c r="AK197" s="120">
        <v>5</v>
      </c>
      <c r="AL197" s="120">
        <v>6</v>
      </c>
      <c r="AM197" s="120">
        <v>6</v>
      </c>
      <c r="AN197" s="120">
        <v>6</v>
      </c>
      <c r="AO197" s="120">
        <v>6</v>
      </c>
      <c r="AP197" s="121">
        <v>6</v>
      </c>
    </row>
    <row r="198" spans="1:42" x14ac:dyDescent="0.25">
      <c r="A198" s="123">
        <v>6</v>
      </c>
      <c r="B198" s="124">
        <v>6</v>
      </c>
      <c r="C198" s="124">
        <v>6</v>
      </c>
      <c r="D198" s="124">
        <v>6</v>
      </c>
      <c r="E198" s="124">
        <v>6</v>
      </c>
      <c r="F198" s="124">
        <v>5</v>
      </c>
      <c r="G198" s="124">
        <v>6</v>
      </c>
      <c r="H198" s="124">
        <v>6</v>
      </c>
      <c r="I198" s="124">
        <v>6</v>
      </c>
      <c r="J198" s="124">
        <v>6</v>
      </c>
      <c r="K198" s="124">
        <v>5</v>
      </c>
      <c r="L198" s="124">
        <v>5</v>
      </c>
      <c r="M198" s="124">
        <v>5</v>
      </c>
      <c r="N198" s="126">
        <v>4</v>
      </c>
      <c r="O198" s="126">
        <v>4</v>
      </c>
      <c r="P198" s="126">
        <v>4</v>
      </c>
      <c r="Q198" s="126">
        <v>2</v>
      </c>
      <c r="R198" s="124">
        <v>2</v>
      </c>
      <c r="S198" s="124">
        <v>2</v>
      </c>
      <c r="T198" s="124">
        <v>2</v>
      </c>
      <c r="U198" s="124">
        <v>3</v>
      </c>
      <c r="V198" s="124">
        <v>3</v>
      </c>
      <c r="W198" s="127">
        <v>1</v>
      </c>
      <c r="X198" s="127">
        <v>1</v>
      </c>
      <c r="Y198" s="127">
        <v>1</v>
      </c>
      <c r="Z198" s="127">
        <v>1</v>
      </c>
      <c r="AA198" s="124">
        <v>4</v>
      </c>
      <c r="AB198" s="124">
        <v>4</v>
      </c>
      <c r="AC198" s="124">
        <v>4</v>
      </c>
      <c r="AD198" s="124">
        <v>4</v>
      </c>
      <c r="AE198" s="124">
        <v>4</v>
      </c>
      <c r="AF198" s="124">
        <v>4</v>
      </c>
      <c r="AG198" s="124">
        <v>4</v>
      </c>
      <c r="AH198" s="124">
        <v>5</v>
      </c>
      <c r="AI198" s="124">
        <v>5</v>
      </c>
      <c r="AJ198" s="124">
        <v>5</v>
      </c>
      <c r="AK198" s="124">
        <v>5</v>
      </c>
      <c r="AL198" s="124">
        <v>5</v>
      </c>
      <c r="AM198" s="124">
        <v>5</v>
      </c>
      <c r="AN198" s="124">
        <v>5</v>
      </c>
      <c r="AO198" s="124">
        <v>5</v>
      </c>
      <c r="AP198" s="128">
        <v>5</v>
      </c>
    </row>
    <row r="199" spans="1:42" ht="15.75" thickBot="1" x14ac:dyDescent="0.3">
      <c r="A199" s="129">
        <v>6</v>
      </c>
      <c r="B199" s="130">
        <v>6</v>
      </c>
      <c r="C199" s="130">
        <v>6</v>
      </c>
      <c r="D199" s="130">
        <v>6</v>
      </c>
      <c r="E199" s="130">
        <v>6</v>
      </c>
      <c r="F199" s="130">
        <v>5</v>
      </c>
      <c r="G199" s="130">
        <v>6</v>
      </c>
      <c r="H199" s="130">
        <v>6</v>
      </c>
      <c r="I199" s="130">
        <v>6</v>
      </c>
      <c r="J199" s="130">
        <v>6</v>
      </c>
      <c r="K199" s="130">
        <v>5</v>
      </c>
      <c r="L199" s="130">
        <v>5</v>
      </c>
      <c r="M199" s="130">
        <v>5</v>
      </c>
      <c r="N199" s="131">
        <v>5</v>
      </c>
      <c r="O199" s="131">
        <v>5</v>
      </c>
      <c r="P199" s="131">
        <v>5</v>
      </c>
      <c r="Q199" s="131">
        <v>5</v>
      </c>
      <c r="R199" s="130">
        <v>5</v>
      </c>
      <c r="S199" s="130">
        <v>5</v>
      </c>
      <c r="T199" s="130">
        <v>5</v>
      </c>
      <c r="U199" s="130">
        <v>5</v>
      </c>
      <c r="V199" s="130">
        <v>5</v>
      </c>
      <c r="W199" s="132">
        <v>2</v>
      </c>
      <c r="X199" s="132">
        <v>2</v>
      </c>
      <c r="Y199" s="132">
        <v>2</v>
      </c>
      <c r="Z199" s="132">
        <v>2</v>
      </c>
      <c r="AA199" s="130">
        <v>6</v>
      </c>
      <c r="AB199" s="130">
        <v>6</v>
      </c>
      <c r="AC199" s="130">
        <v>6</v>
      </c>
      <c r="AD199" s="130">
        <v>6</v>
      </c>
      <c r="AE199" s="130">
        <v>6</v>
      </c>
      <c r="AF199" s="130">
        <v>6</v>
      </c>
      <c r="AG199" s="130">
        <v>6</v>
      </c>
      <c r="AH199" s="130">
        <v>6</v>
      </c>
      <c r="AI199" s="130">
        <v>6</v>
      </c>
      <c r="AJ199" s="130">
        <v>6</v>
      </c>
      <c r="AK199" s="130">
        <v>6</v>
      </c>
      <c r="AL199" s="130">
        <v>6</v>
      </c>
      <c r="AM199" s="130">
        <v>6</v>
      </c>
      <c r="AN199" s="130">
        <v>6</v>
      </c>
      <c r="AO199" s="130">
        <v>6</v>
      </c>
      <c r="AP199" s="133">
        <v>6</v>
      </c>
    </row>
    <row r="200" spans="1:42" x14ac:dyDescent="0.25">
      <c r="A200" s="134">
        <v>0</v>
      </c>
      <c r="B200" s="134">
        <v>0</v>
      </c>
      <c r="C200" s="134">
        <v>0</v>
      </c>
      <c r="D200" s="134">
        <v>0</v>
      </c>
      <c r="E200" s="134">
        <v>0</v>
      </c>
      <c r="F200" s="134">
        <v>0</v>
      </c>
      <c r="G200" s="134">
        <v>0</v>
      </c>
      <c r="H200" s="134">
        <v>0</v>
      </c>
      <c r="I200" s="134">
        <v>0</v>
      </c>
      <c r="J200" s="134">
        <v>0</v>
      </c>
      <c r="K200" s="134">
        <v>0</v>
      </c>
      <c r="L200" s="134">
        <v>0</v>
      </c>
      <c r="M200" s="134">
        <v>0</v>
      </c>
      <c r="N200" s="134">
        <v>0</v>
      </c>
      <c r="O200" s="134">
        <v>0</v>
      </c>
      <c r="P200" s="134">
        <v>0</v>
      </c>
      <c r="Q200" s="134">
        <v>0</v>
      </c>
      <c r="R200" s="134">
        <v>0</v>
      </c>
      <c r="S200" s="134">
        <v>0</v>
      </c>
      <c r="T200" s="134">
        <v>0</v>
      </c>
      <c r="U200" s="134">
        <v>0</v>
      </c>
      <c r="V200" s="134">
        <v>0</v>
      </c>
      <c r="W200" s="134">
        <v>0</v>
      </c>
      <c r="X200" s="134">
        <v>0</v>
      </c>
      <c r="Y200" s="134">
        <v>0</v>
      </c>
      <c r="Z200" s="134">
        <v>0</v>
      </c>
      <c r="AA200" s="134">
        <v>0</v>
      </c>
      <c r="AB200" s="134">
        <v>0</v>
      </c>
      <c r="AC200" s="134">
        <v>0</v>
      </c>
      <c r="AD200" s="134">
        <v>0</v>
      </c>
      <c r="AE200" s="134">
        <v>0</v>
      </c>
      <c r="AF200" s="134">
        <v>0</v>
      </c>
      <c r="AG200" s="134">
        <v>0</v>
      </c>
      <c r="AH200" s="134">
        <v>0</v>
      </c>
      <c r="AI200" s="134">
        <v>0</v>
      </c>
      <c r="AJ200" s="134">
        <v>0</v>
      </c>
      <c r="AK200" s="134">
        <v>0</v>
      </c>
      <c r="AL200" s="134">
        <v>0</v>
      </c>
      <c r="AM200" s="134">
        <v>0</v>
      </c>
      <c r="AN200" s="134">
        <v>0</v>
      </c>
      <c r="AO200" s="134">
        <v>0</v>
      </c>
      <c r="AP200" s="134">
        <v>0</v>
      </c>
    </row>
    <row r="201" spans="1:42" x14ac:dyDescent="0.25">
      <c r="A201" s="134">
        <v>0</v>
      </c>
      <c r="B201" s="134">
        <v>0</v>
      </c>
      <c r="C201" s="134">
        <v>0</v>
      </c>
      <c r="D201" s="134">
        <v>0</v>
      </c>
      <c r="E201" s="134">
        <v>0</v>
      </c>
      <c r="F201" s="134">
        <v>0</v>
      </c>
      <c r="G201" s="134">
        <v>0</v>
      </c>
      <c r="H201" s="134">
        <v>0</v>
      </c>
      <c r="I201" s="134">
        <v>0</v>
      </c>
      <c r="J201" s="134">
        <v>0</v>
      </c>
      <c r="K201" s="134">
        <v>0</v>
      </c>
      <c r="L201" s="134">
        <v>0</v>
      </c>
      <c r="M201" s="134">
        <v>0</v>
      </c>
      <c r="N201" s="134">
        <v>0</v>
      </c>
      <c r="O201" s="134">
        <v>0</v>
      </c>
      <c r="P201" s="134">
        <v>0</v>
      </c>
      <c r="Q201" s="134">
        <v>0</v>
      </c>
      <c r="R201" s="134">
        <v>0</v>
      </c>
      <c r="S201" s="134">
        <v>0</v>
      </c>
      <c r="T201" s="134">
        <v>0</v>
      </c>
      <c r="U201" s="134">
        <v>0</v>
      </c>
      <c r="V201" s="134">
        <v>0</v>
      </c>
      <c r="W201" s="134">
        <v>0</v>
      </c>
      <c r="X201" s="134">
        <v>0</v>
      </c>
      <c r="Y201" s="134">
        <v>0</v>
      </c>
      <c r="Z201" s="134">
        <v>0</v>
      </c>
      <c r="AA201" s="134">
        <v>0</v>
      </c>
      <c r="AB201" s="134">
        <v>0</v>
      </c>
      <c r="AC201" s="134">
        <v>0</v>
      </c>
      <c r="AD201" s="134">
        <v>0</v>
      </c>
      <c r="AE201" s="134">
        <v>0</v>
      </c>
      <c r="AF201" s="134">
        <v>0</v>
      </c>
      <c r="AG201" s="134">
        <v>0</v>
      </c>
      <c r="AH201" s="134">
        <v>0</v>
      </c>
      <c r="AI201" s="134">
        <v>0</v>
      </c>
      <c r="AJ201" s="134">
        <v>0</v>
      </c>
      <c r="AK201" s="134">
        <v>0</v>
      </c>
      <c r="AL201" s="134">
        <v>0</v>
      </c>
      <c r="AM201" s="134">
        <v>0</v>
      </c>
      <c r="AN201" s="134">
        <v>0</v>
      </c>
      <c r="AO201" s="134">
        <v>0</v>
      </c>
      <c r="AP201" s="134">
        <v>0</v>
      </c>
    </row>
    <row r="202" spans="1:42" x14ac:dyDescent="0.25">
      <c r="A202" s="134">
        <v>0</v>
      </c>
      <c r="B202" s="134">
        <v>0</v>
      </c>
      <c r="C202" s="134">
        <v>0</v>
      </c>
      <c r="D202" s="134">
        <v>0</v>
      </c>
      <c r="E202" s="134">
        <v>0</v>
      </c>
      <c r="F202" s="134">
        <v>0</v>
      </c>
      <c r="G202" s="134">
        <v>0</v>
      </c>
      <c r="H202" s="134">
        <v>0</v>
      </c>
      <c r="I202" s="134">
        <v>0</v>
      </c>
      <c r="J202" s="134">
        <v>0</v>
      </c>
      <c r="K202" s="134">
        <v>0</v>
      </c>
      <c r="L202" s="134">
        <v>0</v>
      </c>
      <c r="M202" s="134">
        <v>0</v>
      </c>
      <c r="N202" s="134">
        <v>0</v>
      </c>
      <c r="O202" s="134">
        <v>0</v>
      </c>
      <c r="P202" s="134">
        <v>0</v>
      </c>
      <c r="Q202" s="134">
        <v>0</v>
      </c>
      <c r="R202" s="134">
        <v>0</v>
      </c>
      <c r="S202" s="134">
        <v>0</v>
      </c>
      <c r="T202" s="134">
        <v>0</v>
      </c>
      <c r="U202" s="134">
        <v>0</v>
      </c>
      <c r="V202" s="134">
        <v>0</v>
      </c>
      <c r="W202" s="134">
        <v>0</v>
      </c>
      <c r="X202" s="134">
        <v>0</v>
      </c>
      <c r="Y202" s="134">
        <v>0</v>
      </c>
      <c r="Z202" s="134">
        <v>0</v>
      </c>
      <c r="AA202" s="134">
        <v>0</v>
      </c>
      <c r="AB202" s="134">
        <v>0</v>
      </c>
      <c r="AC202" s="134">
        <v>0</v>
      </c>
      <c r="AD202" s="134">
        <v>0</v>
      </c>
      <c r="AE202" s="134">
        <v>0</v>
      </c>
      <c r="AF202" s="134">
        <v>0</v>
      </c>
      <c r="AG202" s="134">
        <v>0</v>
      </c>
      <c r="AH202" s="134">
        <v>0</v>
      </c>
      <c r="AI202" s="134">
        <v>0</v>
      </c>
      <c r="AJ202" s="134">
        <v>0</v>
      </c>
      <c r="AK202" s="134">
        <v>0</v>
      </c>
      <c r="AL202" s="134">
        <v>0</v>
      </c>
      <c r="AM202" s="134">
        <v>0</v>
      </c>
      <c r="AN202" s="134">
        <v>0</v>
      </c>
      <c r="AO202" s="134">
        <v>0</v>
      </c>
      <c r="AP202" s="134">
        <v>0</v>
      </c>
    </row>
    <row r="203" spans="1:42" x14ac:dyDescent="0.25">
      <c r="A203" s="134">
        <v>0</v>
      </c>
      <c r="B203" s="134">
        <v>0</v>
      </c>
      <c r="C203" s="134">
        <v>0</v>
      </c>
      <c r="D203" s="134">
        <v>0</v>
      </c>
      <c r="E203" s="134">
        <v>0</v>
      </c>
      <c r="F203" s="134">
        <v>0</v>
      </c>
      <c r="G203" s="134">
        <v>0</v>
      </c>
      <c r="H203" s="134">
        <v>0</v>
      </c>
      <c r="I203" s="134">
        <v>0</v>
      </c>
      <c r="J203" s="134">
        <v>0</v>
      </c>
      <c r="K203" s="134">
        <v>0</v>
      </c>
      <c r="L203" s="134">
        <v>0</v>
      </c>
      <c r="M203" s="134">
        <v>0</v>
      </c>
      <c r="N203" s="134">
        <v>0</v>
      </c>
      <c r="O203" s="134">
        <v>0</v>
      </c>
      <c r="P203" s="134">
        <v>0</v>
      </c>
      <c r="Q203" s="134">
        <v>0</v>
      </c>
      <c r="R203" s="134">
        <v>0</v>
      </c>
      <c r="S203" s="134">
        <v>0</v>
      </c>
      <c r="T203" s="134">
        <v>0</v>
      </c>
      <c r="U203" s="134">
        <v>0</v>
      </c>
      <c r="V203" s="134">
        <v>0</v>
      </c>
      <c r="W203" s="134">
        <v>0</v>
      </c>
      <c r="X203" s="134">
        <v>0</v>
      </c>
      <c r="Y203" s="134">
        <v>0</v>
      </c>
      <c r="Z203" s="134">
        <v>0</v>
      </c>
      <c r="AA203" s="134">
        <v>0</v>
      </c>
      <c r="AB203" s="134">
        <v>0</v>
      </c>
      <c r="AC203" s="134">
        <v>0</v>
      </c>
      <c r="AD203" s="134">
        <v>0</v>
      </c>
      <c r="AE203" s="134">
        <v>0</v>
      </c>
      <c r="AF203" s="134">
        <v>0</v>
      </c>
      <c r="AG203" s="134">
        <v>0</v>
      </c>
      <c r="AH203" s="134">
        <v>0</v>
      </c>
      <c r="AI203" s="134">
        <v>0</v>
      </c>
      <c r="AJ203" s="134">
        <v>0</v>
      </c>
      <c r="AK203" s="134">
        <v>0</v>
      </c>
      <c r="AL203" s="134">
        <v>0</v>
      </c>
      <c r="AM203" s="134">
        <v>0</v>
      </c>
      <c r="AN203" s="134">
        <v>0</v>
      </c>
      <c r="AO203" s="134">
        <v>0</v>
      </c>
      <c r="AP203" s="134">
        <v>0</v>
      </c>
    </row>
    <row r="204" spans="1:42" x14ac:dyDescent="0.25">
      <c r="A204" s="134">
        <v>0</v>
      </c>
      <c r="B204" s="134">
        <v>0</v>
      </c>
      <c r="C204" s="134">
        <v>0</v>
      </c>
      <c r="D204" s="134">
        <v>0</v>
      </c>
      <c r="E204" s="134">
        <v>0</v>
      </c>
      <c r="F204" s="134">
        <v>0</v>
      </c>
      <c r="G204" s="134">
        <v>0</v>
      </c>
      <c r="H204" s="134">
        <v>0</v>
      </c>
      <c r="I204" s="134">
        <v>0</v>
      </c>
      <c r="J204" s="134">
        <v>0</v>
      </c>
      <c r="K204" s="134">
        <v>0</v>
      </c>
      <c r="L204" s="134">
        <v>0</v>
      </c>
      <c r="M204" s="134">
        <v>0</v>
      </c>
      <c r="N204" s="134">
        <v>0</v>
      </c>
      <c r="O204" s="134">
        <v>0</v>
      </c>
      <c r="P204" s="134">
        <v>0</v>
      </c>
      <c r="Q204" s="134">
        <v>0</v>
      </c>
      <c r="R204" s="134">
        <v>0</v>
      </c>
      <c r="S204" s="134">
        <v>0</v>
      </c>
      <c r="T204" s="134">
        <v>32</v>
      </c>
      <c r="U204" s="134">
        <v>0</v>
      </c>
      <c r="V204" s="134">
        <v>51</v>
      </c>
      <c r="W204" s="134">
        <v>0</v>
      </c>
      <c r="X204" s="134">
        <v>0</v>
      </c>
      <c r="Y204" s="134">
        <v>12</v>
      </c>
      <c r="Z204" s="134">
        <v>0</v>
      </c>
      <c r="AA204" s="134">
        <v>0</v>
      </c>
      <c r="AB204" s="134">
        <v>0</v>
      </c>
      <c r="AC204" s="134">
        <v>0</v>
      </c>
      <c r="AD204" s="134">
        <v>0</v>
      </c>
      <c r="AE204" s="134">
        <v>0</v>
      </c>
      <c r="AF204" s="134">
        <v>0</v>
      </c>
      <c r="AG204" s="134">
        <v>0</v>
      </c>
      <c r="AH204" s="134">
        <v>0</v>
      </c>
      <c r="AI204" s="134">
        <v>0</v>
      </c>
      <c r="AJ204" s="134">
        <v>0</v>
      </c>
      <c r="AK204" s="134">
        <v>0</v>
      </c>
      <c r="AL204" s="134">
        <v>0</v>
      </c>
      <c r="AM204" s="134">
        <v>0</v>
      </c>
      <c r="AN204" s="134">
        <v>0</v>
      </c>
      <c r="AO204" s="134">
        <v>0</v>
      </c>
      <c r="AP204" s="134">
        <v>0</v>
      </c>
    </row>
    <row r="205" spans="1:42" x14ac:dyDescent="0.25">
      <c r="A205" s="134">
        <v>0</v>
      </c>
      <c r="B205" s="134">
        <v>0</v>
      </c>
      <c r="C205" s="134">
        <v>0</v>
      </c>
      <c r="D205" s="134">
        <v>0</v>
      </c>
      <c r="E205" s="134">
        <v>0</v>
      </c>
      <c r="F205" s="134">
        <v>0</v>
      </c>
      <c r="G205" s="134">
        <v>0</v>
      </c>
      <c r="H205" s="134">
        <v>0</v>
      </c>
      <c r="I205" s="134">
        <v>0</v>
      </c>
      <c r="J205" s="134">
        <v>0</v>
      </c>
      <c r="K205" s="134">
        <v>0</v>
      </c>
      <c r="L205" s="134">
        <v>0</v>
      </c>
      <c r="M205" s="134">
        <v>0</v>
      </c>
      <c r="N205" s="134">
        <v>0</v>
      </c>
      <c r="O205" s="134">
        <v>0</v>
      </c>
      <c r="P205" s="134">
        <v>0</v>
      </c>
      <c r="Q205" s="134">
        <v>41</v>
      </c>
      <c r="R205" s="134">
        <v>0</v>
      </c>
      <c r="S205" s="134">
        <v>31</v>
      </c>
      <c r="T205" s="134">
        <v>0</v>
      </c>
      <c r="U205" s="134">
        <v>0</v>
      </c>
      <c r="V205" s="134">
        <v>41</v>
      </c>
      <c r="W205" s="134">
        <v>31</v>
      </c>
      <c r="X205" s="134">
        <v>13</v>
      </c>
      <c r="Y205" s="134">
        <v>0</v>
      </c>
      <c r="Z205" s="134">
        <v>0</v>
      </c>
      <c r="AA205" s="134">
        <v>0</v>
      </c>
      <c r="AB205" s="134">
        <v>0</v>
      </c>
      <c r="AC205" s="134">
        <v>0</v>
      </c>
      <c r="AD205" s="134">
        <v>0</v>
      </c>
      <c r="AE205" s="134">
        <v>0</v>
      </c>
      <c r="AF205" s="134">
        <v>0</v>
      </c>
      <c r="AG205" s="134">
        <v>0</v>
      </c>
      <c r="AH205" s="134">
        <v>0</v>
      </c>
      <c r="AI205" s="134">
        <v>0</v>
      </c>
      <c r="AJ205" s="134">
        <v>0</v>
      </c>
      <c r="AK205" s="134">
        <v>0</v>
      </c>
      <c r="AL205" s="134">
        <v>0</v>
      </c>
      <c r="AM205" s="134">
        <v>0</v>
      </c>
      <c r="AN205" s="134">
        <v>0</v>
      </c>
      <c r="AO205" s="134">
        <v>0</v>
      </c>
      <c r="AP205" s="134">
        <v>0</v>
      </c>
    </row>
    <row r="206" spans="1:42" x14ac:dyDescent="0.25">
      <c r="A206" s="134">
        <v>0</v>
      </c>
      <c r="B206" s="134">
        <v>0</v>
      </c>
      <c r="C206" s="134">
        <v>0</v>
      </c>
      <c r="D206" s="134">
        <v>0</v>
      </c>
      <c r="E206" s="134">
        <v>0</v>
      </c>
      <c r="F206" s="134">
        <v>0</v>
      </c>
      <c r="G206" s="134">
        <v>0</v>
      </c>
      <c r="H206" s="134">
        <v>0</v>
      </c>
      <c r="I206" s="134">
        <v>0</v>
      </c>
      <c r="J206" s="134">
        <v>0</v>
      </c>
      <c r="K206" s="134">
        <v>0</v>
      </c>
      <c r="L206" s="134">
        <v>0</v>
      </c>
      <c r="M206" s="134">
        <v>0</v>
      </c>
      <c r="N206" s="134">
        <v>0</v>
      </c>
      <c r="O206" s="134">
        <v>0</v>
      </c>
      <c r="P206" s="134">
        <v>0</v>
      </c>
      <c r="Q206" s="134">
        <v>0</v>
      </c>
      <c r="R206" s="134">
        <v>21</v>
      </c>
      <c r="S206" s="134">
        <v>0</v>
      </c>
      <c r="T206" s="134">
        <v>24</v>
      </c>
      <c r="U206" s="134">
        <v>32</v>
      </c>
      <c r="V206" s="134">
        <v>21</v>
      </c>
      <c r="W206" s="134">
        <v>0</v>
      </c>
      <c r="X206" s="134">
        <v>0</v>
      </c>
      <c r="Y206" s="134">
        <v>0</v>
      </c>
      <c r="Z206" s="134">
        <v>0</v>
      </c>
      <c r="AA206" s="134">
        <v>0</v>
      </c>
      <c r="AB206" s="134">
        <v>0</v>
      </c>
      <c r="AC206" s="134">
        <v>0</v>
      </c>
      <c r="AD206" s="134">
        <v>0</v>
      </c>
      <c r="AE206" s="134">
        <v>0</v>
      </c>
      <c r="AF206" s="134">
        <v>0</v>
      </c>
      <c r="AG206" s="134">
        <v>0</v>
      </c>
      <c r="AH206" s="134">
        <v>0</v>
      </c>
      <c r="AI206" s="134">
        <v>0</v>
      </c>
      <c r="AJ206" s="134">
        <v>0</v>
      </c>
      <c r="AK206" s="134">
        <v>0</v>
      </c>
      <c r="AL206" s="134">
        <v>0</v>
      </c>
      <c r="AM206" s="134">
        <v>0</v>
      </c>
      <c r="AN206" s="134">
        <v>0</v>
      </c>
      <c r="AO206" s="134">
        <v>0</v>
      </c>
      <c r="AP206" s="134">
        <v>0</v>
      </c>
    </row>
    <row r="207" spans="1:42" x14ac:dyDescent="0.25">
      <c r="A207" s="134">
        <v>0</v>
      </c>
      <c r="B207" s="134">
        <v>0</v>
      </c>
      <c r="C207" s="134">
        <v>0</v>
      </c>
      <c r="D207" s="134">
        <v>0</v>
      </c>
      <c r="E207" s="134">
        <v>0</v>
      </c>
      <c r="F207" s="134">
        <v>0</v>
      </c>
      <c r="G207" s="134">
        <v>0</v>
      </c>
      <c r="H207" s="134">
        <v>0</v>
      </c>
      <c r="I207" s="134">
        <v>0</v>
      </c>
      <c r="J207" s="134">
        <v>0</v>
      </c>
      <c r="K207" s="134">
        <v>0</v>
      </c>
      <c r="L207" s="134">
        <v>0</v>
      </c>
      <c r="M207" s="134">
        <v>0</v>
      </c>
      <c r="N207" s="134">
        <v>0</v>
      </c>
      <c r="O207" s="134">
        <v>0</v>
      </c>
      <c r="P207" s="134">
        <v>0</v>
      </c>
      <c r="Q207" s="134">
        <v>12</v>
      </c>
      <c r="R207" s="134">
        <v>0</v>
      </c>
      <c r="S207" s="134">
        <v>21</v>
      </c>
      <c r="T207" s="134">
        <v>0</v>
      </c>
      <c r="U207" s="134">
        <v>52</v>
      </c>
      <c r="V207" s="134">
        <v>0</v>
      </c>
      <c r="W207" s="134">
        <v>0</v>
      </c>
      <c r="X207" s="134">
        <v>0</v>
      </c>
      <c r="Y207" s="134">
        <v>12</v>
      </c>
      <c r="Z207" s="134">
        <v>0</v>
      </c>
      <c r="AA207" s="134">
        <v>0</v>
      </c>
      <c r="AB207" s="134">
        <v>0</v>
      </c>
      <c r="AC207" s="134">
        <v>0</v>
      </c>
      <c r="AD207" s="134">
        <v>0</v>
      </c>
      <c r="AE207" s="134">
        <v>0</v>
      </c>
      <c r="AF207" s="134">
        <v>0</v>
      </c>
      <c r="AG207" s="134">
        <v>0</v>
      </c>
      <c r="AH207" s="134">
        <v>0</v>
      </c>
      <c r="AI207" s="134">
        <v>0</v>
      </c>
      <c r="AJ207" s="134">
        <v>0</v>
      </c>
      <c r="AK207" s="134">
        <v>0</v>
      </c>
      <c r="AL207" s="134">
        <v>0</v>
      </c>
      <c r="AM207" s="134">
        <v>0</v>
      </c>
      <c r="AN207" s="134">
        <v>0</v>
      </c>
      <c r="AO207" s="134">
        <v>0</v>
      </c>
      <c r="AP207" s="134">
        <v>0</v>
      </c>
    </row>
    <row r="208" spans="1:42" x14ac:dyDescent="0.25">
      <c r="A208" s="134">
        <v>0</v>
      </c>
      <c r="B208" s="134">
        <v>0</v>
      </c>
      <c r="C208" s="134">
        <v>0</v>
      </c>
      <c r="D208" s="134">
        <v>0</v>
      </c>
      <c r="E208" s="134">
        <v>0</v>
      </c>
      <c r="F208" s="134">
        <v>0</v>
      </c>
      <c r="G208" s="134">
        <v>0</v>
      </c>
      <c r="H208" s="134">
        <v>0</v>
      </c>
      <c r="I208" s="134">
        <v>0</v>
      </c>
      <c r="J208" s="134">
        <v>0</v>
      </c>
      <c r="K208" s="134">
        <v>0</v>
      </c>
      <c r="L208" s="134">
        <v>0</v>
      </c>
      <c r="M208" s="134">
        <v>0</v>
      </c>
      <c r="N208" s="134">
        <v>0</v>
      </c>
      <c r="O208" s="134">
        <v>0</v>
      </c>
      <c r="P208" s="134">
        <v>0</v>
      </c>
      <c r="Q208" s="134">
        <v>0</v>
      </c>
      <c r="R208" s="134">
        <v>0</v>
      </c>
      <c r="S208" s="134">
        <v>0</v>
      </c>
      <c r="T208" s="134">
        <v>13</v>
      </c>
      <c r="U208" s="134">
        <v>23</v>
      </c>
      <c r="V208" s="134">
        <v>0</v>
      </c>
      <c r="W208" s="134">
        <v>61</v>
      </c>
      <c r="X208" s="134">
        <v>0</v>
      </c>
      <c r="Y208" s="134">
        <v>0</v>
      </c>
      <c r="Z208" s="134">
        <v>0</v>
      </c>
      <c r="AA208" s="134">
        <v>0</v>
      </c>
      <c r="AB208" s="134">
        <v>0</v>
      </c>
      <c r="AC208" s="134">
        <v>0</v>
      </c>
      <c r="AD208" s="134">
        <v>0</v>
      </c>
      <c r="AE208" s="134">
        <v>0</v>
      </c>
      <c r="AF208" s="134">
        <v>0</v>
      </c>
      <c r="AG208" s="134">
        <v>0</v>
      </c>
      <c r="AH208" s="134">
        <v>0</v>
      </c>
      <c r="AI208" s="134">
        <v>0</v>
      </c>
      <c r="AJ208" s="134">
        <v>0</v>
      </c>
      <c r="AK208" s="134">
        <v>0</v>
      </c>
      <c r="AL208" s="134">
        <v>0</v>
      </c>
      <c r="AM208" s="134">
        <v>0</v>
      </c>
      <c r="AN208" s="134">
        <v>0</v>
      </c>
      <c r="AO208" s="134">
        <v>0</v>
      </c>
      <c r="AP208" s="134">
        <v>0</v>
      </c>
    </row>
    <row r="209" spans="1:42" x14ac:dyDescent="0.25">
      <c r="A209" s="134">
        <v>0</v>
      </c>
      <c r="B209" s="134">
        <v>0</v>
      </c>
      <c r="C209" s="134">
        <v>0</v>
      </c>
      <c r="D209" s="134">
        <v>0</v>
      </c>
      <c r="E209" s="134">
        <v>0</v>
      </c>
      <c r="F209" s="134">
        <v>0</v>
      </c>
      <c r="G209" s="134">
        <v>0</v>
      </c>
      <c r="H209" s="134">
        <v>0</v>
      </c>
      <c r="I209" s="134">
        <v>0</v>
      </c>
      <c r="J209" s="134">
        <v>0</v>
      </c>
      <c r="K209" s="134">
        <v>0</v>
      </c>
      <c r="L209" s="134">
        <v>0</v>
      </c>
      <c r="M209" s="134">
        <v>0</v>
      </c>
      <c r="N209" s="134">
        <v>0</v>
      </c>
      <c r="O209" s="134">
        <v>0</v>
      </c>
      <c r="P209" s="134">
        <v>0</v>
      </c>
      <c r="Q209" s="134">
        <v>0</v>
      </c>
      <c r="R209" s="134">
        <v>0</v>
      </c>
      <c r="S209" s="134">
        <v>0</v>
      </c>
      <c r="T209" s="134">
        <v>0</v>
      </c>
      <c r="U209" s="134">
        <v>0</v>
      </c>
      <c r="V209" s="134">
        <v>0</v>
      </c>
      <c r="W209" s="134">
        <v>0</v>
      </c>
      <c r="X209" s="134">
        <v>0</v>
      </c>
      <c r="Y209" s="134">
        <v>0</v>
      </c>
      <c r="Z209" s="134">
        <v>0</v>
      </c>
      <c r="AA209" s="134">
        <v>0</v>
      </c>
      <c r="AB209" s="134">
        <v>0</v>
      </c>
      <c r="AC209" s="134">
        <v>0</v>
      </c>
      <c r="AD209" s="134">
        <v>0</v>
      </c>
      <c r="AE209" s="134">
        <v>0</v>
      </c>
      <c r="AF209" s="134">
        <v>0</v>
      </c>
      <c r="AG209" s="134">
        <v>0</v>
      </c>
      <c r="AH209" s="134">
        <v>0</v>
      </c>
      <c r="AI209" s="134">
        <v>0</v>
      </c>
      <c r="AJ209" s="134">
        <v>0</v>
      </c>
      <c r="AK209" s="134">
        <v>0</v>
      </c>
      <c r="AL209" s="134">
        <v>0</v>
      </c>
      <c r="AM209" s="134">
        <v>0</v>
      </c>
      <c r="AN209" s="134">
        <v>0</v>
      </c>
      <c r="AO209" s="134">
        <v>0</v>
      </c>
      <c r="AP209" s="134">
        <v>0</v>
      </c>
    </row>
  </sheetData>
  <conditionalFormatting sqref="A11:AP20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32:AP41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53:AP62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74:AP8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95:AP10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16:AP125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37:AP14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58:AP16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79:AP18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00:AP20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>
    <tabColor rgb="FF00B0F0"/>
  </sheetPr>
  <dimension ref="A1:M13"/>
  <sheetViews>
    <sheetView workbookViewId="0">
      <selection activeCell="M10" sqref="M10"/>
    </sheetView>
  </sheetViews>
  <sheetFormatPr defaultRowHeight="15" x14ac:dyDescent="0.25"/>
  <cols>
    <col min="1" max="1" width="17.85546875" bestFit="1" customWidth="1"/>
    <col min="2" max="9" width="11" bestFit="1" customWidth="1"/>
    <col min="10" max="10" width="27.28515625" bestFit="1" customWidth="1"/>
    <col min="11" max="12" width="12" bestFit="1" customWidth="1"/>
    <col min="13" max="13" width="27.28515625" bestFit="1" customWidth="1"/>
    <col min="14" max="14" width="4" bestFit="1" customWidth="1"/>
  </cols>
  <sheetData>
    <row r="1" spans="1:13" ht="18.75" x14ac:dyDescent="0.3">
      <c r="A1" s="111" t="s">
        <v>145</v>
      </c>
      <c r="B1" s="112"/>
      <c r="C1" s="112"/>
      <c r="D1" s="112"/>
      <c r="E1" s="112"/>
    </row>
    <row r="5" spans="1:13" x14ac:dyDescent="0.25">
      <c r="A5" t="s">
        <v>5</v>
      </c>
      <c r="B5" t="s">
        <v>6</v>
      </c>
      <c r="C5" t="s">
        <v>7</v>
      </c>
      <c r="D5" t="s">
        <v>8</v>
      </c>
      <c r="E5" t="s">
        <v>9</v>
      </c>
      <c r="F5" t="s">
        <v>10</v>
      </c>
      <c r="G5" t="s">
        <v>11</v>
      </c>
      <c r="H5" t="s">
        <v>12</v>
      </c>
      <c r="I5" t="s">
        <v>13</v>
      </c>
      <c r="J5" t="s">
        <v>14</v>
      </c>
      <c r="K5" t="s">
        <v>15</v>
      </c>
      <c r="L5" t="s">
        <v>422</v>
      </c>
      <c r="M5" t="s">
        <v>526</v>
      </c>
    </row>
    <row r="6" spans="1:13" x14ac:dyDescent="0.25">
      <c r="A6" t="s">
        <v>16</v>
      </c>
      <c r="B6">
        <v>1</v>
      </c>
      <c r="C6">
        <v>2</v>
      </c>
      <c r="D6">
        <v>3</v>
      </c>
      <c r="E6">
        <v>4</v>
      </c>
      <c r="F6">
        <v>5</v>
      </c>
      <c r="G6">
        <v>6</v>
      </c>
      <c r="H6">
        <v>7</v>
      </c>
      <c r="I6">
        <v>8</v>
      </c>
      <c r="J6">
        <v>9</v>
      </c>
      <c r="K6">
        <v>10</v>
      </c>
      <c r="L6">
        <v>11</v>
      </c>
      <c r="M6">
        <v>12</v>
      </c>
    </row>
    <row r="7" spans="1:13" x14ac:dyDescent="0.25">
      <c r="A7" t="s">
        <v>102</v>
      </c>
      <c r="B7">
        <v>8</v>
      </c>
      <c r="C7">
        <v>10</v>
      </c>
      <c r="D7">
        <v>10</v>
      </c>
      <c r="E7">
        <v>10</v>
      </c>
      <c r="F7">
        <v>15</v>
      </c>
      <c r="G7">
        <v>15</v>
      </c>
      <c r="H7">
        <v>15</v>
      </c>
      <c r="I7">
        <v>20</v>
      </c>
      <c r="J7">
        <v>20</v>
      </c>
      <c r="K7">
        <v>20</v>
      </c>
      <c r="L7">
        <v>20</v>
      </c>
      <c r="M7">
        <v>20</v>
      </c>
    </row>
    <row r="8" spans="1:13" x14ac:dyDescent="0.25">
      <c r="A8" t="s">
        <v>18</v>
      </c>
      <c r="B8">
        <v>0</v>
      </c>
      <c r="C8">
        <v>2000</v>
      </c>
      <c r="D8">
        <v>11000</v>
      </c>
      <c r="E8">
        <v>35000</v>
      </c>
      <c r="F8">
        <v>88000</v>
      </c>
      <c r="G8">
        <v>260000</v>
      </c>
      <c r="H8">
        <v>500000</v>
      </c>
      <c r="I8">
        <v>870000</v>
      </c>
      <c r="J8">
        <v>1400000</v>
      </c>
      <c r="K8">
        <v>2200000</v>
      </c>
      <c r="L8">
        <v>3300000</v>
      </c>
      <c r="M8">
        <v>4800000</v>
      </c>
    </row>
    <row r="9" spans="1:13" x14ac:dyDescent="0.25">
      <c r="A9" t="s">
        <v>476</v>
      </c>
      <c r="B9">
        <f>ROUND(B8,2-LEN(B8))</f>
        <v>0</v>
      </c>
      <c r="C9">
        <f t="shared" ref="C9:L9" si="0">ROUND(C8,2-LEN(C8))</f>
        <v>2000</v>
      </c>
      <c r="D9">
        <f t="shared" si="0"/>
        <v>11000</v>
      </c>
      <c r="E9">
        <f t="shared" si="0"/>
        <v>35000</v>
      </c>
      <c r="F9">
        <f>ROUND(F8,2-LEN(F8))</f>
        <v>88000</v>
      </c>
      <c r="G9">
        <f t="shared" si="0"/>
        <v>260000</v>
      </c>
      <c r="H9">
        <f t="shared" si="0"/>
        <v>500000</v>
      </c>
      <c r="I9">
        <f t="shared" si="0"/>
        <v>870000</v>
      </c>
      <c r="J9">
        <f t="shared" si="0"/>
        <v>1400000</v>
      </c>
      <c r="K9">
        <f t="shared" si="0"/>
        <v>2200000</v>
      </c>
      <c r="L9">
        <f t="shared" si="0"/>
        <v>3300000</v>
      </c>
      <c r="M9">
        <f t="shared" ref="M9" si="1">ROUND(M8,2-LEN(M8))</f>
        <v>4800000</v>
      </c>
    </row>
    <row r="10" spans="1:13" x14ac:dyDescent="0.25">
      <c r="A10" t="s">
        <v>139</v>
      </c>
      <c r="B10">
        <v>0</v>
      </c>
      <c r="C10">
        <v>60</v>
      </c>
      <c r="D10">
        <v>100</v>
      </c>
      <c r="E10">
        <v>150</v>
      </c>
      <c r="F10">
        <v>200</v>
      </c>
      <c r="G10">
        <v>400</v>
      </c>
      <c r="H10">
        <v>550</v>
      </c>
      <c r="I10">
        <v>800</v>
      </c>
      <c r="J10">
        <v>800</v>
      </c>
      <c r="K10">
        <v>800</v>
      </c>
      <c r="L10">
        <v>1100</v>
      </c>
      <c r="M10">
        <v>1100</v>
      </c>
    </row>
    <row r="11" spans="1:13" x14ac:dyDescent="0.25">
      <c r="A11" t="s">
        <v>143</v>
      </c>
      <c r="B11">
        <f>B10/'Hard currency'!$B$36</f>
        <v>0</v>
      </c>
      <c r="C11">
        <f>C10/'Hard currency'!$B$36</f>
        <v>6</v>
      </c>
      <c r="D11">
        <f>D10/'Hard currency'!$B$36</f>
        <v>10</v>
      </c>
      <c r="E11">
        <f>E10/'Hard currency'!$B$36</f>
        <v>15</v>
      </c>
      <c r="F11">
        <f>F10/'Hard currency'!$B$36</f>
        <v>20</v>
      </c>
      <c r="G11">
        <f>G10/'Hard currency'!$B$36</f>
        <v>40</v>
      </c>
      <c r="H11">
        <f>H10/'Hard currency'!$B$36</f>
        <v>55</v>
      </c>
      <c r="I11">
        <f>I10/'Hard currency'!$B$36</f>
        <v>80</v>
      </c>
      <c r="J11">
        <f>J10/'Hard currency'!$B$36</f>
        <v>80</v>
      </c>
      <c r="K11">
        <f>K10/'Hard currency'!$B$36</f>
        <v>80</v>
      </c>
      <c r="L11">
        <f>L10/'Hard currency'!$B$36</f>
        <v>110</v>
      </c>
      <c r="M11">
        <f>M10/'Hard currency'!$B$36</f>
        <v>110</v>
      </c>
    </row>
    <row r="12" spans="1:13" x14ac:dyDescent="0.25">
      <c r="A12" t="s">
        <v>144</v>
      </c>
      <c r="B12">
        <f>B10/'Hard currency'!$B$37</f>
        <v>0</v>
      </c>
      <c r="C12" s="210">
        <f>C10/'Hard currency'!$B$37</f>
        <v>3.9994999999999994</v>
      </c>
      <c r="D12" s="210">
        <f>D10/'Hard currency'!$B$37</f>
        <v>6.6658333333333326</v>
      </c>
      <c r="E12" s="210">
        <f>E10/'Hard currency'!$B$37</f>
        <v>9.9987499999999994</v>
      </c>
      <c r="F12" s="210">
        <f>F10/'Hard currency'!$B$37</f>
        <v>13.331666666666665</v>
      </c>
      <c r="G12" s="210">
        <f>G10/'Hard currency'!$B$37</f>
        <v>26.66333333333333</v>
      </c>
      <c r="H12" s="210">
        <f>H10/'Hard currency'!$B$37</f>
        <v>36.662083333333328</v>
      </c>
      <c r="I12" s="210">
        <f>I10/'Hard currency'!$B$37</f>
        <v>53.326666666666661</v>
      </c>
      <c r="J12" s="210">
        <f>J10/'Hard currency'!$B$37</f>
        <v>53.326666666666661</v>
      </c>
      <c r="K12" s="210">
        <f>K10/'Hard currency'!$B$37</f>
        <v>53.326666666666661</v>
      </c>
      <c r="L12" s="210">
        <f>L10/'Hard currency'!$B$37</f>
        <v>73.324166666666656</v>
      </c>
      <c r="M12" s="210">
        <f>M10/'Hard currency'!$B$37</f>
        <v>73.324166666666656</v>
      </c>
    </row>
    <row r="13" spans="1:13" x14ac:dyDescent="0.25">
      <c r="A13" t="s">
        <v>204</v>
      </c>
      <c r="B13">
        <v>0</v>
      </c>
      <c r="C13">
        <v>1</v>
      </c>
      <c r="D13">
        <v>1</v>
      </c>
      <c r="E13">
        <v>2</v>
      </c>
      <c r="F13">
        <v>2</v>
      </c>
      <c r="G13">
        <v>2</v>
      </c>
      <c r="H13">
        <v>3</v>
      </c>
      <c r="I13">
        <v>3</v>
      </c>
      <c r="J13">
        <v>3</v>
      </c>
      <c r="K13">
        <v>4</v>
      </c>
      <c r="L13">
        <v>4</v>
      </c>
      <c r="M13">
        <v>4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>
    <tabColor rgb="FF92D050"/>
  </sheetPr>
  <dimension ref="A1:Y84"/>
  <sheetViews>
    <sheetView topLeftCell="A22" workbookViewId="0">
      <selection activeCell="G25" sqref="G25"/>
    </sheetView>
  </sheetViews>
  <sheetFormatPr defaultRowHeight="15" x14ac:dyDescent="0.25"/>
  <cols>
    <col min="1" max="1" width="48.5703125" bestFit="1" customWidth="1"/>
    <col min="2" max="2" width="23.140625" bestFit="1" customWidth="1"/>
    <col min="3" max="3" width="29.7109375" bestFit="1" customWidth="1"/>
    <col min="4" max="5" width="14.5703125" bestFit="1" customWidth="1"/>
    <col min="6" max="7" width="10" bestFit="1" customWidth="1"/>
    <col min="8" max="8" width="21.85546875" bestFit="1" customWidth="1"/>
    <col min="9" max="11" width="10" bestFit="1" customWidth="1"/>
    <col min="12" max="12" width="11" bestFit="1" customWidth="1"/>
    <col min="13" max="13" width="12" bestFit="1" customWidth="1"/>
    <col min="14" max="14" width="11" bestFit="1" customWidth="1"/>
    <col min="15" max="15" width="15.85546875" bestFit="1" customWidth="1"/>
    <col min="16" max="20" width="11" bestFit="1" customWidth="1"/>
    <col min="21" max="22" width="10" bestFit="1" customWidth="1"/>
    <col min="23" max="23" width="12" bestFit="1" customWidth="1"/>
    <col min="24" max="24" width="10" bestFit="1" customWidth="1"/>
    <col min="25" max="25" width="18.140625" bestFit="1" customWidth="1"/>
    <col min="26" max="130" width="6" bestFit="1" customWidth="1"/>
    <col min="131" max="144" width="7" bestFit="1" customWidth="1"/>
  </cols>
  <sheetData>
    <row r="1" spans="1:15" ht="21" x14ac:dyDescent="0.35">
      <c r="A1" s="179" t="s">
        <v>162</v>
      </c>
      <c r="B1" s="110"/>
      <c r="C1" s="110"/>
      <c r="D1" s="110"/>
      <c r="E1" s="110"/>
      <c r="F1" s="110"/>
    </row>
    <row r="2" spans="1:15" x14ac:dyDescent="0.25">
      <c r="A2" s="2"/>
      <c r="B2" s="2"/>
      <c r="C2" s="2"/>
      <c r="D2" s="2"/>
      <c r="E2" s="2"/>
      <c r="F2" s="2"/>
      <c r="H2" s="178" t="s">
        <v>455</v>
      </c>
      <c r="I2" s="99"/>
      <c r="J2" s="99"/>
      <c r="L2" s="142" t="s">
        <v>367</v>
      </c>
      <c r="M2" s="142" t="s">
        <v>368</v>
      </c>
      <c r="O2" s="178" t="s">
        <v>460</v>
      </c>
    </row>
    <row r="3" spans="1:15" x14ac:dyDescent="0.25">
      <c r="A3" s="2"/>
      <c r="B3" s="2"/>
      <c r="C3" s="2"/>
      <c r="D3" s="2"/>
      <c r="E3" s="2"/>
      <c r="F3" s="2"/>
      <c r="H3" s="98" t="s">
        <v>19</v>
      </c>
      <c r="I3" s="247">
        <v>1</v>
      </c>
      <c r="J3" s="247">
        <v>10</v>
      </c>
      <c r="L3" s="100">
        <f t="array" ref="L3:M3">LINEST(I4:J4,I3:J3,TRUE,FALSE)</f>
        <v>86.111111111111114</v>
      </c>
      <c r="M3" s="100">
        <v>1513.8888888888889</v>
      </c>
      <c r="O3" s="248">
        <v>0.6</v>
      </c>
    </row>
    <row r="4" spans="1:15" x14ac:dyDescent="0.25">
      <c r="A4" s="2"/>
      <c r="B4" s="2"/>
      <c r="C4" s="2"/>
      <c r="D4" s="2"/>
      <c r="E4" s="2"/>
      <c r="F4" s="2"/>
      <c r="H4" s="98" t="s">
        <v>20</v>
      </c>
      <c r="I4" s="247">
        <v>1600</v>
      </c>
      <c r="J4" s="247">
        <v>2375</v>
      </c>
    </row>
    <row r="5" spans="1:15" x14ac:dyDescent="0.25">
      <c r="A5" s="2"/>
      <c r="B5" s="2"/>
      <c r="C5" s="2"/>
      <c r="D5" s="2"/>
      <c r="E5" s="2"/>
      <c r="F5" s="2"/>
    </row>
    <row r="6" spans="1:15" x14ac:dyDescent="0.25">
      <c r="A6" s="2"/>
      <c r="C6" s="2"/>
      <c r="D6" s="2"/>
      <c r="E6" s="2"/>
      <c r="F6" s="2"/>
    </row>
    <row r="7" spans="1:15" x14ac:dyDescent="0.25">
      <c r="A7" s="2"/>
      <c r="B7" s="2"/>
      <c r="C7" s="2"/>
      <c r="D7" s="2"/>
      <c r="E7" s="2"/>
      <c r="F7" s="2"/>
    </row>
    <row r="9" spans="1:15" x14ac:dyDescent="0.25">
      <c r="A9" s="12" t="s">
        <v>191</v>
      </c>
    </row>
    <row r="10" spans="1:15" x14ac:dyDescent="0.25">
      <c r="A10" s="12" t="s">
        <v>98</v>
      </c>
      <c r="B10" s="12" t="s">
        <v>102</v>
      </c>
      <c r="C10" s="106" t="s">
        <v>454</v>
      </c>
      <c r="D10" s="106" t="s">
        <v>459</v>
      </c>
      <c r="E10" s="106" t="s">
        <v>458</v>
      </c>
    </row>
    <row r="11" spans="1:15" x14ac:dyDescent="0.25">
      <c r="A11" s="33">
        <v>1</v>
      </c>
      <c r="B11" s="101">
        <v>8</v>
      </c>
      <c r="C11" s="143">
        <f>A11*$L$3+$M$3</f>
        <v>1600</v>
      </c>
      <c r="D11" s="249">
        <v>1100</v>
      </c>
      <c r="E11" s="143">
        <f>IF(ISNUMBER(D11),D11*'Run - Duration'!C7,C11*'Run - Duration'!C7)</f>
        <v>3300.0000000000005</v>
      </c>
    </row>
    <row r="12" spans="1:15" x14ac:dyDescent="0.25">
      <c r="A12" s="32">
        <v>2</v>
      </c>
      <c r="B12" s="102">
        <v>10</v>
      </c>
      <c r="C12" s="143">
        <f t="shared" ref="C12:C19" si="0">A12*$L$3+$M$3</f>
        <v>1686.1111111111111</v>
      </c>
      <c r="D12" s="249">
        <v>2200</v>
      </c>
      <c r="E12" s="143">
        <f>IF(ISNUMBER(D12),D12*'Run - Duration'!C8,C12*'Run - Duration'!C8)</f>
        <v>7800.0000000000009</v>
      </c>
    </row>
    <row r="13" spans="1:15" x14ac:dyDescent="0.25">
      <c r="A13" s="32">
        <v>3</v>
      </c>
      <c r="B13" s="102">
        <v>10</v>
      </c>
      <c r="C13" s="143">
        <f t="shared" si="0"/>
        <v>1772.2222222222222</v>
      </c>
      <c r="D13" s="249">
        <v>2700</v>
      </c>
      <c r="E13" s="143">
        <f>IF(ISNUMBER(D13),D13*'Run - Duration'!C9,C13*'Run - Duration'!C9)</f>
        <v>11045.454545454548</v>
      </c>
    </row>
    <row r="14" spans="1:15" x14ac:dyDescent="0.25">
      <c r="A14" s="40">
        <v>4</v>
      </c>
      <c r="B14" s="103">
        <v>10</v>
      </c>
      <c r="C14" s="143">
        <f t="shared" si="0"/>
        <v>1858.3333333333335</v>
      </c>
      <c r="D14" s="249">
        <v>3200</v>
      </c>
      <c r="E14" s="143">
        <f>IF(ISNUMBER(D14),D14*'Run - Duration'!C10,C14*'Run - Duration'!C10)</f>
        <v>14836.363636363638</v>
      </c>
    </row>
    <row r="15" spans="1:15" x14ac:dyDescent="0.25">
      <c r="A15" s="40">
        <v>5</v>
      </c>
      <c r="B15" s="103">
        <v>15</v>
      </c>
      <c r="C15" s="143">
        <f t="shared" si="0"/>
        <v>1944.4444444444443</v>
      </c>
      <c r="D15" s="249">
        <v>4000</v>
      </c>
      <c r="E15" s="143">
        <f>IF(ISNUMBER(D15),D15*'Run - Duration'!C11,C15*'Run - Duration'!C11)</f>
        <v>20727.272727272728</v>
      </c>
    </row>
    <row r="16" spans="1:15" x14ac:dyDescent="0.25">
      <c r="A16" s="40">
        <v>6</v>
      </c>
      <c r="B16" s="103">
        <v>15</v>
      </c>
      <c r="C16" s="143">
        <f t="shared" si="0"/>
        <v>2030.5555555555557</v>
      </c>
      <c r="D16" s="249">
        <v>5200</v>
      </c>
      <c r="E16" s="143">
        <f>IF(ISNUMBER(D16),D16*'Run - Duration'!C12,C16*'Run - Duration'!C12)</f>
        <v>29781.818181818184</v>
      </c>
    </row>
    <row r="17" spans="1:25" x14ac:dyDescent="0.25">
      <c r="A17" s="38">
        <v>7</v>
      </c>
      <c r="B17" s="104">
        <v>15</v>
      </c>
      <c r="C17" s="143">
        <f t="shared" si="0"/>
        <v>2116.666666666667</v>
      </c>
      <c r="D17" s="249">
        <v>6000</v>
      </c>
      <c r="E17" s="143">
        <f>IF(ISNUMBER(D17),D17*'Run - Duration'!C13,C17*'Run - Duration'!C13)</f>
        <v>37636.36363636364</v>
      </c>
    </row>
    <row r="18" spans="1:25" x14ac:dyDescent="0.25">
      <c r="A18" s="38">
        <v>8</v>
      </c>
      <c r="B18" s="104">
        <v>20</v>
      </c>
      <c r="C18" s="143">
        <f t="shared" si="0"/>
        <v>2202.7777777777778</v>
      </c>
      <c r="D18" s="249">
        <v>8000</v>
      </c>
      <c r="E18" s="143">
        <f>IF(ISNUMBER(D18),D18*'Run - Duration'!C14,C18*'Run - Duration'!C14)</f>
        <v>54545.454545454544</v>
      </c>
    </row>
    <row r="19" spans="1:25" x14ac:dyDescent="0.25">
      <c r="A19" s="38">
        <v>9</v>
      </c>
      <c r="B19" s="104">
        <v>20</v>
      </c>
      <c r="C19" s="143">
        <f t="shared" si="0"/>
        <v>2288.8888888888887</v>
      </c>
      <c r="D19" s="249">
        <v>8000</v>
      </c>
      <c r="E19" s="143">
        <f>IF(ISNUMBER(D19),D19*'Run - Duration'!C15,C19*'Run - Duration'!C15)</f>
        <v>58909.090909090904</v>
      </c>
    </row>
    <row r="20" spans="1:25" x14ac:dyDescent="0.25">
      <c r="A20" s="42">
        <v>10</v>
      </c>
      <c r="B20" s="105">
        <v>20</v>
      </c>
      <c r="C20" s="143">
        <f>A20*$L$3+$M$3</f>
        <v>2375</v>
      </c>
      <c r="D20" s="249">
        <v>10000</v>
      </c>
      <c r="E20" s="143">
        <f>IF(ISNUMBER(D20),D20*'Run - Duration'!C16,C20*'Run - Duration'!C16)</f>
        <v>79090.909090909088</v>
      </c>
    </row>
    <row r="21" spans="1:25" x14ac:dyDescent="0.25">
      <c r="A21" s="42">
        <v>11</v>
      </c>
      <c r="B21" s="105">
        <v>20</v>
      </c>
      <c r="C21" s="143">
        <f t="shared" ref="C21:C22" si="1">A21*$L$3+$M$3</f>
        <v>2461.1111111111113</v>
      </c>
      <c r="D21" s="249">
        <v>10000</v>
      </c>
      <c r="E21" s="143">
        <f>IF(ISNUMBER(D21),D21*'Run - Duration'!C17,C21*'Run - Duration'!C17)</f>
        <v>84545.454545454544</v>
      </c>
    </row>
    <row r="22" spans="1:25" x14ac:dyDescent="0.25">
      <c r="A22" s="42">
        <v>12</v>
      </c>
      <c r="B22" s="105">
        <v>20</v>
      </c>
      <c r="C22" s="143">
        <f t="shared" si="1"/>
        <v>2547.2222222222226</v>
      </c>
      <c r="D22" s="249">
        <v>10000</v>
      </c>
      <c r="E22" s="143">
        <f>IF(ISNUMBER(D22),D22*'Run - Duration'!C18,C22*'Run - Duration'!C18)</f>
        <v>90000</v>
      </c>
    </row>
    <row r="24" spans="1:25" ht="18.75" x14ac:dyDescent="0.25">
      <c r="A24" s="180" t="s">
        <v>559</v>
      </c>
      <c r="B24" s="181"/>
      <c r="C24" s="181"/>
    </row>
    <row r="25" spans="1:25" x14ac:dyDescent="0.25">
      <c r="A25" s="1"/>
      <c r="B25" s="1"/>
      <c r="C25" s="166" t="s">
        <v>364</v>
      </c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x14ac:dyDescent="0.25">
      <c r="A26" s="1"/>
      <c r="B26" s="1"/>
      <c r="C26" s="176">
        <v>4000</v>
      </c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x14ac:dyDescent="0.25">
      <c r="A27" s="1"/>
      <c r="B27" s="1"/>
      <c r="C27" s="196">
        <v>1.2</v>
      </c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x14ac:dyDescent="0.25">
      <c r="A28" s="166" t="s">
        <v>359</v>
      </c>
      <c r="B28" s="166" t="s">
        <v>360</v>
      </c>
      <c r="C28" s="166" t="s">
        <v>361</v>
      </c>
      <c r="D28" s="166" t="s">
        <v>362</v>
      </c>
      <c r="E28" s="166" t="s">
        <v>363</v>
      </c>
      <c r="F28" s="166">
        <v>1</v>
      </c>
      <c r="G28" s="166">
        <v>2</v>
      </c>
      <c r="H28" s="166">
        <v>3</v>
      </c>
      <c r="I28" s="166">
        <v>4</v>
      </c>
      <c r="J28" s="166">
        <v>5</v>
      </c>
      <c r="K28" s="166">
        <v>6</v>
      </c>
      <c r="L28" s="166">
        <v>7</v>
      </c>
      <c r="M28" s="166">
        <v>8</v>
      </c>
      <c r="N28" s="166">
        <v>9</v>
      </c>
      <c r="O28" s="166">
        <v>10</v>
      </c>
      <c r="P28" s="166">
        <v>11</v>
      </c>
      <c r="Q28" s="166">
        <v>12</v>
      </c>
      <c r="R28" s="166">
        <v>13</v>
      </c>
      <c r="S28" s="166">
        <v>14</v>
      </c>
      <c r="T28" s="166">
        <v>15</v>
      </c>
      <c r="U28" s="166">
        <v>16</v>
      </c>
      <c r="V28" s="166">
        <v>17</v>
      </c>
      <c r="W28" s="166">
        <v>18</v>
      </c>
      <c r="X28" s="166">
        <v>19</v>
      </c>
      <c r="Y28" s="166">
        <v>20</v>
      </c>
    </row>
    <row r="29" spans="1:25" x14ac:dyDescent="0.25">
      <c r="A29" s="47">
        <v>1</v>
      </c>
      <c r="B29" s="47">
        <v>0</v>
      </c>
      <c r="C29" s="47">
        <f>ROUND(IF(B29=0,0,$C$26*POWER(A29,$C$27)),0)</f>
        <v>0</v>
      </c>
      <c r="D29" s="47"/>
      <c r="E29" s="47"/>
      <c r="F29" s="1" t="b">
        <f>F$28&lt;=MAX($B29:$B30)</f>
        <v>1</v>
      </c>
      <c r="G29" s="1" t="b">
        <f t="shared" ref="G29:Y29" si="2">G$28&lt;=MAX($B29:$B30)</f>
        <v>1</v>
      </c>
      <c r="H29" s="1" t="b">
        <f t="shared" si="2"/>
        <v>1</v>
      </c>
      <c r="I29" s="1" t="b">
        <f t="shared" si="2"/>
        <v>1</v>
      </c>
      <c r="J29" s="1" t="b">
        <f t="shared" si="2"/>
        <v>1</v>
      </c>
      <c r="K29" s="1" t="b">
        <f t="shared" si="2"/>
        <v>1</v>
      </c>
      <c r="L29" s="1" t="b">
        <f t="shared" si="2"/>
        <v>1</v>
      </c>
      <c r="M29" s="1" t="b">
        <f t="shared" si="2"/>
        <v>0</v>
      </c>
      <c r="N29" s="1" t="b">
        <f t="shared" si="2"/>
        <v>0</v>
      </c>
      <c r="O29" s="1" t="b">
        <f t="shared" si="2"/>
        <v>0</v>
      </c>
      <c r="P29" s="1" t="b">
        <f t="shared" si="2"/>
        <v>0</v>
      </c>
      <c r="Q29" s="1" t="b">
        <f t="shared" si="2"/>
        <v>0</v>
      </c>
      <c r="R29" s="1" t="b">
        <f t="shared" si="2"/>
        <v>0</v>
      </c>
      <c r="S29" s="1" t="b">
        <f t="shared" si="2"/>
        <v>0</v>
      </c>
      <c r="T29" s="1" t="b">
        <f t="shared" si="2"/>
        <v>0</v>
      </c>
      <c r="U29" s="1" t="b">
        <f t="shared" si="2"/>
        <v>0</v>
      </c>
      <c r="V29" s="1" t="b">
        <f t="shared" si="2"/>
        <v>0</v>
      </c>
      <c r="W29" s="1" t="b">
        <f t="shared" si="2"/>
        <v>0</v>
      </c>
      <c r="X29" s="1" t="b">
        <f t="shared" si="2"/>
        <v>0</v>
      </c>
      <c r="Y29" s="1" t="b">
        <f t="shared" si="2"/>
        <v>0</v>
      </c>
    </row>
    <row r="30" spans="1:25" x14ac:dyDescent="0.25">
      <c r="A30" s="167">
        <v>1</v>
      </c>
      <c r="B30" s="167">
        <v>7</v>
      </c>
      <c r="C30" s="167">
        <f>ROUND(IF(B30=0,0,$C$26*POWER(A30,$C$27)),0)</f>
        <v>4000</v>
      </c>
      <c r="D30" s="167">
        <f t="array" ref="D30:E30">LINEST(C29:C30,B29:B30,FALSE,FALSE)</f>
        <v>571.42857142857144</v>
      </c>
      <c r="E30" s="167">
        <v>0</v>
      </c>
      <c r="F30" s="85">
        <f>IF(F29,$D$30*F28+$E$30,"")</f>
        <v>571.42857142857144</v>
      </c>
      <c r="G30" s="85">
        <f t="shared" ref="G30:Y30" si="3">IF(G29,$D$30*G28+$E$30,"")</f>
        <v>1142.8571428571429</v>
      </c>
      <c r="H30" s="85">
        <f t="shared" si="3"/>
        <v>1714.2857142857142</v>
      </c>
      <c r="I30" s="85">
        <f t="shared" si="3"/>
        <v>2285.7142857142858</v>
      </c>
      <c r="J30" s="85">
        <f t="shared" si="3"/>
        <v>2857.1428571428573</v>
      </c>
      <c r="K30" s="85">
        <f t="shared" si="3"/>
        <v>3428.5714285714284</v>
      </c>
      <c r="L30" s="85">
        <f>IF(L29,$D$30*L28+$E$30,"")</f>
        <v>4000</v>
      </c>
      <c r="M30" s="85" t="str">
        <f t="shared" si="3"/>
        <v/>
      </c>
      <c r="N30" s="85" t="str">
        <f t="shared" si="3"/>
        <v/>
      </c>
      <c r="O30" s="85" t="str">
        <f t="shared" si="3"/>
        <v/>
      </c>
      <c r="P30" s="85" t="str">
        <f t="shared" si="3"/>
        <v/>
      </c>
      <c r="Q30" s="85" t="str">
        <f t="shared" si="3"/>
        <v/>
      </c>
      <c r="R30" s="85" t="str">
        <f t="shared" si="3"/>
        <v/>
      </c>
      <c r="S30" s="85" t="str">
        <f t="shared" si="3"/>
        <v/>
      </c>
      <c r="T30" s="85" t="str">
        <f t="shared" si="3"/>
        <v/>
      </c>
      <c r="U30" s="85" t="str">
        <f t="shared" si="3"/>
        <v/>
      </c>
      <c r="V30" s="85" t="str">
        <f t="shared" si="3"/>
        <v/>
      </c>
      <c r="W30" s="85" t="str">
        <f t="shared" si="3"/>
        <v/>
      </c>
      <c r="X30" s="85" t="str">
        <f t="shared" si="3"/>
        <v/>
      </c>
      <c r="Y30" s="85" t="str">
        <f t="shared" si="3"/>
        <v/>
      </c>
    </row>
    <row r="31" spans="1:25" x14ac:dyDescent="0.25">
      <c r="A31" s="168">
        <v>2</v>
      </c>
      <c r="B31" s="168">
        <v>0</v>
      </c>
      <c r="C31" s="168">
        <f t="shared" ref="C31:C51" si="4">ROUND(IF(B31=0,0,$C$26*POWER(A31,$C$27)),0)</f>
        <v>0</v>
      </c>
      <c r="D31" s="168"/>
      <c r="E31" s="168"/>
      <c r="F31" s="1" t="b">
        <f>F$28&lt;=MAX($B31:$B32)</f>
        <v>1</v>
      </c>
      <c r="G31" s="1" t="b">
        <f t="shared" ref="G31:Y31" si="5">G$28&lt;=MAX($B31:$B32)</f>
        <v>1</v>
      </c>
      <c r="H31" s="1" t="b">
        <f t="shared" si="5"/>
        <v>1</v>
      </c>
      <c r="I31" s="1" t="b">
        <f t="shared" si="5"/>
        <v>1</v>
      </c>
      <c r="J31" s="1" t="b">
        <f t="shared" si="5"/>
        <v>1</v>
      </c>
      <c r="K31" s="1" t="b">
        <f t="shared" si="5"/>
        <v>1</v>
      </c>
      <c r="L31" s="1" t="b">
        <f t="shared" si="5"/>
        <v>1</v>
      </c>
      <c r="M31" s="1" t="b">
        <f t="shared" si="5"/>
        <v>1</v>
      </c>
      <c r="N31" s="1" t="b">
        <f t="shared" si="5"/>
        <v>1</v>
      </c>
      <c r="O31" s="1" t="b">
        <f t="shared" si="5"/>
        <v>0</v>
      </c>
      <c r="P31" s="1" t="b">
        <f t="shared" si="5"/>
        <v>0</v>
      </c>
      <c r="Q31" s="1" t="b">
        <f t="shared" si="5"/>
        <v>0</v>
      </c>
      <c r="R31" s="1" t="b">
        <f t="shared" si="5"/>
        <v>0</v>
      </c>
      <c r="S31" s="1" t="b">
        <f t="shared" si="5"/>
        <v>0</v>
      </c>
      <c r="T31" s="1" t="b">
        <f t="shared" si="5"/>
        <v>0</v>
      </c>
      <c r="U31" s="1" t="b">
        <f t="shared" si="5"/>
        <v>0</v>
      </c>
      <c r="V31" s="1" t="b">
        <f t="shared" si="5"/>
        <v>0</v>
      </c>
      <c r="W31" s="1" t="b">
        <f t="shared" si="5"/>
        <v>0</v>
      </c>
      <c r="X31" s="1" t="b">
        <f t="shared" si="5"/>
        <v>0</v>
      </c>
      <c r="Y31" s="1" t="b">
        <f t="shared" si="5"/>
        <v>0</v>
      </c>
    </row>
    <row r="32" spans="1:25" x14ac:dyDescent="0.25">
      <c r="A32" s="169">
        <v>2</v>
      </c>
      <c r="B32" s="169">
        <v>9</v>
      </c>
      <c r="C32" s="169">
        <f t="shared" si="4"/>
        <v>9190</v>
      </c>
      <c r="D32" s="169">
        <f t="array" ref="D32:E32">LINEST(C31:C32,B31:B32,FALSE,FALSE)</f>
        <v>1021.1111111111111</v>
      </c>
      <c r="E32" s="169">
        <v>0</v>
      </c>
      <c r="F32" s="85">
        <f>IF(F31,$D$32*F28+$E$32,"")</f>
        <v>1021.1111111111111</v>
      </c>
      <c r="G32" s="85">
        <f t="shared" ref="G32:Y32" si="6">IF(G31,$D$32*G28+$E$32,"")</f>
        <v>2042.2222222222222</v>
      </c>
      <c r="H32" s="85">
        <f t="shared" si="6"/>
        <v>3063.333333333333</v>
      </c>
      <c r="I32" s="85">
        <f t="shared" si="6"/>
        <v>4084.4444444444443</v>
      </c>
      <c r="J32" s="85">
        <f t="shared" si="6"/>
        <v>5105.5555555555557</v>
      </c>
      <c r="K32" s="85">
        <f t="shared" si="6"/>
        <v>6126.6666666666661</v>
      </c>
      <c r="L32" s="85">
        <f t="shared" si="6"/>
        <v>7147.7777777777774</v>
      </c>
      <c r="M32" s="85">
        <f t="shared" si="6"/>
        <v>8168.8888888888887</v>
      </c>
      <c r="N32" s="85">
        <f t="shared" si="6"/>
        <v>9190</v>
      </c>
      <c r="O32" s="85" t="str">
        <f t="shared" si="6"/>
        <v/>
      </c>
      <c r="P32" s="85" t="str">
        <f t="shared" si="6"/>
        <v/>
      </c>
      <c r="Q32" s="85" t="str">
        <f t="shared" si="6"/>
        <v/>
      </c>
      <c r="R32" s="85" t="str">
        <f t="shared" si="6"/>
        <v/>
      </c>
      <c r="S32" s="85" t="str">
        <f t="shared" si="6"/>
        <v/>
      </c>
      <c r="T32" s="85" t="str">
        <f t="shared" si="6"/>
        <v/>
      </c>
      <c r="U32" s="85" t="str">
        <f t="shared" si="6"/>
        <v/>
      </c>
      <c r="V32" s="85" t="str">
        <f t="shared" si="6"/>
        <v/>
      </c>
      <c r="W32" s="85" t="str">
        <f t="shared" si="6"/>
        <v/>
      </c>
      <c r="X32" s="85" t="str">
        <f t="shared" si="6"/>
        <v/>
      </c>
      <c r="Y32" s="85" t="str">
        <f t="shared" si="6"/>
        <v/>
      </c>
    </row>
    <row r="33" spans="1:25" x14ac:dyDescent="0.25">
      <c r="A33" s="168">
        <v>3</v>
      </c>
      <c r="B33" s="168">
        <v>0</v>
      </c>
      <c r="C33" s="168">
        <f t="shared" si="4"/>
        <v>0</v>
      </c>
      <c r="D33" s="168"/>
      <c r="E33" s="168"/>
      <c r="F33" s="1" t="b">
        <f>F$28&lt;=MAX($B33:$B34)</f>
        <v>1</v>
      </c>
      <c r="G33" s="1" t="b">
        <f t="shared" ref="G33:Y33" si="7">G$28&lt;=MAX($B33:$B34)</f>
        <v>1</v>
      </c>
      <c r="H33" s="1" t="b">
        <f t="shared" si="7"/>
        <v>1</v>
      </c>
      <c r="I33" s="1" t="b">
        <f t="shared" si="7"/>
        <v>1</v>
      </c>
      <c r="J33" s="1" t="b">
        <f t="shared" si="7"/>
        <v>1</v>
      </c>
      <c r="K33" s="1" t="b">
        <f t="shared" si="7"/>
        <v>1</v>
      </c>
      <c r="L33" s="1" t="b">
        <f t="shared" si="7"/>
        <v>1</v>
      </c>
      <c r="M33" s="1" t="b">
        <f t="shared" si="7"/>
        <v>1</v>
      </c>
      <c r="N33" s="1" t="b">
        <f t="shared" si="7"/>
        <v>1</v>
      </c>
      <c r="O33" s="1" t="b">
        <f t="shared" si="7"/>
        <v>0</v>
      </c>
      <c r="P33" s="1" t="b">
        <f t="shared" si="7"/>
        <v>0</v>
      </c>
      <c r="Q33" s="1" t="b">
        <f t="shared" si="7"/>
        <v>0</v>
      </c>
      <c r="R33" s="1" t="b">
        <f t="shared" si="7"/>
        <v>0</v>
      </c>
      <c r="S33" s="1" t="b">
        <f t="shared" si="7"/>
        <v>0</v>
      </c>
      <c r="T33" s="1" t="b">
        <f t="shared" si="7"/>
        <v>0</v>
      </c>
      <c r="U33" s="1" t="b">
        <f t="shared" si="7"/>
        <v>0</v>
      </c>
      <c r="V33" s="1" t="b">
        <f t="shared" si="7"/>
        <v>0</v>
      </c>
      <c r="W33" s="1" t="b">
        <f t="shared" si="7"/>
        <v>0</v>
      </c>
      <c r="X33" s="1" t="b">
        <f t="shared" si="7"/>
        <v>0</v>
      </c>
      <c r="Y33" s="1" t="b">
        <f t="shared" si="7"/>
        <v>0</v>
      </c>
    </row>
    <row r="34" spans="1:25" x14ac:dyDescent="0.25">
      <c r="A34" s="169">
        <v>3</v>
      </c>
      <c r="B34" s="169">
        <v>9</v>
      </c>
      <c r="C34" s="169">
        <f t="shared" si="4"/>
        <v>14949</v>
      </c>
      <c r="D34" s="169">
        <f t="array" ref="D34:E34">LINEST(C33:C34,B33:B34,FALSE,FALSE)</f>
        <v>1661</v>
      </c>
      <c r="E34" s="169">
        <v>0</v>
      </c>
      <c r="F34" s="85">
        <f>IF(F33,$D$34*F28+$E$34,"")</f>
        <v>1661</v>
      </c>
      <c r="G34" s="85">
        <f t="shared" ref="G34:Y34" si="8">IF(G33,$D$34*G28+$E$34,"")</f>
        <v>3322</v>
      </c>
      <c r="H34" s="85">
        <f t="shared" si="8"/>
        <v>4983</v>
      </c>
      <c r="I34" s="85">
        <f t="shared" si="8"/>
        <v>6644</v>
      </c>
      <c r="J34" s="85">
        <f t="shared" si="8"/>
        <v>8305</v>
      </c>
      <c r="K34" s="85">
        <f t="shared" si="8"/>
        <v>9966</v>
      </c>
      <c r="L34" s="85">
        <f t="shared" si="8"/>
        <v>11627</v>
      </c>
      <c r="M34" s="85">
        <f t="shared" si="8"/>
        <v>13288</v>
      </c>
      <c r="N34" s="85">
        <f t="shared" si="8"/>
        <v>14949</v>
      </c>
      <c r="O34" s="85" t="str">
        <f t="shared" si="8"/>
        <v/>
      </c>
      <c r="P34" s="85" t="str">
        <f t="shared" si="8"/>
        <v/>
      </c>
      <c r="Q34" s="85" t="str">
        <f t="shared" si="8"/>
        <v/>
      </c>
      <c r="R34" s="85" t="str">
        <f t="shared" si="8"/>
        <v/>
      </c>
      <c r="S34" s="85" t="str">
        <f t="shared" si="8"/>
        <v/>
      </c>
      <c r="T34" s="85" t="str">
        <f t="shared" si="8"/>
        <v/>
      </c>
      <c r="U34" s="85" t="str">
        <f t="shared" si="8"/>
        <v/>
      </c>
      <c r="V34" s="85" t="str">
        <f t="shared" si="8"/>
        <v/>
      </c>
      <c r="W34" s="85" t="str">
        <f t="shared" si="8"/>
        <v/>
      </c>
      <c r="X34" s="85" t="str">
        <f t="shared" si="8"/>
        <v/>
      </c>
      <c r="Y34" s="85" t="str">
        <f t="shared" si="8"/>
        <v/>
      </c>
    </row>
    <row r="35" spans="1:25" x14ac:dyDescent="0.25">
      <c r="A35" s="168">
        <v>4</v>
      </c>
      <c r="B35" s="168">
        <v>0</v>
      </c>
      <c r="C35" s="168">
        <f t="shared" si="4"/>
        <v>0</v>
      </c>
      <c r="D35" s="168"/>
      <c r="E35" s="168"/>
      <c r="F35" s="1" t="b">
        <f>F$28&lt;=MAX($B35:$B36)</f>
        <v>1</v>
      </c>
      <c r="G35" s="1" t="b">
        <f t="shared" ref="G35:Y35" si="9">G$28&lt;=MAX($B35:$B36)</f>
        <v>1</v>
      </c>
      <c r="H35" s="1" t="b">
        <f t="shared" si="9"/>
        <v>1</v>
      </c>
      <c r="I35" s="1" t="b">
        <f t="shared" si="9"/>
        <v>1</v>
      </c>
      <c r="J35" s="1" t="b">
        <f t="shared" si="9"/>
        <v>1</v>
      </c>
      <c r="K35" s="1" t="b">
        <f t="shared" si="9"/>
        <v>1</v>
      </c>
      <c r="L35" s="1" t="b">
        <f t="shared" si="9"/>
        <v>1</v>
      </c>
      <c r="M35" s="1" t="b">
        <f t="shared" si="9"/>
        <v>1</v>
      </c>
      <c r="N35" s="1" t="b">
        <f t="shared" si="9"/>
        <v>1</v>
      </c>
      <c r="O35" s="1" t="b">
        <f t="shared" si="9"/>
        <v>0</v>
      </c>
      <c r="P35" s="1" t="b">
        <f t="shared" si="9"/>
        <v>0</v>
      </c>
      <c r="Q35" s="1" t="b">
        <f t="shared" si="9"/>
        <v>0</v>
      </c>
      <c r="R35" s="1" t="b">
        <f t="shared" si="9"/>
        <v>0</v>
      </c>
      <c r="S35" s="1" t="b">
        <f t="shared" si="9"/>
        <v>0</v>
      </c>
      <c r="T35" s="1" t="b">
        <f t="shared" si="9"/>
        <v>0</v>
      </c>
      <c r="U35" s="1" t="b">
        <f t="shared" si="9"/>
        <v>0</v>
      </c>
      <c r="V35" s="1" t="b">
        <f t="shared" si="9"/>
        <v>0</v>
      </c>
      <c r="W35" s="1" t="b">
        <f t="shared" si="9"/>
        <v>0</v>
      </c>
      <c r="X35" s="1" t="b">
        <f t="shared" si="9"/>
        <v>0</v>
      </c>
      <c r="Y35" s="1" t="b">
        <f t="shared" si="9"/>
        <v>0</v>
      </c>
    </row>
    <row r="36" spans="1:25" x14ac:dyDescent="0.25">
      <c r="A36" s="169">
        <v>4</v>
      </c>
      <c r="B36" s="169">
        <v>9</v>
      </c>
      <c r="C36" s="169">
        <f t="shared" si="4"/>
        <v>21112</v>
      </c>
      <c r="D36" s="169">
        <f t="array" ref="D36:E36">LINEST(C35:C36,B35:B36,FALSE,FALSE)</f>
        <v>2345.7777777777778</v>
      </c>
      <c r="E36" s="169">
        <v>0</v>
      </c>
      <c r="F36" s="85">
        <f>IF(F35,$D$36*F28+$E$36,"")</f>
        <v>2345.7777777777778</v>
      </c>
      <c r="G36" s="85">
        <f t="shared" ref="G36:Y36" si="10">IF(G35,$D$36*G28+$E$36,"")</f>
        <v>4691.5555555555557</v>
      </c>
      <c r="H36" s="85">
        <f t="shared" si="10"/>
        <v>7037.3333333333339</v>
      </c>
      <c r="I36" s="85">
        <f t="shared" si="10"/>
        <v>9383.1111111111113</v>
      </c>
      <c r="J36" s="85">
        <f t="shared" si="10"/>
        <v>11728.888888888889</v>
      </c>
      <c r="K36" s="85">
        <f t="shared" si="10"/>
        <v>14074.666666666668</v>
      </c>
      <c r="L36" s="85">
        <f t="shared" si="10"/>
        <v>16420.444444444445</v>
      </c>
      <c r="M36" s="85">
        <f t="shared" si="10"/>
        <v>18766.222222222223</v>
      </c>
      <c r="N36" s="85">
        <f t="shared" si="10"/>
        <v>21112</v>
      </c>
      <c r="O36" s="85" t="str">
        <f t="shared" si="10"/>
        <v/>
      </c>
      <c r="P36" s="85" t="str">
        <f t="shared" si="10"/>
        <v/>
      </c>
      <c r="Q36" s="85" t="str">
        <f t="shared" si="10"/>
        <v/>
      </c>
      <c r="R36" s="85" t="str">
        <f t="shared" si="10"/>
        <v/>
      </c>
      <c r="S36" s="85" t="str">
        <f t="shared" si="10"/>
        <v/>
      </c>
      <c r="T36" s="85" t="str">
        <f t="shared" si="10"/>
        <v/>
      </c>
      <c r="U36" s="85" t="str">
        <f t="shared" si="10"/>
        <v/>
      </c>
      <c r="V36" s="85" t="str">
        <f t="shared" si="10"/>
        <v/>
      </c>
      <c r="W36" s="85" t="str">
        <f t="shared" si="10"/>
        <v/>
      </c>
      <c r="X36" s="85" t="str">
        <f t="shared" si="10"/>
        <v/>
      </c>
      <c r="Y36" s="85" t="str">
        <f t="shared" si="10"/>
        <v/>
      </c>
    </row>
    <row r="37" spans="1:25" x14ac:dyDescent="0.25">
      <c r="A37" s="170">
        <v>5</v>
      </c>
      <c r="B37" s="170">
        <v>0</v>
      </c>
      <c r="C37" s="170">
        <f t="shared" si="4"/>
        <v>0</v>
      </c>
      <c r="D37" s="170"/>
      <c r="E37" s="170"/>
      <c r="F37" s="1" t="b">
        <f>F$28&lt;=MAX($B37:$B38)</f>
        <v>1</v>
      </c>
      <c r="G37" s="1" t="b">
        <f t="shared" ref="G37:Y37" si="11">G$28&lt;=MAX($B37:$B38)</f>
        <v>1</v>
      </c>
      <c r="H37" s="1" t="b">
        <f t="shared" si="11"/>
        <v>1</v>
      </c>
      <c r="I37" s="1" t="b">
        <f t="shared" si="11"/>
        <v>1</v>
      </c>
      <c r="J37" s="1" t="b">
        <f t="shared" si="11"/>
        <v>1</v>
      </c>
      <c r="K37" s="1" t="b">
        <f t="shared" si="11"/>
        <v>1</v>
      </c>
      <c r="L37" s="1" t="b">
        <f t="shared" si="11"/>
        <v>1</v>
      </c>
      <c r="M37" s="1" t="b">
        <f t="shared" si="11"/>
        <v>1</v>
      </c>
      <c r="N37" s="1" t="b">
        <f t="shared" si="11"/>
        <v>1</v>
      </c>
      <c r="O37" s="1" t="b">
        <f t="shared" si="11"/>
        <v>1</v>
      </c>
      <c r="P37" s="1" t="b">
        <f t="shared" si="11"/>
        <v>1</v>
      </c>
      <c r="Q37" s="1" t="b">
        <f t="shared" si="11"/>
        <v>1</v>
      </c>
      <c r="R37" s="1" t="b">
        <f t="shared" si="11"/>
        <v>1</v>
      </c>
      <c r="S37" s="1" t="b">
        <f t="shared" si="11"/>
        <v>1</v>
      </c>
      <c r="T37" s="1" t="b">
        <f t="shared" si="11"/>
        <v>0</v>
      </c>
      <c r="U37" s="1" t="b">
        <f t="shared" si="11"/>
        <v>0</v>
      </c>
      <c r="V37" s="1" t="b">
        <f t="shared" si="11"/>
        <v>0</v>
      </c>
      <c r="W37" s="1" t="b">
        <f t="shared" si="11"/>
        <v>0</v>
      </c>
      <c r="X37" s="1" t="b">
        <f t="shared" si="11"/>
        <v>0</v>
      </c>
      <c r="Y37" s="1" t="b">
        <f t="shared" si="11"/>
        <v>0</v>
      </c>
    </row>
    <row r="38" spans="1:25" x14ac:dyDescent="0.25">
      <c r="A38" s="171">
        <v>5</v>
      </c>
      <c r="B38" s="171">
        <v>14</v>
      </c>
      <c r="C38" s="171">
        <f t="shared" si="4"/>
        <v>27595</v>
      </c>
      <c r="D38" s="171">
        <f t="array" ref="D38:E38">LINEST(C37:C38,B37:B38,TRUE,FALSE)</f>
        <v>1971.0714285714287</v>
      </c>
      <c r="E38" s="171">
        <v>0</v>
      </c>
      <c r="F38" s="85">
        <f>IF(F37,$D$38*F28+$E$38,"")</f>
        <v>1971.0714285714287</v>
      </c>
      <c r="G38" s="85">
        <f t="shared" ref="G38:Y38" si="12">IF(G37,$D$38*G28+$E$38,"")</f>
        <v>3942.1428571428573</v>
      </c>
      <c r="H38" s="85">
        <f t="shared" si="12"/>
        <v>5913.2142857142862</v>
      </c>
      <c r="I38" s="85">
        <f t="shared" si="12"/>
        <v>7884.2857142857147</v>
      </c>
      <c r="J38" s="85">
        <f t="shared" si="12"/>
        <v>9855.3571428571431</v>
      </c>
      <c r="K38" s="85">
        <f t="shared" si="12"/>
        <v>11826.428571428572</v>
      </c>
      <c r="L38" s="85">
        <f t="shared" si="12"/>
        <v>13797.5</v>
      </c>
      <c r="M38" s="85">
        <f t="shared" si="12"/>
        <v>15768.571428571429</v>
      </c>
      <c r="N38" s="85">
        <f t="shared" si="12"/>
        <v>17739.642857142859</v>
      </c>
      <c r="O38" s="85">
        <f t="shared" si="12"/>
        <v>19710.714285714286</v>
      </c>
      <c r="P38" s="85">
        <f t="shared" si="12"/>
        <v>21681.785714285714</v>
      </c>
      <c r="Q38" s="85">
        <f t="shared" si="12"/>
        <v>23652.857142857145</v>
      </c>
      <c r="R38" s="85">
        <f t="shared" si="12"/>
        <v>25623.928571428572</v>
      </c>
      <c r="S38" s="85">
        <f t="shared" si="12"/>
        <v>27595</v>
      </c>
      <c r="T38" s="85" t="str">
        <f t="shared" si="12"/>
        <v/>
      </c>
      <c r="U38" s="85" t="str">
        <f t="shared" si="12"/>
        <v/>
      </c>
      <c r="V38" s="85" t="str">
        <f t="shared" si="12"/>
        <v/>
      </c>
      <c r="W38" s="85" t="str">
        <f t="shared" si="12"/>
        <v/>
      </c>
      <c r="X38" s="85" t="str">
        <f t="shared" si="12"/>
        <v/>
      </c>
      <c r="Y38" s="85" t="str">
        <f t="shared" si="12"/>
        <v/>
      </c>
    </row>
    <row r="39" spans="1:25" x14ac:dyDescent="0.25">
      <c r="A39" s="170">
        <v>6</v>
      </c>
      <c r="B39" s="170">
        <v>0</v>
      </c>
      <c r="C39" s="170">
        <f t="shared" si="4"/>
        <v>0</v>
      </c>
      <c r="D39" s="170"/>
      <c r="E39" s="170"/>
      <c r="F39" s="1" t="b">
        <f>F$28&lt;=MAX($B39:$B40)</f>
        <v>1</v>
      </c>
      <c r="G39" s="1" t="b">
        <f t="shared" ref="G39:Y39" si="13">G$28&lt;=MAX($B39:$B40)</f>
        <v>1</v>
      </c>
      <c r="H39" s="1" t="b">
        <f t="shared" si="13"/>
        <v>1</v>
      </c>
      <c r="I39" s="1" t="b">
        <f t="shared" si="13"/>
        <v>1</v>
      </c>
      <c r="J39" s="1" t="b">
        <f t="shared" si="13"/>
        <v>1</v>
      </c>
      <c r="K39" s="1" t="b">
        <f t="shared" si="13"/>
        <v>1</v>
      </c>
      <c r="L39" s="1" t="b">
        <f t="shared" si="13"/>
        <v>1</v>
      </c>
      <c r="M39" s="1" t="b">
        <f t="shared" si="13"/>
        <v>1</v>
      </c>
      <c r="N39" s="1" t="b">
        <f t="shared" si="13"/>
        <v>1</v>
      </c>
      <c r="O39" s="1" t="b">
        <f t="shared" si="13"/>
        <v>1</v>
      </c>
      <c r="P39" s="1" t="b">
        <f t="shared" si="13"/>
        <v>1</v>
      </c>
      <c r="Q39" s="1" t="b">
        <f t="shared" si="13"/>
        <v>1</v>
      </c>
      <c r="R39" s="1" t="b">
        <f t="shared" si="13"/>
        <v>1</v>
      </c>
      <c r="S39" s="1" t="b">
        <f t="shared" si="13"/>
        <v>1</v>
      </c>
      <c r="T39" s="1" t="b">
        <f t="shared" si="13"/>
        <v>0</v>
      </c>
      <c r="U39" s="1" t="b">
        <f t="shared" si="13"/>
        <v>0</v>
      </c>
      <c r="V39" s="1" t="b">
        <f t="shared" si="13"/>
        <v>0</v>
      </c>
      <c r="W39" s="1" t="b">
        <f t="shared" si="13"/>
        <v>0</v>
      </c>
      <c r="X39" s="1" t="b">
        <f t="shared" si="13"/>
        <v>0</v>
      </c>
      <c r="Y39" s="1" t="b">
        <f t="shared" si="13"/>
        <v>0</v>
      </c>
    </row>
    <row r="40" spans="1:25" x14ac:dyDescent="0.25">
      <c r="A40" s="171">
        <v>6</v>
      </c>
      <c r="B40" s="171">
        <v>14</v>
      </c>
      <c r="C40" s="171">
        <f t="shared" si="4"/>
        <v>34343</v>
      </c>
      <c r="D40" s="171">
        <f t="array" ref="D40:E40">LINEST(C39:C40,B39:B40,TRUE,FALSE)</f>
        <v>2453.0714285714284</v>
      </c>
      <c r="E40" s="171">
        <v>0</v>
      </c>
      <c r="F40" s="85">
        <f>IF(F39,$D$40*F28+$E$40,"")</f>
        <v>2453.0714285714284</v>
      </c>
      <c r="G40" s="85">
        <f t="shared" ref="G40:Y40" si="14">IF(G39,$D$40*G28+$E$40,"")</f>
        <v>4906.1428571428569</v>
      </c>
      <c r="H40" s="85">
        <f t="shared" si="14"/>
        <v>7359.2142857142853</v>
      </c>
      <c r="I40" s="85">
        <f t="shared" si="14"/>
        <v>9812.2857142857138</v>
      </c>
      <c r="J40" s="85">
        <f t="shared" si="14"/>
        <v>12265.357142857141</v>
      </c>
      <c r="K40" s="85">
        <f t="shared" si="14"/>
        <v>14718.428571428571</v>
      </c>
      <c r="L40" s="85">
        <f t="shared" si="14"/>
        <v>17171.5</v>
      </c>
      <c r="M40" s="85">
        <f t="shared" si="14"/>
        <v>19624.571428571428</v>
      </c>
      <c r="N40" s="85">
        <f t="shared" si="14"/>
        <v>22077.642857142855</v>
      </c>
      <c r="O40" s="85">
        <f t="shared" si="14"/>
        <v>24530.714285714283</v>
      </c>
      <c r="P40" s="85">
        <f t="shared" si="14"/>
        <v>26983.785714285714</v>
      </c>
      <c r="Q40" s="85">
        <f t="shared" si="14"/>
        <v>29436.857142857141</v>
      </c>
      <c r="R40" s="85">
        <f t="shared" si="14"/>
        <v>31889.928571428569</v>
      </c>
      <c r="S40" s="85">
        <f t="shared" si="14"/>
        <v>34343</v>
      </c>
      <c r="T40" s="85" t="str">
        <f t="shared" si="14"/>
        <v/>
      </c>
      <c r="U40" s="85" t="str">
        <f t="shared" si="14"/>
        <v/>
      </c>
      <c r="V40" s="85" t="str">
        <f t="shared" si="14"/>
        <v/>
      </c>
      <c r="W40" s="85" t="str">
        <f t="shared" si="14"/>
        <v/>
      </c>
      <c r="X40" s="85" t="str">
        <f t="shared" si="14"/>
        <v/>
      </c>
      <c r="Y40" s="85" t="str">
        <f t="shared" si="14"/>
        <v/>
      </c>
    </row>
    <row r="41" spans="1:25" x14ac:dyDescent="0.25">
      <c r="A41" s="170">
        <v>7</v>
      </c>
      <c r="B41" s="170">
        <v>0</v>
      </c>
      <c r="C41" s="170">
        <f t="shared" si="4"/>
        <v>0</v>
      </c>
      <c r="D41" s="170"/>
      <c r="E41" s="170"/>
      <c r="F41" s="1" t="b">
        <f>F$28&lt;=MAX($B41:$B42)</f>
        <v>1</v>
      </c>
      <c r="G41" s="1" t="b">
        <f t="shared" ref="G41:Y41" si="15">G$28&lt;=MAX($B41:$B42)</f>
        <v>1</v>
      </c>
      <c r="H41" s="1" t="b">
        <f t="shared" si="15"/>
        <v>1</v>
      </c>
      <c r="I41" s="1" t="b">
        <f t="shared" si="15"/>
        <v>1</v>
      </c>
      <c r="J41" s="1" t="b">
        <f t="shared" si="15"/>
        <v>1</v>
      </c>
      <c r="K41" s="1" t="b">
        <f t="shared" si="15"/>
        <v>1</v>
      </c>
      <c r="L41" s="1" t="b">
        <f t="shared" si="15"/>
        <v>1</v>
      </c>
      <c r="M41" s="1" t="b">
        <f t="shared" si="15"/>
        <v>1</v>
      </c>
      <c r="N41" s="1" t="b">
        <f t="shared" si="15"/>
        <v>1</v>
      </c>
      <c r="O41" s="1" t="b">
        <f t="shared" si="15"/>
        <v>1</v>
      </c>
      <c r="P41" s="1" t="b">
        <f t="shared" si="15"/>
        <v>1</v>
      </c>
      <c r="Q41" s="1" t="b">
        <f t="shared" si="15"/>
        <v>1</v>
      </c>
      <c r="R41" s="1" t="b">
        <f t="shared" si="15"/>
        <v>1</v>
      </c>
      <c r="S41" s="1" t="b">
        <f t="shared" si="15"/>
        <v>1</v>
      </c>
      <c r="T41" s="1" t="b">
        <f t="shared" si="15"/>
        <v>0</v>
      </c>
      <c r="U41" s="1" t="b">
        <f t="shared" si="15"/>
        <v>0</v>
      </c>
      <c r="V41" s="1" t="b">
        <f t="shared" si="15"/>
        <v>0</v>
      </c>
      <c r="W41" s="1" t="b">
        <f t="shared" si="15"/>
        <v>0</v>
      </c>
      <c r="X41" s="1" t="b">
        <f t="shared" si="15"/>
        <v>0</v>
      </c>
      <c r="Y41" s="1" t="b">
        <f t="shared" si="15"/>
        <v>0</v>
      </c>
    </row>
    <row r="42" spans="1:25" x14ac:dyDescent="0.25">
      <c r="A42" s="171">
        <v>7</v>
      </c>
      <c r="B42" s="171">
        <v>14</v>
      </c>
      <c r="C42" s="171">
        <f t="shared" si="4"/>
        <v>41322</v>
      </c>
      <c r="D42" s="171">
        <f t="array" ref="D42:E42">LINEST(C41:C42,B41:B42,TRUE,FALSE)</f>
        <v>2951.5714285714275</v>
      </c>
      <c r="E42" s="171">
        <v>7.2759576141834259E-12</v>
      </c>
      <c r="F42" s="85">
        <f>IF(F41,$D$42*F28+$E$42,"")</f>
        <v>2951.5714285714348</v>
      </c>
      <c r="G42" s="85">
        <f t="shared" ref="G42:Y42" si="16">IF(G41,$D$42*G28+$E$42,"")</f>
        <v>5903.1428571428623</v>
      </c>
      <c r="H42" s="85">
        <f t="shared" si="16"/>
        <v>8854.7142857142899</v>
      </c>
      <c r="I42" s="85">
        <f t="shared" si="16"/>
        <v>11806.285714285717</v>
      </c>
      <c r="J42" s="85">
        <f t="shared" si="16"/>
        <v>14757.857142857145</v>
      </c>
      <c r="K42" s="85">
        <f t="shared" si="16"/>
        <v>17709.428571428572</v>
      </c>
      <c r="L42" s="85">
        <f t="shared" si="16"/>
        <v>20661</v>
      </c>
      <c r="M42" s="85">
        <f t="shared" si="16"/>
        <v>23612.571428571428</v>
      </c>
      <c r="N42" s="85">
        <f t="shared" si="16"/>
        <v>26564.142857142855</v>
      </c>
      <c r="O42" s="85">
        <f t="shared" si="16"/>
        <v>29515.714285714283</v>
      </c>
      <c r="P42" s="85">
        <f t="shared" si="16"/>
        <v>32467.28571428571</v>
      </c>
      <c r="Q42" s="85">
        <f t="shared" si="16"/>
        <v>35418.857142857138</v>
      </c>
      <c r="R42" s="85">
        <f t="shared" si="16"/>
        <v>38370.428571428565</v>
      </c>
      <c r="S42" s="85">
        <f t="shared" si="16"/>
        <v>41321.999999999993</v>
      </c>
      <c r="T42" s="85" t="str">
        <f t="shared" si="16"/>
        <v/>
      </c>
      <c r="U42" s="85" t="str">
        <f t="shared" si="16"/>
        <v/>
      </c>
      <c r="V42" s="85" t="str">
        <f t="shared" si="16"/>
        <v/>
      </c>
      <c r="W42" s="85" t="str">
        <f t="shared" si="16"/>
        <v/>
      </c>
      <c r="X42" s="85" t="str">
        <f t="shared" si="16"/>
        <v/>
      </c>
      <c r="Y42" s="85" t="str">
        <f t="shared" si="16"/>
        <v/>
      </c>
    </row>
    <row r="43" spans="1:25" x14ac:dyDescent="0.25">
      <c r="A43" s="172">
        <v>8</v>
      </c>
      <c r="B43" s="172">
        <v>0</v>
      </c>
      <c r="C43" s="172">
        <f t="shared" si="4"/>
        <v>0</v>
      </c>
      <c r="D43" s="172"/>
      <c r="E43" s="172"/>
      <c r="F43" s="1" t="b">
        <f>F$28&lt;=MAX($B43:$B44)</f>
        <v>1</v>
      </c>
      <c r="G43" s="1" t="b">
        <f t="shared" ref="G43:Y43" si="17">G$28&lt;=MAX($B43:$B44)</f>
        <v>1</v>
      </c>
      <c r="H43" s="1" t="b">
        <f t="shared" si="17"/>
        <v>1</v>
      </c>
      <c r="I43" s="1" t="b">
        <f t="shared" si="17"/>
        <v>1</v>
      </c>
      <c r="J43" s="1" t="b">
        <f t="shared" si="17"/>
        <v>1</v>
      </c>
      <c r="K43" s="1" t="b">
        <f t="shared" si="17"/>
        <v>1</v>
      </c>
      <c r="L43" s="1" t="b">
        <f t="shared" si="17"/>
        <v>1</v>
      </c>
      <c r="M43" s="1" t="b">
        <f t="shared" si="17"/>
        <v>1</v>
      </c>
      <c r="N43" s="1" t="b">
        <f t="shared" si="17"/>
        <v>1</v>
      </c>
      <c r="O43" s="1" t="b">
        <f t="shared" si="17"/>
        <v>1</v>
      </c>
      <c r="P43" s="1" t="b">
        <f t="shared" si="17"/>
        <v>1</v>
      </c>
      <c r="Q43" s="1" t="b">
        <f t="shared" si="17"/>
        <v>1</v>
      </c>
      <c r="R43" s="1" t="b">
        <f t="shared" si="17"/>
        <v>1</v>
      </c>
      <c r="S43" s="1" t="b">
        <f t="shared" si="17"/>
        <v>1</v>
      </c>
      <c r="T43" s="1" t="b">
        <f t="shared" si="17"/>
        <v>1</v>
      </c>
      <c r="U43" s="1" t="b">
        <f t="shared" si="17"/>
        <v>1</v>
      </c>
      <c r="V43" s="1" t="b">
        <f t="shared" si="17"/>
        <v>1</v>
      </c>
      <c r="W43" s="1" t="b">
        <f t="shared" si="17"/>
        <v>1</v>
      </c>
      <c r="X43" s="1" t="b">
        <f t="shared" si="17"/>
        <v>1</v>
      </c>
      <c r="Y43" s="1" t="b">
        <f t="shared" si="17"/>
        <v>0</v>
      </c>
    </row>
    <row r="44" spans="1:25" x14ac:dyDescent="0.25">
      <c r="A44" s="173">
        <v>8</v>
      </c>
      <c r="B44" s="173">
        <v>19</v>
      </c>
      <c r="C44" s="173">
        <f t="shared" si="4"/>
        <v>48503</v>
      </c>
      <c r="D44" s="173">
        <f t="array" ref="D44:E44">LINEST(C43:C44,B43:B44,TRUE,FALSE)</f>
        <v>2552.7894736842104</v>
      </c>
      <c r="E44" s="173">
        <v>0</v>
      </c>
      <c r="F44" s="85">
        <f>IF(F43,$D$44*F28+$E$44,"")</f>
        <v>2552.7894736842104</v>
      </c>
      <c r="G44" s="85">
        <f t="shared" ref="G44:Y44" si="18">IF(G43,$D$44*G28+$E$44,"")</f>
        <v>5105.5789473684208</v>
      </c>
      <c r="H44" s="85">
        <f t="shared" si="18"/>
        <v>7658.3684210526317</v>
      </c>
      <c r="I44" s="85">
        <f t="shared" si="18"/>
        <v>10211.157894736842</v>
      </c>
      <c r="J44" s="85">
        <f t="shared" si="18"/>
        <v>12763.947368421052</v>
      </c>
      <c r="K44" s="85">
        <f t="shared" si="18"/>
        <v>15316.736842105263</v>
      </c>
      <c r="L44" s="85">
        <f t="shared" si="18"/>
        <v>17869.526315789473</v>
      </c>
      <c r="M44" s="85">
        <f t="shared" si="18"/>
        <v>20422.315789473683</v>
      </c>
      <c r="N44" s="85">
        <f t="shared" si="18"/>
        <v>22975.105263157893</v>
      </c>
      <c r="O44" s="85">
        <f t="shared" si="18"/>
        <v>25527.894736842103</v>
      </c>
      <c r="P44" s="85">
        <f t="shared" si="18"/>
        <v>28080.684210526313</v>
      </c>
      <c r="Q44" s="85">
        <f t="shared" si="18"/>
        <v>30633.473684210527</v>
      </c>
      <c r="R44" s="85">
        <f t="shared" si="18"/>
        <v>33186.263157894733</v>
      </c>
      <c r="S44" s="85">
        <f t="shared" si="18"/>
        <v>35739.052631578947</v>
      </c>
      <c r="T44" s="85">
        <f t="shared" si="18"/>
        <v>38291.842105263153</v>
      </c>
      <c r="U44" s="85">
        <f t="shared" si="18"/>
        <v>40844.631578947367</v>
      </c>
      <c r="V44" s="85">
        <f t="shared" si="18"/>
        <v>43397.42105263158</v>
      </c>
      <c r="W44" s="85">
        <f t="shared" si="18"/>
        <v>45950.210526315786</v>
      </c>
      <c r="X44" s="85">
        <f t="shared" si="18"/>
        <v>48503</v>
      </c>
      <c r="Y44" s="85" t="str">
        <f t="shared" si="18"/>
        <v/>
      </c>
    </row>
    <row r="45" spans="1:25" x14ac:dyDescent="0.25">
      <c r="A45" s="172">
        <v>9</v>
      </c>
      <c r="B45" s="172">
        <v>0</v>
      </c>
      <c r="C45" s="172">
        <f t="shared" si="4"/>
        <v>0</v>
      </c>
      <c r="D45" s="172"/>
      <c r="E45" s="172"/>
      <c r="F45" s="1" t="b">
        <f>F$28&lt;=MAX($B45:$B46)</f>
        <v>1</v>
      </c>
      <c r="G45" s="1" t="b">
        <f t="shared" ref="G45:Y45" si="19">G$28&lt;=MAX($B45:$B46)</f>
        <v>1</v>
      </c>
      <c r="H45" s="1" t="b">
        <f t="shared" si="19"/>
        <v>1</v>
      </c>
      <c r="I45" s="1" t="b">
        <f t="shared" si="19"/>
        <v>1</v>
      </c>
      <c r="J45" s="1" t="b">
        <f t="shared" si="19"/>
        <v>1</v>
      </c>
      <c r="K45" s="1" t="b">
        <f t="shared" si="19"/>
        <v>1</v>
      </c>
      <c r="L45" s="1" t="b">
        <f t="shared" si="19"/>
        <v>1</v>
      </c>
      <c r="M45" s="1" t="b">
        <f t="shared" si="19"/>
        <v>1</v>
      </c>
      <c r="N45" s="1" t="b">
        <f t="shared" si="19"/>
        <v>1</v>
      </c>
      <c r="O45" s="1" t="b">
        <f t="shared" si="19"/>
        <v>1</v>
      </c>
      <c r="P45" s="1" t="b">
        <f t="shared" si="19"/>
        <v>1</v>
      </c>
      <c r="Q45" s="1" t="b">
        <f t="shared" si="19"/>
        <v>1</v>
      </c>
      <c r="R45" s="1" t="b">
        <f t="shared" si="19"/>
        <v>1</v>
      </c>
      <c r="S45" s="1" t="b">
        <f t="shared" si="19"/>
        <v>1</v>
      </c>
      <c r="T45" s="1" t="b">
        <f t="shared" si="19"/>
        <v>1</v>
      </c>
      <c r="U45" s="1" t="b">
        <f t="shared" si="19"/>
        <v>1</v>
      </c>
      <c r="V45" s="1" t="b">
        <f t="shared" si="19"/>
        <v>1</v>
      </c>
      <c r="W45" s="1" t="b">
        <f t="shared" si="19"/>
        <v>1</v>
      </c>
      <c r="X45" s="1" t="b">
        <f t="shared" si="19"/>
        <v>1</v>
      </c>
      <c r="Y45" s="1" t="b">
        <f t="shared" si="19"/>
        <v>0</v>
      </c>
    </row>
    <row r="46" spans="1:25" x14ac:dyDescent="0.25">
      <c r="A46" s="173">
        <v>9</v>
      </c>
      <c r="B46" s="173">
        <v>19</v>
      </c>
      <c r="C46" s="173">
        <f t="shared" si="4"/>
        <v>55866</v>
      </c>
      <c r="D46" s="173">
        <f t="array" ref="D46:E46">LINEST(C45:C46,B45:B46,TRUE,FALSE)</f>
        <v>2940.3157894736842</v>
      </c>
      <c r="E46" s="173">
        <v>0</v>
      </c>
      <c r="F46" s="85">
        <f>IF(F45,$D$46*F28+$E$46,"")</f>
        <v>2940.3157894736842</v>
      </c>
      <c r="G46" s="85">
        <f t="shared" ref="G46:Y46" si="20">IF(G45,$D$46*G28+$E$46,"")</f>
        <v>5880.6315789473683</v>
      </c>
      <c r="H46" s="85">
        <f t="shared" si="20"/>
        <v>8820.9473684210534</v>
      </c>
      <c r="I46" s="85">
        <f t="shared" si="20"/>
        <v>11761.263157894737</v>
      </c>
      <c r="J46" s="85">
        <f t="shared" si="20"/>
        <v>14701.57894736842</v>
      </c>
      <c r="K46" s="85">
        <f t="shared" si="20"/>
        <v>17641.894736842107</v>
      </c>
      <c r="L46" s="85">
        <f t="shared" si="20"/>
        <v>20582.21052631579</v>
      </c>
      <c r="M46" s="85">
        <f t="shared" si="20"/>
        <v>23522.526315789473</v>
      </c>
      <c r="N46" s="85">
        <f t="shared" si="20"/>
        <v>26462.842105263157</v>
      </c>
      <c r="O46" s="85">
        <f t="shared" si="20"/>
        <v>29403.15789473684</v>
      </c>
      <c r="P46" s="85">
        <f t="shared" si="20"/>
        <v>32343.473684210527</v>
      </c>
      <c r="Q46" s="85">
        <f t="shared" si="20"/>
        <v>35283.789473684214</v>
      </c>
      <c r="R46" s="85">
        <f t="shared" si="20"/>
        <v>38224.105263157893</v>
      </c>
      <c r="S46" s="85">
        <f t="shared" si="20"/>
        <v>41164.42105263158</v>
      </c>
      <c r="T46" s="85">
        <f t="shared" si="20"/>
        <v>44104.73684210526</v>
      </c>
      <c r="U46" s="85">
        <f t="shared" si="20"/>
        <v>47045.052631578947</v>
      </c>
      <c r="V46" s="85">
        <f t="shared" si="20"/>
        <v>49985.368421052633</v>
      </c>
      <c r="W46" s="85">
        <f t="shared" si="20"/>
        <v>52925.684210526313</v>
      </c>
      <c r="X46" s="85">
        <f t="shared" si="20"/>
        <v>55866</v>
      </c>
      <c r="Y46" s="85" t="str">
        <f t="shared" si="20"/>
        <v/>
      </c>
    </row>
    <row r="47" spans="1:25" x14ac:dyDescent="0.25">
      <c r="A47" s="174">
        <v>10</v>
      </c>
      <c r="B47" s="174">
        <v>0</v>
      </c>
      <c r="C47" s="174">
        <f t="shared" si="4"/>
        <v>0</v>
      </c>
      <c r="D47" s="174"/>
      <c r="E47" s="174"/>
      <c r="F47" s="1" t="b">
        <f>F$28&lt;=MAX($B47:$B48)</f>
        <v>1</v>
      </c>
      <c r="G47" s="1" t="b">
        <f t="shared" ref="G47:Y51" si="21">G$28&lt;=MAX($B47:$B48)</f>
        <v>1</v>
      </c>
      <c r="H47" s="1" t="b">
        <f t="shared" si="21"/>
        <v>1</v>
      </c>
      <c r="I47" s="1" t="b">
        <f t="shared" si="21"/>
        <v>1</v>
      </c>
      <c r="J47" s="1" t="b">
        <f t="shared" si="21"/>
        <v>1</v>
      </c>
      <c r="K47" s="1" t="b">
        <f t="shared" si="21"/>
        <v>1</v>
      </c>
      <c r="L47" s="1" t="b">
        <f t="shared" si="21"/>
        <v>1</v>
      </c>
      <c r="M47" s="1" t="b">
        <f t="shared" si="21"/>
        <v>1</v>
      </c>
      <c r="N47" s="1" t="b">
        <f t="shared" si="21"/>
        <v>1</v>
      </c>
      <c r="O47" s="1" t="b">
        <f t="shared" si="21"/>
        <v>1</v>
      </c>
      <c r="P47" s="1" t="b">
        <f t="shared" si="21"/>
        <v>1</v>
      </c>
      <c r="Q47" s="1" t="b">
        <f t="shared" si="21"/>
        <v>1</v>
      </c>
      <c r="R47" s="1" t="b">
        <f t="shared" si="21"/>
        <v>1</v>
      </c>
      <c r="S47" s="1" t="b">
        <f t="shared" si="21"/>
        <v>1</v>
      </c>
      <c r="T47" s="1" t="b">
        <f t="shared" si="21"/>
        <v>1</v>
      </c>
      <c r="U47" s="1" t="b">
        <f t="shared" si="21"/>
        <v>1</v>
      </c>
      <c r="V47" s="1" t="b">
        <f t="shared" si="21"/>
        <v>1</v>
      </c>
      <c r="W47" s="1" t="b">
        <f t="shared" si="21"/>
        <v>1</v>
      </c>
      <c r="X47" s="1" t="b">
        <f t="shared" si="21"/>
        <v>1</v>
      </c>
      <c r="Y47" s="1" t="b">
        <f t="shared" si="21"/>
        <v>0</v>
      </c>
    </row>
    <row r="48" spans="1:25" x14ac:dyDescent="0.25">
      <c r="A48" s="175">
        <v>10</v>
      </c>
      <c r="B48" s="175">
        <v>19</v>
      </c>
      <c r="C48" s="175">
        <f>ROUND(IF(B48=0,0,$C$26*POWER(A48,$C$27)),0)</f>
        <v>63396</v>
      </c>
      <c r="D48" s="175">
        <f t="array" ref="D48:E48">LINEST(C47:C48,B47:B48,TRUE,FALSE)</f>
        <v>3336.6315789473679</v>
      </c>
      <c r="E48" s="175">
        <v>3.637978807091713E-12</v>
      </c>
      <c r="F48" s="85">
        <f>IF(F47,$D$48*F28+$E$48,"")</f>
        <v>3336.6315789473715</v>
      </c>
      <c r="G48" s="85">
        <f t="shared" ref="G48:Y48" si="22">IF(G47,$D$48*G28+$E$48,"")</f>
        <v>6673.2631578947394</v>
      </c>
      <c r="H48" s="85">
        <f t="shared" si="22"/>
        <v>10009.894736842107</v>
      </c>
      <c r="I48" s="85">
        <f t="shared" si="22"/>
        <v>13346.526315789475</v>
      </c>
      <c r="J48" s="85">
        <f t="shared" si="22"/>
        <v>16683.157894736843</v>
      </c>
      <c r="K48" s="85">
        <f t="shared" si="22"/>
        <v>20019.78947368421</v>
      </c>
      <c r="L48" s="85">
        <f t="shared" si="22"/>
        <v>23356.42105263158</v>
      </c>
      <c r="M48" s="85">
        <f t="shared" si="22"/>
        <v>26693.052631578947</v>
      </c>
      <c r="N48" s="85">
        <f t="shared" si="22"/>
        <v>30029.684210526313</v>
      </c>
      <c r="O48" s="85">
        <f t="shared" si="22"/>
        <v>33366.31578947368</v>
      </c>
      <c r="P48" s="85">
        <f t="shared" si="22"/>
        <v>36702.947368421053</v>
      </c>
      <c r="Q48" s="85">
        <f t="shared" si="22"/>
        <v>40039.578947368413</v>
      </c>
      <c r="R48" s="85">
        <f t="shared" si="22"/>
        <v>43376.210526315786</v>
      </c>
      <c r="S48" s="85">
        <f t="shared" si="22"/>
        <v>46712.84210526316</v>
      </c>
      <c r="T48" s="85">
        <f t="shared" si="22"/>
        <v>50049.473684210519</v>
      </c>
      <c r="U48" s="85">
        <f t="shared" si="22"/>
        <v>53386.105263157893</v>
      </c>
      <c r="V48" s="85">
        <f t="shared" si="22"/>
        <v>56722.736842105252</v>
      </c>
      <c r="W48" s="85">
        <f t="shared" si="22"/>
        <v>60059.368421052626</v>
      </c>
      <c r="X48" s="85">
        <f t="shared" si="22"/>
        <v>63396</v>
      </c>
      <c r="Y48" s="85" t="str">
        <f t="shared" si="22"/>
        <v/>
      </c>
    </row>
    <row r="49" spans="1:25" x14ac:dyDescent="0.25">
      <c r="A49" s="124">
        <v>11</v>
      </c>
      <c r="B49" s="124">
        <v>0</v>
      </c>
      <c r="C49" s="124">
        <f t="shared" si="4"/>
        <v>0</v>
      </c>
      <c r="D49" s="124"/>
      <c r="E49" s="124"/>
      <c r="F49" s="1" t="b">
        <f>F$28&lt;=MAX($B49:$B50)</f>
        <v>1</v>
      </c>
      <c r="G49" s="1" t="b">
        <f t="shared" si="21"/>
        <v>1</v>
      </c>
      <c r="H49" s="1" t="b">
        <f t="shared" si="21"/>
        <v>1</v>
      </c>
      <c r="I49" s="1" t="b">
        <f t="shared" si="21"/>
        <v>1</v>
      </c>
      <c r="J49" s="1" t="b">
        <f t="shared" si="21"/>
        <v>1</v>
      </c>
      <c r="K49" s="1" t="b">
        <f t="shared" si="21"/>
        <v>1</v>
      </c>
      <c r="L49" s="1" t="b">
        <f t="shared" si="21"/>
        <v>1</v>
      </c>
      <c r="M49" s="1" t="b">
        <f t="shared" si="21"/>
        <v>1</v>
      </c>
      <c r="N49" s="1" t="b">
        <f t="shared" si="21"/>
        <v>1</v>
      </c>
      <c r="O49" s="1" t="b">
        <f t="shared" si="21"/>
        <v>1</v>
      </c>
      <c r="P49" s="1" t="b">
        <f t="shared" si="21"/>
        <v>1</v>
      </c>
      <c r="Q49" s="1" t="b">
        <f t="shared" si="21"/>
        <v>1</v>
      </c>
      <c r="R49" s="1" t="b">
        <f t="shared" si="21"/>
        <v>1</v>
      </c>
      <c r="S49" s="1" t="b">
        <f t="shared" si="21"/>
        <v>1</v>
      </c>
      <c r="T49" s="1" t="b">
        <f t="shared" si="21"/>
        <v>1</v>
      </c>
      <c r="U49" s="1" t="b">
        <f t="shared" si="21"/>
        <v>1</v>
      </c>
      <c r="V49" s="1" t="b">
        <f t="shared" si="21"/>
        <v>1</v>
      </c>
      <c r="W49" s="1" t="b">
        <f t="shared" si="21"/>
        <v>1</v>
      </c>
      <c r="X49" s="1" t="b">
        <f t="shared" si="21"/>
        <v>1</v>
      </c>
      <c r="Y49" s="1" t="b">
        <f t="shared" si="21"/>
        <v>0</v>
      </c>
    </row>
    <row r="50" spans="1:25" x14ac:dyDescent="0.25">
      <c r="A50" s="175">
        <v>11</v>
      </c>
      <c r="B50" s="175">
        <v>19</v>
      </c>
      <c r="C50" s="175">
        <f>ROUND(IF(B50=0,0,$C$26*POWER(A50,$C$27)),0)</f>
        <v>71077</v>
      </c>
      <c r="D50" s="175">
        <f t="array" ref="D50:E50">LINEST(C49:C50,B49:B50,TRUE,FALSE)</f>
        <v>3740.8947368421054</v>
      </c>
      <c r="E50" s="175">
        <v>0</v>
      </c>
      <c r="F50" s="85">
        <f>IF(F49,$D$50*F28+$E$50,"")</f>
        <v>3740.8947368421054</v>
      </c>
      <c r="G50" s="85">
        <f t="shared" ref="G50:Y50" si="23">IF(G49,$D$50*G28+$E$50,"")</f>
        <v>7481.7894736842109</v>
      </c>
      <c r="H50" s="85">
        <f t="shared" si="23"/>
        <v>11222.684210526317</v>
      </c>
      <c r="I50" s="85">
        <f t="shared" si="23"/>
        <v>14963.578947368422</v>
      </c>
      <c r="J50" s="85">
        <f t="shared" si="23"/>
        <v>18704.473684210527</v>
      </c>
      <c r="K50" s="85">
        <f t="shared" si="23"/>
        <v>22445.368421052633</v>
      </c>
      <c r="L50" s="85">
        <f t="shared" si="23"/>
        <v>26186.263157894737</v>
      </c>
      <c r="M50" s="85">
        <f t="shared" si="23"/>
        <v>29927.157894736843</v>
      </c>
      <c r="N50" s="85">
        <f t="shared" si="23"/>
        <v>33668.052631578947</v>
      </c>
      <c r="O50" s="85">
        <f t="shared" si="23"/>
        <v>37408.947368421053</v>
      </c>
      <c r="P50" s="85">
        <f t="shared" si="23"/>
        <v>41149.84210526316</v>
      </c>
      <c r="Q50" s="85">
        <f t="shared" si="23"/>
        <v>44890.736842105267</v>
      </c>
      <c r="R50" s="85">
        <f t="shared" si="23"/>
        <v>48631.631578947374</v>
      </c>
      <c r="S50" s="85">
        <f t="shared" si="23"/>
        <v>52372.526315789473</v>
      </c>
      <c r="T50" s="85">
        <f t="shared" si="23"/>
        <v>56113.42105263158</v>
      </c>
      <c r="U50" s="85">
        <f t="shared" si="23"/>
        <v>59854.315789473687</v>
      </c>
      <c r="V50" s="85">
        <f t="shared" si="23"/>
        <v>63595.210526315794</v>
      </c>
      <c r="W50" s="85">
        <f t="shared" si="23"/>
        <v>67336.105263157893</v>
      </c>
      <c r="X50" s="85">
        <f t="shared" si="23"/>
        <v>71077</v>
      </c>
      <c r="Y50" s="85" t="str">
        <f t="shared" si="23"/>
        <v/>
      </c>
    </row>
    <row r="51" spans="1:25" x14ac:dyDescent="0.25">
      <c r="A51" s="124">
        <v>12</v>
      </c>
      <c r="B51" s="124">
        <v>0</v>
      </c>
      <c r="C51" s="124">
        <f t="shared" si="4"/>
        <v>0</v>
      </c>
      <c r="D51" s="124"/>
      <c r="E51" s="124"/>
      <c r="F51" s="1" t="b">
        <f>F$28&lt;=MAX($B51:$B52)</f>
        <v>1</v>
      </c>
      <c r="G51" s="1" t="b">
        <f t="shared" si="21"/>
        <v>1</v>
      </c>
      <c r="H51" s="1" t="b">
        <f t="shared" si="21"/>
        <v>1</v>
      </c>
      <c r="I51" s="1" t="b">
        <f t="shared" si="21"/>
        <v>1</v>
      </c>
      <c r="J51" s="1" t="b">
        <f t="shared" si="21"/>
        <v>1</v>
      </c>
      <c r="K51" s="1" t="b">
        <f t="shared" si="21"/>
        <v>1</v>
      </c>
      <c r="L51" s="1" t="b">
        <f t="shared" si="21"/>
        <v>1</v>
      </c>
      <c r="M51" s="1" t="b">
        <f t="shared" si="21"/>
        <v>1</v>
      </c>
      <c r="N51" s="1" t="b">
        <f t="shared" si="21"/>
        <v>1</v>
      </c>
      <c r="O51" s="1" t="b">
        <f t="shared" si="21"/>
        <v>1</v>
      </c>
      <c r="P51" s="1" t="b">
        <f t="shared" si="21"/>
        <v>1</v>
      </c>
      <c r="Q51" s="1" t="b">
        <f t="shared" si="21"/>
        <v>1</v>
      </c>
      <c r="R51" s="1" t="b">
        <f t="shared" si="21"/>
        <v>1</v>
      </c>
      <c r="S51" s="1" t="b">
        <f t="shared" si="21"/>
        <v>1</v>
      </c>
      <c r="T51" s="1" t="b">
        <f t="shared" si="21"/>
        <v>1</v>
      </c>
      <c r="U51" s="1" t="b">
        <f t="shared" si="21"/>
        <v>1</v>
      </c>
      <c r="V51" s="1" t="b">
        <f t="shared" si="21"/>
        <v>1</v>
      </c>
      <c r="W51" s="1" t="b">
        <f t="shared" si="21"/>
        <v>1</v>
      </c>
      <c r="X51" s="1" t="b">
        <f t="shared" si="21"/>
        <v>1</v>
      </c>
      <c r="Y51" s="1" t="b">
        <f t="shared" si="21"/>
        <v>0</v>
      </c>
    </row>
    <row r="52" spans="1:25" x14ac:dyDescent="0.25">
      <c r="A52" s="124">
        <v>12</v>
      </c>
      <c r="B52" s="124">
        <v>19</v>
      </c>
      <c r="C52" s="124">
        <f>ROUND(IF(B52=0,0,$C$26*POWER(A52,$C$27)),0)</f>
        <v>78900</v>
      </c>
      <c r="D52" s="175">
        <f t="array" ref="D52:E52">LINEST(C51:C52,B51:B52,TRUE,FALSE)</f>
        <v>4152.6315789473683</v>
      </c>
      <c r="E52" s="175">
        <v>0</v>
      </c>
      <c r="F52" s="85">
        <f>IF(F51,$D$52*F28+$E$52,"")</f>
        <v>4152.6315789473683</v>
      </c>
      <c r="G52" s="85">
        <f t="shared" ref="G52:Y52" si="24">IF(G51,$D$52*G28+$E$52,"")</f>
        <v>8305.2631578947367</v>
      </c>
      <c r="H52" s="85">
        <f t="shared" si="24"/>
        <v>12457.894736842105</v>
      </c>
      <c r="I52" s="85">
        <f t="shared" si="24"/>
        <v>16610.526315789473</v>
      </c>
      <c r="J52" s="85">
        <f t="shared" si="24"/>
        <v>20763.15789473684</v>
      </c>
      <c r="K52" s="85">
        <f t="shared" si="24"/>
        <v>24915.78947368421</v>
      </c>
      <c r="L52" s="85">
        <f t="shared" si="24"/>
        <v>29068.42105263158</v>
      </c>
      <c r="M52" s="85">
        <f t="shared" si="24"/>
        <v>33221.052631578947</v>
      </c>
      <c r="N52" s="85">
        <f t="shared" si="24"/>
        <v>37373.684210526313</v>
      </c>
      <c r="O52" s="85">
        <f t="shared" si="24"/>
        <v>41526.31578947368</v>
      </c>
      <c r="P52" s="85">
        <f t="shared" si="24"/>
        <v>45678.947368421053</v>
      </c>
      <c r="Q52" s="85">
        <f t="shared" si="24"/>
        <v>49831.57894736842</v>
      </c>
      <c r="R52" s="85">
        <f t="shared" si="24"/>
        <v>53984.210526315786</v>
      </c>
      <c r="S52" s="85">
        <f t="shared" si="24"/>
        <v>58136.84210526316</v>
      </c>
      <c r="T52" s="85">
        <f t="shared" si="24"/>
        <v>62289.473684210527</v>
      </c>
      <c r="U52" s="85">
        <f t="shared" si="24"/>
        <v>66442.105263157893</v>
      </c>
      <c r="V52" s="85">
        <f t="shared" si="24"/>
        <v>70594.736842105267</v>
      </c>
      <c r="W52" s="85">
        <f t="shared" si="24"/>
        <v>74747.368421052626</v>
      </c>
      <c r="X52" s="85">
        <f t="shared" si="24"/>
        <v>78900</v>
      </c>
      <c r="Y52" s="85" t="str">
        <f t="shared" si="24"/>
        <v/>
      </c>
    </row>
    <row r="54" spans="1:25" ht="18.75" x14ac:dyDescent="0.3">
      <c r="A54" s="151" t="s">
        <v>558</v>
      </c>
    </row>
    <row r="55" spans="1:25" x14ac:dyDescent="0.25">
      <c r="A55" s="1" t="s">
        <v>365</v>
      </c>
      <c r="B55" s="1" t="s">
        <v>77</v>
      </c>
      <c r="C55" s="1" t="s">
        <v>78</v>
      </c>
      <c r="D55" s="1" t="s">
        <v>79</v>
      </c>
      <c r="E55" s="1" t="s">
        <v>80</v>
      </c>
      <c r="F55" s="1" t="s">
        <v>81</v>
      </c>
      <c r="G55" s="1" t="s">
        <v>82</v>
      </c>
      <c r="H55" s="1" t="s">
        <v>83</v>
      </c>
      <c r="I55" s="1" t="s">
        <v>84</v>
      </c>
      <c r="J55" s="1" t="s">
        <v>85</v>
      </c>
      <c r="K55" s="1" t="s">
        <v>86</v>
      </c>
      <c r="L55" s="1" t="s">
        <v>87</v>
      </c>
      <c r="M55" s="1" t="s">
        <v>88</v>
      </c>
      <c r="N55" s="1" t="s">
        <v>89</v>
      </c>
      <c r="O55" s="1" t="s">
        <v>90</v>
      </c>
      <c r="P55" s="1" t="s">
        <v>91</v>
      </c>
      <c r="Q55" s="1" t="s">
        <v>92</v>
      </c>
      <c r="R55" s="1" t="s">
        <v>93</v>
      </c>
      <c r="S55" s="1" t="s">
        <v>94</v>
      </c>
      <c r="T55" s="1" t="s">
        <v>95</v>
      </c>
    </row>
    <row r="56" spans="1:25" x14ac:dyDescent="0.25">
      <c r="A56" s="1">
        <v>1</v>
      </c>
      <c r="B56" s="1">
        <f ca="1">IF(OFFSET(F29,$A56,0)="","",ROUND(SUM(OFFSET($F29:F29,$A56,0)),0))</f>
        <v>571</v>
      </c>
      <c r="C56" s="1">
        <f ca="1">IF(OFFSET(G29,$A56,0)="","",ROUND(SUM(OFFSET($F29:G29,$A56,0)),0))</f>
        <v>1714</v>
      </c>
      <c r="D56" s="1">
        <f ca="1">IF(OFFSET(H29,$A56,0)="","",ROUND(SUM(OFFSET($F29:H29,$A56,0)),0))</f>
        <v>3429</v>
      </c>
      <c r="E56" s="1">
        <f ca="1">IF(OFFSET(I29,$A56,0)="","",ROUND(SUM(OFFSET($F29:I29,$A56,0)),0))</f>
        <v>5714</v>
      </c>
      <c r="F56" s="1">
        <f ca="1">IF(OFFSET(J29,$A56,0)="","",ROUND(SUM(OFFSET($F29:J29,$A56,0)),0))</f>
        <v>8571</v>
      </c>
      <c r="G56" s="1">
        <f ca="1">IF(OFFSET(K29,$A56,0)="","",ROUND(SUM(OFFSET($F29:K29,$A56,0)),0))</f>
        <v>12000</v>
      </c>
      <c r="H56" s="1">
        <f ca="1">IF(OFFSET(L29,$A56,0)="","",ROUND(SUM(OFFSET($F29:L29,$A56,0)),0))</f>
        <v>16000</v>
      </c>
      <c r="I56" s="1" t="str">
        <f ca="1">IF(OFFSET(M29,$A56,0)="","",ROUND(SUM(OFFSET($F29:M29,$A56,0)),0))</f>
        <v/>
      </c>
      <c r="J56" s="1" t="str">
        <f ca="1">IF(OFFSET(N29,$A56,0)="","",ROUND(SUM(OFFSET($F29:N29,$A56,0)),0))</f>
        <v/>
      </c>
      <c r="K56" s="1" t="str">
        <f ca="1">IF(OFFSET(O29,$A56,0)="","",ROUND(SUM(OFFSET($F29:O29,$A56,0)),0))</f>
        <v/>
      </c>
      <c r="L56" s="1" t="str">
        <f ca="1">IF(OFFSET(P29,$A56,0)="","",ROUND(SUM(OFFSET($F29:P29,$A56,0)),0))</f>
        <v/>
      </c>
      <c r="M56" s="1" t="str">
        <f ca="1">IF(OFFSET(Q29,$A56,0)="","",ROUND(SUM(OFFSET($F29:Q29,$A56,0)),0))</f>
        <v/>
      </c>
      <c r="N56" s="1" t="str">
        <f ca="1">IF(OFFSET(R29,$A56,0)="","",ROUND(SUM(OFFSET($F29:R29,$A56,0)),0))</f>
        <v/>
      </c>
      <c r="O56" s="1" t="str">
        <f ca="1">IF(OFFSET(S29,$A56,0)="","",ROUND(SUM(OFFSET($F29:S29,$A56,0)),0))</f>
        <v/>
      </c>
      <c r="P56" s="1" t="str">
        <f ca="1">IF(OFFSET(T29,$A56,0)="","",ROUND(SUM(OFFSET($F29:T29,$A56,0)),0))</f>
        <v/>
      </c>
      <c r="Q56" s="1" t="str">
        <f ca="1">IF(OFFSET(U29,$A56,0)="","",ROUND(SUM(OFFSET($F29:U29,$A56,0)),0))</f>
        <v/>
      </c>
      <c r="R56" s="1" t="str">
        <f ca="1">IF(OFFSET(V29,$A56,0)="","",ROUND(SUM(OFFSET($F29:V29,$A56,0)),0))</f>
        <v/>
      </c>
      <c r="S56" s="1" t="str">
        <f ca="1">IF(OFFSET(W29,$A56,0)="","",ROUND(SUM(OFFSET($F29:W29,$A56,0)),0))</f>
        <v/>
      </c>
      <c r="T56" s="1" t="str">
        <f ca="1">IF(OFFSET(X29,$A56,0)="","",ROUND(SUM(OFFSET($F29:X29,$A56,0)),0))</f>
        <v/>
      </c>
      <c r="U56" s="1" t="str">
        <f ca="1">IF(OFFSET(Z29,$A56,0)="","",SUM(OFFSET($F29:Z29,$A56,0)))</f>
        <v/>
      </c>
    </row>
    <row r="57" spans="1:25" x14ac:dyDescent="0.25">
      <c r="A57" s="1">
        <v>2</v>
      </c>
      <c r="B57" s="1">
        <f ca="1">IF(OFFSET(F30,$A57,0)="","",ROUND(SUM(OFFSET($F30:F30,$A57,0)),0))</f>
        <v>1021</v>
      </c>
      <c r="C57" s="1">
        <f ca="1">IF(OFFSET(G30,$A57,0)="","",ROUND(SUM(OFFSET($F30:G30,$A57,0)),0))</f>
        <v>3063</v>
      </c>
      <c r="D57" s="1">
        <f ca="1">IF(OFFSET(H30,$A57,0)="","",ROUND(SUM(OFFSET($F30:H30,$A57,0)),0))</f>
        <v>6127</v>
      </c>
      <c r="E57" s="1">
        <f ca="1">IF(OFFSET(I30,$A57,0)="","",ROUND(SUM(OFFSET($F30:I30,$A57,0)),0))</f>
        <v>10211</v>
      </c>
      <c r="F57" s="1">
        <f ca="1">IF(OFFSET(J30,$A57,0)="","",ROUND(SUM(OFFSET($F30:J30,$A57,0)),0))</f>
        <v>15317</v>
      </c>
      <c r="G57" s="1">
        <f ca="1">IF(OFFSET(K30,$A57,0)="","",ROUND(SUM(OFFSET($F30:K30,$A57,0)),0))</f>
        <v>21443</v>
      </c>
      <c r="H57" s="1">
        <f ca="1">IF(OFFSET(L30,$A57,0)="","",ROUND(SUM(OFFSET($F30:L30,$A57,0)),0))</f>
        <v>28591</v>
      </c>
      <c r="I57" s="1">
        <f ca="1">IF(OFFSET(M30,$A57,0)="","",ROUND(SUM(OFFSET($F30:M30,$A57,0)),0))</f>
        <v>36760</v>
      </c>
      <c r="J57" s="1">
        <f ca="1">IF(OFFSET(N30,$A57,0)="","",ROUND(SUM(OFFSET($F30:N30,$A57,0)),0))</f>
        <v>45950</v>
      </c>
      <c r="K57" s="1" t="str">
        <f ca="1">IF(OFFSET(O30,$A57,0)="","",ROUND(SUM(OFFSET($F30:O30,$A57,0)),0))</f>
        <v/>
      </c>
      <c r="L57" s="1" t="str">
        <f ca="1">IF(OFFSET(P30,$A57,0)="","",ROUND(SUM(OFFSET($F30:P30,$A57,0)),0))</f>
        <v/>
      </c>
      <c r="M57" s="1" t="str">
        <f ca="1">IF(OFFSET(Q30,$A57,0)="","",ROUND(SUM(OFFSET($F30:Q30,$A57,0)),0))</f>
        <v/>
      </c>
      <c r="N57" s="1" t="str">
        <f ca="1">IF(OFFSET(R30,$A57,0)="","",ROUND(SUM(OFFSET($F30:R30,$A57,0)),0))</f>
        <v/>
      </c>
      <c r="O57" s="1" t="str">
        <f ca="1">IF(OFFSET(S30,$A57,0)="","",ROUND(SUM(OFFSET($F30:S30,$A57,0)),0))</f>
        <v/>
      </c>
      <c r="P57" s="1" t="str">
        <f ca="1">IF(OFFSET(T30,$A57,0)="","",ROUND(SUM(OFFSET($F30:T30,$A57,0)),0))</f>
        <v/>
      </c>
      <c r="Q57" s="1" t="str">
        <f ca="1">IF(OFFSET(U30,$A57,0)="","",ROUND(SUM(OFFSET($F30:U30,$A57,0)),0))</f>
        <v/>
      </c>
      <c r="R57" s="1" t="str">
        <f ca="1">IF(OFFSET(V30,$A57,0)="","",ROUND(SUM(OFFSET($F30:V30,$A57,0)),0))</f>
        <v/>
      </c>
      <c r="S57" s="1" t="str">
        <f ca="1">IF(OFFSET(W30,$A57,0)="","",ROUND(SUM(OFFSET($F30:W30,$A57,0)),0))</f>
        <v/>
      </c>
      <c r="T57" s="1" t="str">
        <f ca="1">IF(OFFSET(X30,$A57,0)="","",ROUND(SUM(OFFSET($F30:X30,$A57,0)),0))</f>
        <v/>
      </c>
      <c r="U57" s="1" t="str">
        <f ca="1">IF(OFFSET(Z30,$A57,0)="","",SUM(OFFSET($F30:Z30,$A57,0)))</f>
        <v/>
      </c>
    </row>
    <row r="58" spans="1:25" x14ac:dyDescent="0.25">
      <c r="A58" s="1">
        <v>3</v>
      </c>
      <c r="B58" s="1">
        <f ca="1">IF(OFFSET(F31,$A58,0)="","",ROUND(SUM(OFFSET($F31:F31,$A58,0)),0))</f>
        <v>1661</v>
      </c>
      <c r="C58" s="1">
        <f ca="1">IF(OFFSET(G31,$A58,0)="","",ROUND(SUM(OFFSET($F31:G31,$A58,0)),0))</f>
        <v>4983</v>
      </c>
      <c r="D58" s="1">
        <f ca="1">IF(OFFSET(H31,$A58,0)="","",ROUND(SUM(OFFSET($F31:H31,$A58,0)),0))</f>
        <v>9966</v>
      </c>
      <c r="E58" s="1">
        <f ca="1">IF(OFFSET(I31,$A58,0)="","",ROUND(SUM(OFFSET($F31:I31,$A58,0)),0))</f>
        <v>16610</v>
      </c>
      <c r="F58" s="1">
        <f ca="1">IF(OFFSET(J31,$A58,0)="","",ROUND(SUM(OFFSET($F31:J31,$A58,0)),0))</f>
        <v>24915</v>
      </c>
      <c r="G58" s="1">
        <f ca="1">IF(OFFSET(K31,$A58,0)="","",ROUND(SUM(OFFSET($F31:K31,$A58,0)),0))</f>
        <v>34881</v>
      </c>
      <c r="H58" s="1">
        <f ca="1">IF(OFFSET(L31,$A58,0)="","",ROUND(SUM(OFFSET($F31:L31,$A58,0)),0))</f>
        <v>46508</v>
      </c>
      <c r="I58" s="1">
        <f ca="1">IF(OFFSET(M31,$A58,0)="","",ROUND(SUM(OFFSET($F31:M31,$A58,0)),0))</f>
        <v>59796</v>
      </c>
      <c r="J58" s="1">
        <f ca="1">IF(OFFSET(N31,$A58,0)="","",ROUND(SUM(OFFSET($F31:N31,$A58,0)),0))</f>
        <v>74745</v>
      </c>
      <c r="K58" s="1" t="str">
        <f ca="1">IF(OFFSET(O31,$A58,0)="","",ROUND(SUM(OFFSET($F31:O31,$A58,0)),0))</f>
        <v/>
      </c>
      <c r="L58" s="1" t="str">
        <f ca="1">IF(OFFSET(P31,$A58,0)="","",ROUND(SUM(OFFSET($F31:P31,$A58,0)),0))</f>
        <v/>
      </c>
      <c r="M58" s="1" t="str">
        <f ca="1">IF(OFFSET(Q31,$A58,0)="","",ROUND(SUM(OFFSET($F31:Q31,$A58,0)),0))</f>
        <v/>
      </c>
      <c r="N58" s="1" t="str">
        <f ca="1">IF(OFFSET(R31,$A58,0)="","",ROUND(SUM(OFFSET($F31:R31,$A58,0)),0))</f>
        <v/>
      </c>
      <c r="O58" s="1" t="str">
        <f ca="1">IF(OFFSET(S31,$A58,0)="","",ROUND(SUM(OFFSET($F31:S31,$A58,0)),0))</f>
        <v/>
      </c>
      <c r="P58" s="1" t="str">
        <f ca="1">IF(OFFSET(T31,$A58,0)="","",ROUND(SUM(OFFSET($F31:T31,$A58,0)),0))</f>
        <v/>
      </c>
      <c r="Q58" s="1" t="str">
        <f ca="1">IF(OFFSET(U31,$A58,0)="","",ROUND(SUM(OFFSET($F31:U31,$A58,0)),0))</f>
        <v/>
      </c>
      <c r="R58" s="1" t="str">
        <f ca="1">IF(OFFSET(V31,$A58,0)="","",ROUND(SUM(OFFSET($F31:V31,$A58,0)),0))</f>
        <v/>
      </c>
      <c r="S58" s="1" t="str">
        <f ca="1">IF(OFFSET(W31,$A58,0)="","",ROUND(SUM(OFFSET($F31:W31,$A58,0)),0))</f>
        <v/>
      </c>
      <c r="T58" s="1" t="str">
        <f ca="1">IF(OFFSET(X31,$A58,0)="","",ROUND(SUM(OFFSET($F31:X31,$A58,0)),0))</f>
        <v/>
      </c>
      <c r="U58" s="1" t="str">
        <f ca="1">IF(OFFSET(Z31,$A58,0)="","",SUM(OFFSET($F31:Z31,$A58,0)))</f>
        <v/>
      </c>
    </row>
    <row r="59" spans="1:25" x14ac:dyDescent="0.25">
      <c r="A59" s="1">
        <v>4</v>
      </c>
      <c r="B59" s="1">
        <f ca="1">IF(OFFSET(F32,$A59,0)="","",ROUND(SUM(OFFSET($F32:F32,$A59,0)),0))</f>
        <v>2346</v>
      </c>
      <c r="C59" s="1">
        <f ca="1">IF(OFFSET(G32,$A59,0)="","",ROUND(SUM(OFFSET($F32:G32,$A59,0)),0))</f>
        <v>7037</v>
      </c>
      <c r="D59" s="1">
        <f ca="1">IF(OFFSET(H32,$A59,0)="","",ROUND(SUM(OFFSET($F32:H32,$A59,0)),0))</f>
        <v>14075</v>
      </c>
      <c r="E59" s="1">
        <f ca="1">IF(OFFSET(I32,$A59,0)="","",ROUND(SUM(OFFSET($F32:I32,$A59,0)),0))</f>
        <v>23458</v>
      </c>
      <c r="F59" s="1">
        <f ca="1">IF(OFFSET(J32,$A59,0)="","",ROUND(SUM(OFFSET($F32:J32,$A59,0)),0))</f>
        <v>35187</v>
      </c>
      <c r="G59" s="1">
        <f ca="1">IF(OFFSET(K32,$A59,0)="","",ROUND(SUM(OFFSET($F32:K32,$A59,0)),0))</f>
        <v>49261</v>
      </c>
      <c r="H59" s="1">
        <f ca="1">IF(OFFSET(L32,$A59,0)="","",ROUND(SUM(OFFSET($F32:L32,$A59,0)),0))</f>
        <v>65682</v>
      </c>
      <c r="I59" s="1">
        <f ca="1">IF(OFFSET(M32,$A59,0)="","",ROUND(SUM(OFFSET($F32:M32,$A59,0)),0))</f>
        <v>84448</v>
      </c>
      <c r="J59" s="1">
        <f ca="1">IF(OFFSET(N32,$A59,0)="","",ROUND(SUM(OFFSET($F32:N32,$A59,0)),0))</f>
        <v>105560</v>
      </c>
      <c r="K59" s="1" t="str">
        <f ca="1">IF(OFFSET(O32,$A59,0)="","",ROUND(SUM(OFFSET($F32:O32,$A59,0)),0))</f>
        <v/>
      </c>
      <c r="L59" s="1" t="str">
        <f ca="1">IF(OFFSET(P32,$A59,0)="","",ROUND(SUM(OFFSET($F32:P32,$A59,0)),0))</f>
        <v/>
      </c>
      <c r="M59" s="1" t="str">
        <f ca="1">IF(OFFSET(Q32,$A59,0)="","",ROUND(SUM(OFFSET($F32:Q32,$A59,0)),0))</f>
        <v/>
      </c>
      <c r="N59" s="1" t="str">
        <f ca="1">IF(OFFSET(R32,$A59,0)="","",ROUND(SUM(OFFSET($F32:R32,$A59,0)),0))</f>
        <v/>
      </c>
      <c r="O59" s="1" t="str">
        <f ca="1">IF(OFFSET(S32,$A59,0)="","",ROUND(SUM(OFFSET($F32:S32,$A59,0)),0))</f>
        <v/>
      </c>
      <c r="P59" s="1" t="str">
        <f ca="1">IF(OFFSET(T32,$A59,0)="","",ROUND(SUM(OFFSET($F32:T32,$A59,0)),0))</f>
        <v/>
      </c>
      <c r="Q59" s="1" t="str">
        <f ca="1">IF(OFFSET(U32,$A59,0)="","",ROUND(SUM(OFFSET($F32:U32,$A59,0)),0))</f>
        <v/>
      </c>
      <c r="R59" s="1" t="str">
        <f ca="1">IF(OFFSET(V32,$A59,0)="","",ROUND(SUM(OFFSET($F32:V32,$A59,0)),0))</f>
        <v/>
      </c>
      <c r="S59" s="1" t="str">
        <f ca="1">IF(OFFSET(W32,$A59,0)="","",ROUND(SUM(OFFSET($F32:W32,$A59,0)),0))</f>
        <v/>
      </c>
      <c r="T59" s="1" t="str">
        <f ca="1">IF(OFFSET(X32,$A59,0)="","",ROUND(SUM(OFFSET($F32:X32,$A59,0)),0))</f>
        <v/>
      </c>
      <c r="U59" s="1" t="str">
        <f ca="1">IF(OFFSET(Z32,$A59,0)="","",SUM(OFFSET($F32:Z32,$A59,0)))</f>
        <v/>
      </c>
    </row>
    <row r="60" spans="1:25" x14ac:dyDescent="0.25">
      <c r="A60" s="1">
        <v>5</v>
      </c>
      <c r="B60" s="1">
        <f ca="1">IF(OFFSET(F33,$A60,0)="","",ROUND(SUM(OFFSET($F33:F33,$A60,0)),0))</f>
        <v>1971</v>
      </c>
      <c r="C60" s="1">
        <f ca="1">IF(OFFSET(G33,$A60,0)="","",ROUND(SUM(OFFSET($F33:G33,$A60,0)),0))</f>
        <v>5913</v>
      </c>
      <c r="D60" s="1">
        <f ca="1">IF(OFFSET(H33,$A60,0)="","",ROUND(SUM(OFFSET($F33:H33,$A60,0)),0))</f>
        <v>11826</v>
      </c>
      <c r="E60" s="1">
        <f ca="1">IF(OFFSET(I33,$A60,0)="","",ROUND(SUM(OFFSET($F33:I33,$A60,0)),0))</f>
        <v>19711</v>
      </c>
      <c r="F60" s="1">
        <f ca="1">IF(OFFSET(J33,$A60,0)="","",ROUND(SUM(OFFSET($F33:J33,$A60,0)),0))</f>
        <v>29566</v>
      </c>
      <c r="G60" s="1">
        <f ca="1">IF(OFFSET(K33,$A60,0)="","",ROUND(SUM(OFFSET($F33:K33,$A60,0)),0))</f>
        <v>41393</v>
      </c>
      <c r="H60" s="1">
        <f ca="1">IF(OFFSET(L33,$A60,0)="","",ROUND(SUM(OFFSET($F33:L33,$A60,0)),0))</f>
        <v>55190</v>
      </c>
      <c r="I60" s="1">
        <f ca="1">IF(OFFSET(M33,$A60,0)="","",ROUND(SUM(OFFSET($F33:M33,$A60,0)),0))</f>
        <v>70959</v>
      </c>
      <c r="J60" s="1">
        <f ca="1">IF(OFFSET(N33,$A60,0)="","",ROUND(SUM(OFFSET($F33:N33,$A60,0)),0))</f>
        <v>88698</v>
      </c>
      <c r="K60" s="1">
        <f ca="1">IF(OFFSET(O33,$A60,0)="","",ROUND(SUM(OFFSET($F33:O33,$A60,0)),0))</f>
        <v>108409</v>
      </c>
      <c r="L60" s="1">
        <f ca="1">IF(OFFSET(P33,$A60,0)="","",ROUND(SUM(OFFSET($F33:P33,$A60,0)),0))</f>
        <v>130091</v>
      </c>
      <c r="M60" s="1">
        <f ca="1">IF(OFFSET(Q33,$A60,0)="","",ROUND(SUM(OFFSET($F33:Q33,$A60,0)),0))</f>
        <v>153744</v>
      </c>
      <c r="N60" s="1">
        <f ca="1">IF(OFFSET(R33,$A60,0)="","",ROUND(SUM(OFFSET($F33:R33,$A60,0)),0))</f>
        <v>179368</v>
      </c>
      <c r="O60" s="1">
        <f ca="1">IF(OFFSET(S33,$A60,0)="","",ROUND(SUM(OFFSET($F33:S33,$A60,0)),0))</f>
        <v>206963</v>
      </c>
      <c r="P60" s="1" t="str">
        <f ca="1">IF(OFFSET(T33,$A60,0)="","",ROUND(SUM(OFFSET($F33:T33,$A60,0)),0))</f>
        <v/>
      </c>
      <c r="Q60" s="1" t="str">
        <f ca="1">IF(OFFSET(U33,$A60,0)="","",ROUND(SUM(OFFSET($F33:U33,$A60,0)),0))</f>
        <v/>
      </c>
      <c r="R60" s="1" t="str">
        <f ca="1">IF(OFFSET(V33,$A60,0)="","",ROUND(SUM(OFFSET($F33:V33,$A60,0)),0))</f>
        <v/>
      </c>
      <c r="S60" s="1" t="str">
        <f ca="1">IF(OFFSET(W33,$A60,0)="","",ROUND(SUM(OFFSET($F33:W33,$A60,0)),0))</f>
        <v/>
      </c>
      <c r="T60" s="1" t="str">
        <f ca="1">IF(OFFSET(X33,$A60,0)="","",ROUND(SUM(OFFSET($F33:X33,$A60,0)),0))</f>
        <v/>
      </c>
      <c r="U60" s="1" t="str">
        <f ca="1">IF(OFFSET(Z33,$A60,0)="","",SUM(OFFSET($F33:Z33,$A60,0)))</f>
        <v/>
      </c>
    </row>
    <row r="61" spans="1:25" x14ac:dyDescent="0.25">
      <c r="A61" s="1">
        <v>6</v>
      </c>
      <c r="B61" s="1">
        <f ca="1">IF(OFFSET(F34,$A61,0)="","",ROUND(SUM(OFFSET($F34:F34,$A61,0)),0))</f>
        <v>2453</v>
      </c>
      <c r="C61" s="1">
        <f ca="1">IF(OFFSET(G34,$A61,0)="","",ROUND(SUM(OFFSET($F34:G34,$A61,0)),0))</f>
        <v>7359</v>
      </c>
      <c r="D61" s="1">
        <f ca="1">IF(OFFSET(H34,$A61,0)="","",ROUND(SUM(OFFSET($F34:H34,$A61,0)),0))</f>
        <v>14718</v>
      </c>
      <c r="E61" s="1">
        <f ca="1">IF(OFFSET(I34,$A61,0)="","",ROUND(SUM(OFFSET($F34:I34,$A61,0)),0))</f>
        <v>24531</v>
      </c>
      <c r="F61" s="1">
        <f ca="1">IF(OFFSET(J34,$A61,0)="","",ROUND(SUM(OFFSET($F34:J34,$A61,0)),0))</f>
        <v>36796</v>
      </c>
      <c r="G61" s="1">
        <f ca="1">IF(OFFSET(K34,$A61,0)="","",ROUND(SUM(OFFSET($F34:K34,$A61,0)),0))</f>
        <v>51515</v>
      </c>
      <c r="H61" s="1">
        <f ca="1">IF(OFFSET(L34,$A61,0)="","",ROUND(SUM(OFFSET($F34:L34,$A61,0)),0))</f>
        <v>68686</v>
      </c>
      <c r="I61" s="1">
        <f ca="1">IF(OFFSET(M34,$A61,0)="","",ROUND(SUM(OFFSET($F34:M34,$A61,0)),0))</f>
        <v>88311</v>
      </c>
      <c r="J61" s="1">
        <f ca="1">IF(OFFSET(N34,$A61,0)="","",ROUND(SUM(OFFSET($F34:N34,$A61,0)),0))</f>
        <v>110388</v>
      </c>
      <c r="K61" s="1">
        <f ca="1">IF(OFFSET(O34,$A61,0)="","",ROUND(SUM(OFFSET($F34:O34,$A61,0)),0))</f>
        <v>134919</v>
      </c>
      <c r="L61" s="1">
        <f ca="1">IF(OFFSET(P34,$A61,0)="","",ROUND(SUM(OFFSET($F34:P34,$A61,0)),0))</f>
        <v>161903</v>
      </c>
      <c r="M61" s="1">
        <f ca="1">IF(OFFSET(Q34,$A61,0)="","",ROUND(SUM(OFFSET($F34:Q34,$A61,0)),0))</f>
        <v>191340</v>
      </c>
      <c r="N61" s="1">
        <f ca="1">IF(OFFSET(R34,$A61,0)="","",ROUND(SUM(OFFSET($F34:R34,$A61,0)),0))</f>
        <v>223230</v>
      </c>
      <c r="O61" s="1">
        <f ca="1">IF(OFFSET(S34,$A61,0)="","",ROUND(SUM(OFFSET($F34:S34,$A61,0)),0))</f>
        <v>257573</v>
      </c>
      <c r="P61" s="1" t="str">
        <f ca="1">IF(OFFSET(T34,$A61,0)="","",ROUND(SUM(OFFSET($F34:T34,$A61,0)),0))</f>
        <v/>
      </c>
      <c r="Q61" s="1" t="str">
        <f ca="1">IF(OFFSET(U34,$A61,0)="","",ROUND(SUM(OFFSET($F34:U34,$A61,0)),0))</f>
        <v/>
      </c>
      <c r="R61" s="1" t="str">
        <f ca="1">IF(OFFSET(V34,$A61,0)="","",ROUND(SUM(OFFSET($F34:V34,$A61,0)),0))</f>
        <v/>
      </c>
      <c r="S61" s="1" t="str">
        <f ca="1">IF(OFFSET(W34,$A61,0)="","",ROUND(SUM(OFFSET($F34:W34,$A61,0)),0))</f>
        <v/>
      </c>
      <c r="T61" s="1" t="str">
        <f ca="1">IF(OFFSET(X34,$A61,0)="","",ROUND(SUM(OFFSET($F34:X34,$A61,0)),0))</f>
        <v/>
      </c>
      <c r="U61" s="1" t="str">
        <f ca="1">IF(OFFSET(Z34,$A61,0)="","",SUM(OFFSET($F34:Z34,$A61,0)))</f>
        <v/>
      </c>
    </row>
    <row r="62" spans="1:25" x14ac:dyDescent="0.25">
      <c r="A62" s="1">
        <v>7</v>
      </c>
      <c r="B62" s="1">
        <f ca="1">IF(OFFSET(F35,$A62,0)="","",ROUND(SUM(OFFSET($F35:F35,$A62,0)),0))</f>
        <v>2952</v>
      </c>
      <c r="C62" s="1">
        <f ca="1">IF(OFFSET(G35,$A62,0)="","",ROUND(SUM(OFFSET($F35:G35,$A62,0)),0))</f>
        <v>8855</v>
      </c>
      <c r="D62" s="1">
        <f ca="1">IF(OFFSET(H35,$A62,0)="","",ROUND(SUM(OFFSET($F35:H35,$A62,0)),0))</f>
        <v>17709</v>
      </c>
      <c r="E62" s="1">
        <f ca="1">IF(OFFSET(I35,$A62,0)="","",ROUND(SUM(OFFSET($F35:I35,$A62,0)),0))</f>
        <v>29516</v>
      </c>
      <c r="F62" s="1">
        <f ca="1">IF(OFFSET(J35,$A62,0)="","",ROUND(SUM(OFFSET($F35:J35,$A62,0)),0))</f>
        <v>44274</v>
      </c>
      <c r="G62" s="1">
        <f ca="1">IF(OFFSET(K35,$A62,0)="","",ROUND(SUM(OFFSET($F35:K35,$A62,0)),0))</f>
        <v>61983</v>
      </c>
      <c r="H62" s="1">
        <f ca="1">IF(OFFSET(L35,$A62,0)="","",ROUND(SUM(OFFSET($F35:L35,$A62,0)),0))</f>
        <v>82644</v>
      </c>
      <c r="I62" s="1">
        <f ca="1">IF(OFFSET(M35,$A62,0)="","",ROUND(SUM(OFFSET($F35:M35,$A62,0)),0))</f>
        <v>106257</v>
      </c>
      <c r="J62" s="1">
        <f ca="1">IF(OFFSET(N35,$A62,0)="","",ROUND(SUM(OFFSET($F35:N35,$A62,0)),0))</f>
        <v>132821</v>
      </c>
      <c r="K62" s="1">
        <f ca="1">IF(OFFSET(O35,$A62,0)="","",ROUND(SUM(OFFSET($F35:O35,$A62,0)),0))</f>
        <v>162336</v>
      </c>
      <c r="L62" s="1">
        <f ca="1">IF(OFFSET(P35,$A62,0)="","",ROUND(SUM(OFFSET($F35:P35,$A62,0)),0))</f>
        <v>194804</v>
      </c>
      <c r="M62" s="1">
        <f ca="1">IF(OFFSET(Q35,$A62,0)="","",ROUND(SUM(OFFSET($F35:Q35,$A62,0)),0))</f>
        <v>230223</v>
      </c>
      <c r="N62" s="1">
        <f ca="1">IF(OFFSET(R35,$A62,0)="","",ROUND(SUM(OFFSET($F35:R35,$A62,0)),0))</f>
        <v>268593</v>
      </c>
      <c r="O62" s="1">
        <f ca="1">IF(OFFSET(S35,$A62,0)="","",ROUND(SUM(OFFSET($F35:S35,$A62,0)),0))</f>
        <v>309915</v>
      </c>
      <c r="P62" s="1" t="str">
        <f ca="1">IF(OFFSET(T35,$A62,0)="","",ROUND(SUM(OFFSET($F35:T35,$A62,0)),0))</f>
        <v/>
      </c>
      <c r="Q62" s="1" t="str">
        <f ca="1">IF(OFFSET(U35,$A62,0)="","",ROUND(SUM(OFFSET($F35:U35,$A62,0)),0))</f>
        <v/>
      </c>
      <c r="R62" s="1" t="str">
        <f ca="1">IF(OFFSET(V35,$A62,0)="","",ROUND(SUM(OFFSET($F35:V35,$A62,0)),0))</f>
        <v/>
      </c>
      <c r="S62" s="1" t="str">
        <f ca="1">IF(OFFSET(W35,$A62,0)="","",ROUND(SUM(OFFSET($F35:W35,$A62,0)),0))</f>
        <v/>
      </c>
      <c r="T62" s="1" t="str">
        <f ca="1">IF(OFFSET(X35,$A62,0)="","",ROUND(SUM(OFFSET($F35:X35,$A62,0)),0))</f>
        <v/>
      </c>
      <c r="U62" s="1" t="str">
        <f ca="1">IF(OFFSET(Z35,$A62,0)="","",SUM(OFFSET($F35:Z35,$A62,0)))</f>
        <v/>
      </c>
    </row>
    <row r="63" spans="1:25" x14ac:dyDescent="0.25">
      <c r="A63" s="1">
        <v>8</v>
      </c>
      <c r="B63" s="1">
        <f ca="1">IF(OFFSET(F36,$A63,0)="","",ROUND(SUM(OFFSET($F36:F36,$A63,0)),0))</f>
        <v>2553</v>
      </c>
      <c r="C63" s="1">
        <f ca="1">IF(OFFSET(G36,$A63,0)="","",ROUND(SUM(OFFSET($F36:G36,$A63,0)),0))</f>
        <v>7658</v>
      </c>
      <c r="D63" s="1">
        <f ca="1">IF(OFFSET(H36,$A63,0)="","",ROUND(SUM(OFFSET($F36:H36,$A63,0)),0))</f>
        <v>15317</v>
      </c>
      <c r="E63" s="1">
        <f ca="1">IF(OFFSET(I36,$A63,0)="","",ROUND(SUM(OFFSET($F36:I36,$A63,0)),0))</f>
        <v>25528</v>
      </c>
      <c r="F63" s="1">
        <f ca="1">IF(OFFSET(J36,$A63,0)="","",ROUND(SUM(OFFSET($F36:J36,$A63,0)),0))</f>
        <v>38292</v>
      </c>
      <c r="G63" s="1">
        <f ca="1">IF(OFFSET(K36,$A63,0)="","",ROUND(SUM(OFFSET($F36:K36,$A63,0)),0))</f>
        <v>53609</v>
      </c>
      <c r="H63" s="1">
        <f ca="1">IF(OFFSET(L36,$A63,0)="","",ROUND(SUM(OFFSET($F36:L36,$A63,0)),0))</f>
        <v>71478</v>
      </c>
      <c r="I63" s="1">
        <f ca="1">IF(OFFSET(M36,$A63,0)="","",ROUND(SUM(OFFSET($F36:M36,$A63,0)),0))</f>
        <v>91900</v>
      </c>
      <c r="J63" s="1">
        <f ca="1">IF(OFFSET(N36,$A63,0)="","",ROUND(SUM(OFFSET($F36:N36,$A63,0)),0))</f>
        <v>114876</v>
      </c>
      <c r="K63" s="1">
        <f ca="1">IF(OFFSET(O36,$A63,0)="","",ROUND(SUM(OFFSET($F36:O36,$A63,0)),0))</f>
        <v>140403</v>
      </c>
      <c r="L63" s="1">
        <f ca="1">IF(OFFSET(P36,$A63,0)="","",ROUND(SUM(OFFSET($F36:P36,$A63,0)),0))</f>
        <v>168484</v>
      </c>
      <c r="M63" s="1">
        <f ca="1">IF(OFFSET(Q36,$A63,0)="","",ROUND(SUM(OFFSET($F36:Q36,$A63,0)),0))</f>
        <v>199118</v>
      </c>
      <c r="N63" s="1">
        <f ca="1">IF(OFFSET(R36,$A63,0)="","",ROUND(SUM(OFFSET($F36:R36,$A63,0)),0))</f>
        <v>232304</v>
      </c>
      <c r="O63" s="1">
        <f ca="1">IF(OFFSET(S36,$A63,0)="","",ROUND(SUM(OFFSET($F36:S36,$A63,0)),0))</f>
        <v>268043</v>
      </c>
      <c r="P63" s="1">
        <f ca="1">IF(OFFSET(T36,$A63,0)="","",ROUND(SUM(OFFSET($F36:T36,$A63,0)),0))</f>
        <v>306335</v>
      </c>
      <c r="Q63" s="1">
        <f ca="1">IF(OFFSET(U36,$A63,0)="","",ROUND(SUM(OFFSET($F36:U36,$A63,0)),0))</f>
        <v>347179</v>
      </c>
      <c r="R63" s="1">
        <f ca="1">IF(OFFSET(V36,$A63,0)="","",ROUND(SUM(OFFSET($F36:V36,$A63,0)),0))</f>
        <v>390577</v>
      </c>
      <c r="S63" s="1">
        <f ca="1">IF(OFFSET(W36,$A63,0)="","",ROUND(SUM(OFFSET($F36:W36,$A63,0)),0))</f>
        <v>436527</v>
      </c>
      <c r="T63" s="1">
        <f ca="1">IF(OFFSET(X36,$A63,0)="","",ROUND(SUM(OFFSET($F36:X36,$A63,0)),0))</f>
        <v>485030</v>
      </c>
      <c r="U63" s="1" t="str">
        <f ca="1">IF(OFFSET(Z36,$A63,0)="","",SUM(OFFSET($F36:Z36,$A63,0)))</f>
        <v/>
      </c>
    </row>
    <row r="64" spans="1:25" x14ac:dyDescent="0.25">
      <c r="A64" s="1">
        <v>9</v>
      </c>
      <c r="B64" s="1">
        <f ca="1">IF(OFFSET(F37,$A64,0)="","",ROUND(SUM(OFFSET($F37:F37,$A64,0)),0))</f>
        <v>2940</v>
      </c>
      <c r="C64" s="1">
        <f ca="1">IF(OFFSET(G37,$A64,0)="","",ROUND(SUM(OFFSET($F37:G37,$A64,0)),0))</f>
        <v>8821</v>
      </c>
      <c r="D64" s="1">
        <f ca="1">IF(OFFSET(H37,$A64,0)="","",ROUND(SUM(OFFSET($F37:H37,$A64,0)),0))</f>
        <v>17642</v>
      </c>
      <c r="E64" s="1">
        <f ca="1">IF(OFFSET(I37,$A64,0)="","",ROUND(SUM(OFFSET($F37:I37,$A64,0)),0))</f>
        <v>29403</v>
      </c>
      <c r="F64" s="1">
        <f ca="1">IF(OFFSET(J37,$A64,0)="","",ROUND(SUM(OFFSET($F37:J37,$A64,0)),0))</f>
        <v>44105</v>
      </c>
      <c r="G64" s="1">
        <f ca="1">IF(OFFSET(K37,$A64,0)="","",ROUND(SUM(OFFSET($F37:K37,$A64,0)),0))</f>
        <v>61747</v>
      </c>
      <c r="H64" s="1">
        <f ca="1">IF(OFFSET(L37,$A64,0)="","",ROUND(SUM(OFFSET($F37:L37,$A64,0)),0))</f>
        <v>82329</v>
      </c>
      <c r="I64" s="1">
        <f ca="1">IF(OFFSET(M37,$A64,0)="","",ROUND(SUM(OFFSET($F37:M37,$A64,0)),0))</f>
        <v>105851</v>
      </c>
      <c r="J64" s="1">
        <f ca="1">IF(OFFSET(N37,$A64,0)="","",ROUND(SUM(OFFSET($F37:N37,$A64,0)),0))</f>
        <v>132314</v>
      </c>
      <c r="K64" s="1">
        <f ca="1">IF(OFFSET(O37,$A64,0)="","",ROUND(SUM(OFFSET($F37:O37,$A64,0)),0))</f>
        <v>161717</v>
      </c>
      <c r="L64" s="1">
        <f ca="1">IF(OFFSET(P37,$A64,0)="","",ROUND(SUM(OFFSET($F37:P37,$A64,0)),0))</f>
        <v>194061</v>
      </c>
      <c r="M64" s="1">
        <f ca="1">IF(OFFSET(Q37,$A64,0)="","",ROUND(SUM(OFFSET($F37:Q37,$A64,0)),0))</f>
        <v>229345</v>
      </c>
      <c r="N64" s="1">
        <f ca="1">IF(OFFSET(R37,$A64,0)="","",ROUND(SUM(OFFSET($F37:R37,$A64,0)),0))</f>
        <v>267569</v>
      </c>
      <c r="O64" s="1">
        <f ca="1">IF(OFFSET(S37,$A64,0)="","",ROUND(SUM(OFFSET($F37:S37,$A64,0)),0))</f>
        <v>308733</v>
      </c>
      <c r="P64" s="1">
        <f ca="1">IF(OFFSET(T37,$A64,0)="","",ROUND(SUM(OFFSET($F37:T37,$A64,0)),0))</f>
        <v>352838</v>
      </c>
      <c r="Q64" s="1">
        <f ca="1">IF(OFFSET(U37,$A64,0)="","",ROUND(SUM(OFFSET($F37:U37,$A64,0)),0))</f>
        <v>399883</v>
      </c>
      <c r="R64" s="1">
        <f ca="1">IF(OFFSET(V37,$A64,0)="","",ROUND(SUM(OFFSET($F37:V37,$A64,0)),0))</f>
        <v>449868</v>
      </c>
      <c r="S64" s="1">
        <f ca="1">IF(OFFSET(W37,$A64,0)="","",ROUND(SUM(OFFSET($F37:W37,$A64,0)),0))</f>
        <v>502794</v>
      </c>
      <c r="T64" s="1">
        <f ca="1">IF(OFFSET(X37,$A64,0)="","",ROUND(SUM(OFFSET($F37:X37,$A64,0)),0))</f>
        <v>558660</v>
      </c>
      <c r="U64" s="1" t="str">
        <f ca="1">IF(OFFSET(Z37,$A64,0)="","",SUM(OFFSET($F37:Z37,$A64,0)))</f>
        <v/>
      </c>
    </row>
    <row r="65" spans="1:21" x14ac:dyDescent="0.25">
      <c r="A65" s="1">
        <v>10</v>
      </c>
      <c r="B65" s="1">
        <f ca="1">IF(OFFSET(F38,$A65,0)="","",ROUND(SUM(OFFSET($F38:F38,$A65,0)),0))</f>
        <v>3337</v>
      </c>
      <c r="C65" s="1">
        <f ca="1">IF(OFFSET(G38,$A65,0)="","",ROUND(SUM(OFFSET($F38:G38,$A65,0)),0))</f>
        <v>10010</v>
      </c>
      <c r="D65" s="1">
        <f ca="1">IF(OFFSET(H38,$A65,0)="","",ROUND(SUM(OFFSET($F38:H38,$A65,0)),0))</f>
        <v>20020</v>
      </c>
      <c r="E65" s="1">
        <f ca="1">IF(OFFSET(I38,$A65,0)="","",ROUND(SUM(OFFSET($F38:I38,$A65,0)),0))</f>
        <v>33366</v>
      </c>
      <c r="F65" s="1">
        <f ca="1">IF(OFFSET(J38,$A65,0)="","",ROUND(SUM(OFFSET($F38:J38,$A65,0)),0))</f>
        <v>50049</v>
      </c>
      <c r="G65" s="1">
        <f ca="1">IF(OFFSET(K38,$A65,0)="","",ROUND(SUM(OFFSET($F38:K38,$A65,0)),0))</f>
        <v>70069</v>
      </c>
      <c r="H65" s="1">
        <f ca="1">IF(OFFSET(L38,$A65,0)="","",ROUND(SUM(OFFSET($F38:L38,$A65,0)),0))</f>
        <v>93426</v>
      </c>
      <c r="I65" s="1">
        <f ca="1">IF(OFFSET(M38,$A65,0)="","",ROUND(SUM(OFFSET($F38:M38,$A65,0)),0))</f>
        <v>120119</v>
      </c>
      <c r="J65" s="1">
        <f ca="1">IF(OFFSET(N38,$A65,0)="","",ROUND(SUM(OFFSET($F38:N38,$A65,0)),0))</f>
        <v>150148</v>
      </c>
      <c r="K65" s="1">
        <f ca="1">IF(OFFSET(O38,$A65,0)="","",ROUND(SUM(OFFSET($F38:O38,$A65,0)),0))</f>
        <v>183515</v>
      </c>
      <c r="L65" s="1">
        <f ca="1">IF(OFFSET(P38,$A65,0)="","",ROUND(SUM(OFFSET($F38:P38,$A65,0)),0))</f>
        <v>220218</v>
      </c>
      <c r="M65" s="1">
        <f ca="1">IF(OFFSET(Q38,$A65,0)="","",ROUND(SUM(OFFSET($F38:Q38,$A65,0)),0))</f>
        <v>260257</v>
      </c>
      <c r="N65" s="1">
        <f ca="1">IF(OFFSET(R38,$A65,0)="","",ROUND(SUM(OFFSET($F38:R38,$A65,0)),0))</f>
        <v>303633</v>
      </c>
      <c r="O65" s="1">
        <f ca="1">IF(OFFSET(S38,$A65,0)="","",ROUND(SUM(OFFSET($F38:S38,$A65,0)),0))</f>
        <v>350346</v>
      </c>
      <c r="P65" s="1">
        <f ca="1">IF(OFFSET(T38,$A65,0)="","",ROUND(SUM(OFFSET($F38:T38,$A65,0)),0))</f>
        <v>400396</v>
      </c>
      <c r="Q65" s="1">
        <f ca="1">IF(OFFSET(U38,$A65,0)="","",ROUND(SUM(OFFSET($F38:U38,$A65,0)),0))</f>
        <v>453782</v>
      </c>
      <c r="R65" s="1">
        <f ca="1">IF(OFFSET(V38,$A65,0)="","",ROUND(SUM(OFFSET($F38:V38,$A65,0)),0))</f>
        <v>510505</v>
      </c>
      <c r="S65" s="1">
        <f ca="1">IF(OFFSET(W38,$A65,0)="","",ROUND(SUM(OFFSET($F38:W38,$A65,0)),0))</f>
        <v>570564</v>
      </c>
      <c r="T65" s="1">
        <f ca="1">IF(OFFSET(X38,$A65,0)="","",ROUND(SUM(OFFSET($F38:X38,$A65,0)),0))</f>
        <v>633960</v>
      </c>
      <c r="U65" s="1" t="str">
        <f ca="1">IF(OFFSET(Z38,$A65,0)="","",SUM(OFFSET($F38:Z38,$A65,0)))</f>
        <v/>
      </c>
    </row>
    <row r="66" spans="1:21" x14ac:dyDescent="0.25">
      <c r="A66" s="1">
        <v>11</v>
      </c>
      <c r="B66" s="22">
        <f ca="1">IF(OFFSET(F39,$A66,0)="","",ROUND(SUM(OFFSET($F39:F39,$A66,0)),0))</f>
        <v>3741</v>
      </c>
      <c r="C66" s="1">
        <f ca="1">IF(OFFSET(G39,$A66,0)="","",ROUND(SUM(OFFSET($F39:G39,$A66,0)),0))</f>
        <v>11223</v>
      </c>
      <c r="D66" s="1">
        <f ca="1">IF(OFFSET(H39,$A66,0)="","",ROUND(SUM(OFFSET($F39:H39,$A66,0)),0))</f>
        <v>22445</v>
      </c>
      <c r="E66" s="1">
        <f ca="1">IF(OFFSET(I39,$A66,0)="","",ROUND(SUM(OFFSET($F39:I39,$A66,0)),0))</f>
        <v>37409</v>
      </c>
      <c r="F66" s="1">
        <f ca="1">IF(OFFSET(J39,$A66,0)="","",ROUND(SUM(OFFSET($F39:J39,$A66,0)),0))</f>
        <v>56113</v>
      </c>
      <c r="G66" s="1">
        <f ca="1">IF(OFFSET(K39,$A66,0)="","",ROUND(SUM(OFFSET($F39:K39,$A66,0)),0))</f>
        <v>78559</v>
      </c>
      <c r="H66" s="1">
        <f ca="1">IF(OFFSET(L39,$A66,0)="","",ROUND(SUM(OFFSET($F39:L39,$A66,0)),0))</f>
        <v>104745</v>
      </c>
      <c r="I66" s="1">
        <f ca="1">IF(OFFSET(M39,$A66,0)="","",ROUND(SUM(OFFSET($F39:M39,$A66,0)),0))</f>
        <v>134672</v>
      </c>
      <c r="J66" s="1">
        <f ca="1">IF(OFFSET(N39,$A66,0)="","",ROUND(SUM(OFFSET($F39:N39,$A66,0)),0))</f>
        <v>168340</v>
      </c>
      <c r="K66" s="1">
        <f ca="1">IF(OFFSET(O39,$A66,0)="","",ROUND(SUM(OFFSET($F39:O39,$A66,0)),0))</f>
        <v>205749</v>
      </c>
      <c r="L66" s="1">
        <f ca="1">IF(OFFSET(P39,$A66,0)="","",ROUND(SUM(OFFSET($F39:P39,$A66,0)),0))</f>
        <v>246899</v>
      </c>
      <c r="M66" s="1">
        <f ca="1">IF(OFFSET(Q39,$A66,0)="","",ROUND(SUM(OFFSET($F39:Q39,$A66,0)),0))</f>
        <v>291790</v>
      </c>
      <c r="N66" s="1">
        <f ca="1">IF(OFFSET(R39,$A66,0)="","",ROUND(SUM(OFFSET($F39:R39,$A66,0)),0))</f>
        <v>340421</v>
      </c>
      <c r="O66" s="1">
        <f ca="1">IF(OFFSET(S39,$A66,0)="","",ROUND(SUM(OFFSET($F39:S39,$A66,0)),0))</f>
        <v>392794</v>
      </c>
      <c r="P66" s="1">
        <f ca="1">IF(OFFSET(T39,$A66,0)="","",ROUND(SUM(OFFSET($F39:T39,$A66,0)),0))</f>
        <v>448907</v>
      </c>
      <c r="Q66" s="1">
        <f ca="1">IF(OFFSET(U39,$A66,0)="","",ROUND(SUM(OFFSET($F39:U39,$A66,0)),0))</f>
        <v>508762</v>
      </c>
      <c r="R66" s="1">
        <f ca="1">IF(OFFSET(V39,$A66,0)="","",ROUND(SUM(OFFSET($F39:V39,$A66,0)),0))</f>
        <v>572357</v>
      </c>
      <c r="S66" s="1">
        <f ca="1">IF(OFFSET(W39,$A66,0)="","",ROUND(SUM(OFFSET($F39:W39,$A66,0)),0))</f>
        <v>639693</v>
      </c>
      <c r="T66" s="1">
        <f ca="1">IF(OFFSET(X39,$A66,0)="","",ROUND(SUM(OFFSET($F39:X39,$A66,0)),0))</f>
        <v>710770</v>
      </c>
      <c r="U66" s="1"/>
    </row>
    <row r="67" spans="1:21" x14ac:dyDescent="0.25">
      <c r="A67" s="1">
        <v>12</v>
      </c>
      <c r="B67" s="22">
        <f ca="1">IF(OFFSET(F40,$A67,0)="","",ROUND(SUM(OFFSET($F40:F40,$A67,0)),0))</f>
        <v>4153</v>
      </c>
      <c r="C67" s="1">
        <f ca="1">IF(OFFSET(G40,$A67,0)="","",ROUND(SUM(OFFSET($F40:G40,$A67,0)),0))</f>
        <v>12458</v>
      </c>
      <c r="D67" s="1">
        <f ca="1">IF(OFFSET(H40,$A67,0)="","",ROUND(SUM(OFFSET($F40:H40,$A67,0)),0))</f>
        <v>24916</v>
      </c>
      <c r="E67" s="1">
        <f ca="1">IF(OFFSET(I40,$A67,0)="","",ROUND(SUM(OFFSET($F40:I40,$A67,0)),0))</f>
        <v>41526</v>
      </c>
      <c r="F67" s="1">
        <f ca="1">IF(OFFSET(J40,$A67,0)="","",ROUND(SUM(OFFSET($F40:J40,$A67,0)),0))</f>
        <v>62289</v>
      </c>
      <c r="G67" s="1">
        <f ca="1">IF(OFFSET(K40,$A67,0)="","",ROUND(SUM(OFFSET($F40:K40,$A67,0)),0))</f>
        <v>87205</v>
      </c>
      <c r="H67" s="1">
        <f ca="1">IF(OFFSET(L40,$A67,0)="","",ROUND(SUM(OFFSET($F40:L40,$A67,0)),0))</f>
        <v>116274</v>
      </c>
      <c r="I67" s="1">
        <f ca="1">IF(OFFSET(M40,$A67,0)="","",ROUND(SUM(OFFSET($F40:M40,$A67,0)),0))</f>
        <v>149495</v>
      </c>
      <c r="J67" s="1">
        <f ca="1">IF(OFFSET(N40,$A67,0)="","",ROUND(SUM(OFFSET($F40:N40,$A67,0)),0))</f>
        <v>186868</v>
      </c>
      <c r="K67" s="1">
        <f ca="1">IF(OFFSET(O40,$A67,0)="","",ROUND(SUM(OFFSET($F40:O40,$A67,0)),0))</f>
        <v>228395</v>
      </c>
      <c r="L67" s="1">
        <f ca="1">IF(OFFSET(P40,$A67,0)="","",ROUND(SUM(OFFSET($F40:P40,$A67,0)),0))</f>
        <v>274074</v>
      </c>
      <c r="M67" s="1">
        <f ca="1">IF(OFFSET(Q40,$A67,0)="","",ROUND(SUM(OFFSET($F40:Q40,$A67,0)),0))</f>
        <v>323905</v>
      </c>
      <c r="N67" s="1">
        <f ca="1">IF(OFFSET(R40,$A67,0)="","",ROUND(SUM(OFFSET($F40:R40,$A67,0)),0))</f>
        <v>377889</v>
      </c>
      <c r="O67" s="1">
        <f ca="1">IF(OFFSET(S40,$A67,0)="","",ROUND(SUM(OFFSET($F40:S40,$A67,0)),0))</f>
        <v>436026</v>
      </c>
      <c r="P67" s="1">
        <f ca="1">IF(OFFSET(T40,$A67,0)="","",ROUND(SUM(OFFSET($F40:T40,$A67,0)),0))</f>
        <v>498316</v>
      </c>
      <c r="Q67" s="1">
        <f ca="1">IF(OFFSET(U40,$A67,0)="","",ROUND(SUM(OFFSET($F40:U40,$A67,0)),0))</f>
        <v>564758</v>
      </c>
      <c r="R67" s="1">
        <f ca="1">IF(OFFSET(V40,$A67,0)="","",ROUND(SUM(OFFSET($F40:V40,$A67,0)),0))</f>
        <v>635353</v>
      </c>
      <c r="S67" s="1">
        <f ca="1">IF(OFFSET(W40,$A67,0)="","",ROUND(SUM(OFFSET($F40:W40,$A67,0)),0))</f>
        <v>710100</v>
      </c>
      <c r="T67" s="1">
        <f ca="1">IF(OFFSET(X40,$A67,0)="","",ROUND(SUM(OFFSET($F40:X40,$A67,0)),0))</f>
        <v>789000</v>
      </c>
      <c r="U67" s="1"/>
    </row>
    <row r="68" spans="1:21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</row>
    <row r="69" spans="1:21" ht="18.75" x14ac:dyDescent="0.3">
      <c r="A69" s="151" t="s">
        <v>369</v>
      </c>
      <c r="B69" s="151"/>
    </row>
    <row r="70" spans="1:21" x14ac:dyDescent="0.25">
      <c r="A70" s="12" t="s">
        <v>16</v>
      </c>
      <c r="B70" s="12" t="s">
        <v>456</v>
      </c>
      <c r="C70" s="12" t="s">
        <v>366</v>
      </c>
    </row>
    <row r="71" spans="1:21" x14ac:dyDescent="0.25">
      <c r="A71" s="1">
        <v>1</v>
      </c>
      <c r="B71" s="85">
        <f>ROUND(AVERAGE(D11:D11),0)</f>
        <v>1100</v>
      </c>
      <c r="C71" s="85">
        <f ca="1">MAX(B56:T56)/Table74[[#This Row],[AVG_XP/min]]</f>
        <v>14.545454545454545</v>
      </c>
    </row>
    <row r="72" spans="1:21" x14ac:dyDescent="0.25">
      <c r="A72" s="1">
        <v>2</v>
      </c>
      <c r="B72" s="85">
        <f t="shared" ref="B72:B79" si="25">ROUND(AVERAGE(D12:D12),0)</f>
        <v>2200</v>
      </c>
      <c r="C72" s="85">
        <f ca="1">MAX(B57:T57)/Table74[[#This Row],[AVG_XP/min]]</f>
        <v>20.886363636363637</v>
      </c>
    </row>
    <row r="73" spans="1:21" x14ac:dyDescent="0.25">
      <c r="A73" s="1">
        <v>3</v>
      </c>
      <c r="B73" s="85">
        <f t="shared" si="25"/>
        <v>2700</v>
      </c>
      <c r="C73" s="85">
        <f ca="1">MAX(B58:T58)/Table74[[#This Row],[AVG_XP/min]]</f>
        <v>27.683333333333334</v>
      </c>
    </row>
    <row r="74" spans="1:21" x14ac:dyDescent="0.25">
      <c r="A74" s="1">
        <v>4</v>
      </c>
      <c r="B74" s="85">
        <f t="shared" si="25"/>
        <v>3200</v>
      </c>
      <c r="C74" s="85">
        <f ca="1">MAX(B59:T59)/Table74[[#This Row],[AVG_XP/min]]</f>
        <v>32.987499999999997</v>
      </c>
    </row>
    <row r="75" spans="1:21" x14ac:dyDescent="0.25">
      <c r="A75" s="1">
        <v>5</v>
      </c>
      <c r="B75" s="85">
        <f t="shared" si="25"/>
        <v>4000</v>
      </c>
      <c r="C75" s="85">
        <f ca="1">MAX(B60:T60)/Table74[[#This Row],[AVG_XP/min]]</f>
        <v>51.740749999999998</v>
      </c>
    </row>
    <row r="76" spans="1:21" x14ac:dyDescent="0.25">
      <c r="A76" s="1">
        <v>6</v>
      </c>
      <c r="B76" s="85">
        <f t="shared" si="25"/>
        <v>5200</v>
      </c>
      <c r="C76" s="85">
        <f ca="1">MAX(B61:T61)/Table74[[#This Row],[AVG_XP/min]]</f>
        <v>49.533269230769228</v>
      </c>
    </row>
    <row r="77" spans="1:21" x14ac:dyDescent="0.25">
      <c r="A77" s="1">
        <v>7</v>
      </c>
      <c r="B77" s="85">
        <f t="shared" si="25"/>
        <v>6000</v>
      </c>
      <c r="C77" s="85">
        <f ca="1">MAX(B62:T62)/Table74[[#This Row],[AVG_XP/min]]</f>
        <v>51.652500000000003</v>
      </c>
    </row>
    <row r="78" spans="1:21" x14ac:dyDescent="0.25">
      <c r="A78" s="1">
        <v>8</v>
      </c>
      <c r="B78" s="85">
        <f t="shared" si="25"/>
        <v>8000</v>
      </c>
      <c r="C78" s="85">
        <f ca="1">MAX(B63:T63)/Table74[[#This Row],[AVG_XP/min]]</f>
        <v>60.628749999999997</v>
      </c>
    </row>
    <row r="79" spans="1:21" x14ac:dyDescent="0.25">
      <c r="A79" s="1">
        <v>9</v>
      </c>
      <c r="B79" s="85">
        <f t="shared" si="25"/>
        <v>8000</v>
      </c>
      <c r="C79" s="85">
        <f ca="1">MAX(B64:T64)/Table74[[#This Row],[AVG_XP/min]]</f>
        <v>69.832499999999996</v>
      </c>
    </row>
    <row r="80" spans="1:21" x14ac:dyDescent="0.25">
      <c r="A80" s="1">
        <v>10</v>
      </c>
      <c r="B80" s="85">
        <f>ROUND(AVERAGE(D20:D20),0)</f>
        <v>10000</v>
      </c>
      <c r="C80" s="85">
        <f ca="1">MAX(B65:T65)/Table74[[#This Row],[AVG_XP/min]]</f>
        <v>63.396000000000001</v>
      </c>
    </row>
    <row r="81" spans="1:3" x14ac:dyDescent="0.25">
      <c r="A81" s="1">
        <v>11</v>
      </c>
      <c r="B81" s="85">
        <f>ROUND(AVERAGE(D21:D21),0)</f>
        <v>10000</v>
      </c>
      <c r="C81" s="85">
        <f ca="1">MAX(B66:T66)/Table74[[#This Row],[AVG_XP/min]]</f>
        <v>71.076999999999998</v>
      </c>
    </row>
    <row r="82" spans="1:3" x14ac:dyDescent="0.25">
      <c r="A82" s="1">
        <v>12</v>
      </c>
      <c r="B82" s="85">
        <f>ROUND(AVERAGE(D22:D22),0)</f>
        <v>10000</v>
      </c>
      <c r="C82" s="85">
        <f ca="1">MAX(B67:T67)/Table74[[#This Row],[AVG_XP/min]]</f>
        <v>78.900000000000006</v>
      </c>
    </row>
    <row r="84" spans="1:3" x14ac:dyDescent="0.25">
      <c r="B84" s="12" t="s">
        <v>457</v>
      </c>
      <c r="C84" s="177">
        <f ca="1">SUM(Table74[AVG_TIME_TO_MAX_LEVEL])</f>
        <v>592.86342074592073</v>
      </c>
    </row>
  </sheetData>
  <conditionalFormatting sqref="F29:Y5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ignoredErrors>
    <ignoredError sqref="F29:Y29 V51:X51" formulaRange="1"/>
    <ignoredError sqref="F31:Y31 F33:Y33 F41:Y41 F43:Y43 F45:Y45 F47:Y47 F39:Y39 F35:Y35 F37:Y37 F49 G49:Y49 F51:U51 Y51" formula="1" formulaRange="1"/>
    <ignoredError sqref="F30:L30 F32:Y32 F34:Y34 F40:Y40 F48:Y48 F46:Y46 F44:Y44 F42:Y42 F38:Y38 F36:Y36 M30:Y30 F50:U50 V50:X50 Y50" formula="1"/>
  </ignoredErrors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>
    <tabColor rgb="FF92D050"/>
  </sheetPr>
  <dimension ref="A1:C188"/>
  <sheetViews>
    <sheetView workbookViewId="0">
      <selection activeCell="F168" sqref="F168"/>
    </sheetView>
  </sheetViews>
  <sheetFormatPr defaultRowHeight="15" x14ac:dyDescent="0.25"/>
  <cols>
    <col min="1" max="1" width="24.28515625" bestFit="1" customWidth="1"/>
    <col min="2" max="2" width="14.140625" bestFit="1" customWidth="1"/>
    <col min="3" max="3" width="10.28515625" bestFit="1" customWidth="1"/>
  </cols>
  <sheetData>
    <row r="1" spans="1:3" ht="18.75" x14ac:dyDescent="0.3">
      <c r="A1" s="110" t="s">
        <v>192</v>
      </c>
      <c r="B1" s="135"/>
      <c r="C1" s="135"/>
    </row>
    <row r="2" spans="1:3" x14ac:dyDescent="0.25">
      <c r="A2" s="2"/>
      <c r="B2" s="2"/>
      <c r="C2" s="2"/>
    </row>
    <row r="3" spans="1:3" x14ac:dyDescent="0.25">
      <c r="A3" s="2"/>
      <c r="B3" s="2"/>
      <c r="C3" s="2"/>
    </row>
    <row r="4" spans="1:3" x14ac:dyDescent="0.25">
      <c r="A4" s="2"/>
      <c r="B4" s="2"/>
      <c r="C4" s="2"/>
    </row>
    <row r="5" spans="1:3" x14ac:dyDescent="0.25">
      <c r="A5" s="2"/>
      <c r="B5" s="2"/>
      <c r="C5" s="2"/>
    </row>
    <row r="8" spans="1:3" x14ac:dyDescent="0.25">
      <c r="A8" s="1" t="s">
        <v>190</v>
      </c>
      <c r="B8" s="1" t="s">
        <v>16</v>
      </c>
      <c r="C8" s="1" t="s">
        <v>106</v>
      </c>
    </row>
    <row r="9" spans="1:3" x14ac:dyDescent="0.25">
      <c r="A9" s="1">
        <v>1</v>
      </c>
      <c r="B9" s="1">
        <v>1</v>
      </c>
      <c r="C9" s="1">
        <v>1</v>
      </c>
    </row>
    <row r="10" spans="1:3" x14ac:dyDescent="0.25">
      <c r="A10" s="1">
        <v>2</v>
      </c>
      <c r="B10" s="1">
        <v>1</v>
      </c>
      <c r="C10" s="1">
        <v>2</v>
      </c>
    </row>
    <row r="11" spans="1:3" x14ac:dyDescent="0.25">
      <c r="A11" s="1">
        <v>3</v>
      </c>
      <c r="B11" s="1">
        <v>1</v>
      </c>
      <c r="C11" s="1">
        <v>3</v>
      </c>
    </row>
    <row r="12" spans="1:3" x14ac:dyDescent="0.25">
      <c r="A12" s="1">
        <v>4</v>
      </c>
      <c r="B12" s="1">
        <v>1</v>
      </c>
      <c r="C12" s="1">
        <v>4</v>
      </c>
    </row>
    <row r="13" spans="1:3" x14ac:dyDescent="0.25">
      <c r="A13" s="1">
        <v>5</v>
      </c>
      <c r="B13" s="1">
        <v>1</v>
      </c>
      <c r="C13" s="1">
        <v>5</v>
      </c>
    </row>
    <row r="14" spans="1:3" x14ac:dyDescent="0.25">
      <c r="A14" s="1">
        <v>6</v>
      </c>
      <c r="B14" s="1">
        <v>2</v>
      </c>
      <c r="C14" s="1">
        <v>1</v>
      </c>
    </row>
    <row r="15" spans="1:3" x14ac:dyDescent="0.25">
      <c r="A15" s="1">
        <v>7</v>
      </c>
      <c r="B15" s="1">
        <v>2</v>
      </c>
      <c r="C15" s="1">
        <v>2</v>
      </c>
    </row>
    <row r="16" spans="1:3" x14ac:dyDescent="0.25">
      <c r="A16" s="1">
        <v>8</v>
      </c>
      <c r="B16" s="1">
        <v>2</v>
      </c>
      <c r="C16" s="1">
        <v>3</v>
      </c>
    </row>
    <row r="17" spans="1:3" x14ac:dyDescent="0.25">
      <c r="A17" s="1">
        <v>9</v>
      </c>
      <c r="B17" s="1">
        <v>2</v>
      </c>
      <c r="C17" s="1">
        <v>4</v>
      </c>
    </row>
    <row r="18" spans="1:3" x14ac:dyDescent="0.25">
      <c r="A18" s="1">
        <v>10</v>
      </c>
      <c r="B18" s="1">
        <v>2</v>
      </c>
      <c r="C18" s="1">
        <v>5</v>
      </c>
    </row>
    <row r="19" spans="1:3" x14ac:dyDescent="0.25">
      <c r="A19" s="1">
        <v>11</v>
      </c>
      <c r="B19" s="1">
        <v>2</v>
      </c>
      <c r="C19" s="1">
        <v>6</v>
      </c>
    </row>
    <row r="20" spans="1:3" x14ac:dyDescent="0.25">
      <c r="A20" s="1">
        <v>12</v>
      </c>
      <c r="B20" s="1">
        <v>2</v>
      </c>
      <c r="C20" s="1">
        <v>7</v>
      </c>
    </row>
    <row r="21" spans="1:3" x14ac:dyDescent="0.25">
      <c r="A21" s="1">
        <v>13</v>
      </c>
      <c r="B21" s="1">
        <v>2</v>
      </c>
      <c r="C21" s="1">
        <v>8</v>
      </c>
    </row>
    <row r="22" spans="1:3" x14ac:dyDescent="0.25">
      <c r="A22" s="1">
        <v>14</v>
      </c>
      <c r="B22" s="1">
        <v>2</v>
      </c>
      <c r="C22" s="1">
        <v>9</v>
      </c>
    </row>
    <row r="23" spans="1:3" x14ac:dyDescent="0.25">
      <c r="A23" s="1">
        <v>15</v>
      </c>
      <c r="B23" s="1">
        <v>2</v>
      </c>
      <c r="C23" s="1">
        <v>10</v>
      </c>
    </row>
    <row r="24" spans="1:3" x14ac:dyDescent="0.25">
      <c r="A24" s="1">
        <v>16</v>
      </c>
      <c r="B24" s="1">
        <v>3</v>
      </c>
      <c r="C24" s="1">
        <v>1</v>
      </c>
    </row>
    <row r="25" spans="1:3" x14ac:dyDescent="0.25">
      <c r="A25" s="1">
        <v>17</v>
      </c>
      <c r="B25" s="1">
        <v>3</v>
      </c>
      <c r="C25" s="1">
        <v>2</v>
      </c>
    </row>
    <row r="26" spans="1:3" x14ac:dyDescent="0.25">
      <c r="A26" s="1">
        <v>18</v>
      </c>
      <c r="B26" s="1">
        <v>3</v>
      </c>
      <c r="C26" s="1">
        <v>3</v>
      </c>
    </row>
    <row r="27" spans="1:3" x14ac:dyDescent="0.25">
      <c r="A27" s="1">
        <v>19</v>
      </c>
      <c r="B27" s="1">
        <v>3</v>
      </c>
      <c r="C27" s="1">
        <v>4</v>
      </c>
    </row>
    <row r="28" spans="1:3" x14ac:dyDescent="0.25">
      <c r="A28" s="1">
        <v>20</v>
      </c>
      <c r="B28" s="1">
        <v>3</v>
      </c>
      <c r="C28" s="1">
        <v>5</v>
      </c>
    </row>
    <row r="29" spans="1:3" x14ac:dyDescent="0.25">
      <c r="A29" s="1">
        <v>21</v>
      </c>
      <c r="B29" s="1">
        <v>3</v>
      </c>
      <c r="C29" s="1">
        <v>6</v>
      </c>
    </row>
    <row r="30" spans="1:3" x14ac:dyDescent="0.25">
      <c r="A30" s="1">
        <v>22</v>
      </c>
      <c r="B30" s="1">
        <v>3</v>
      </c>
      <c r="C30" s="1">
        <v>7</v>
      </c>
    </row>
    <row r="31" spans="1:3" x14ac:dyDescent="0.25">
      <c r="A31" s="1">
        <v>23</v>
      </c>
      <c r="B31" s="1">
        <v>3</v>
      </c>
      <c r="C31" s="1">
        <v>8</v>
      </c>
    </row>
    <row r="32" spans="1:3" x14ac:dyDescent="0.25">
      <c r="A32" s="1">
        <v>24</v>
      </c>
      <c r="B32" s="1">
        <v>3</v>
      </c>
      <c r="C32" s="1">
        <v>9</v>
      </c>
    </row>
    <row r="33" spans="1:3" x14ac:dyDescent="0.25">
      <c r="A33" s="1">
        <v>25</v>
      </c>
      <c r="B33" s="1">
        <v>3</v>
      </c>
      <c r="C33" s="1">
        <v>10</v>
      </c>
    </row>
    <row r="34" spans="1:3" x14ac:dyDescent="0.25">
      <c r="A34" s="1">
        <v>26</v>
      </c>
      <c r="B34" s="1">
        <v>4</v>
      </c>
      <c r="C34" s="1">
        <v>1</v>
      </c>
    </row>
    <row r="35" spans="1:3" x14ac:dyDescent="0.25">
      <c r="A35" s="1">
        <v>27</v>
      </c>
      <c r="B35" s="1">
        <v>4</v>
      </c>
      <c r="C35" s="1">
        <v>2</v>
      </c>
    </row>
    <row r="36" spans="1:3" x14ac:dyDescent="0.25">
      <c r="A36" s="1">
        <v>28</v>
      </c>
      <c r="B36" s="1">
        <v>4</v>
      </c>
      <c r="C36" s="1">
        <v>3</v>
      </c>
    </row>
    <row r="37" spans="1:3" x14ac:dyDescent="0.25">
      <c r="A37" s="1">
        <v>29</v>
      </c>
      <c r="B37" s="1">
        <v>4</v>
      </c>
      <c r="C37" s="1">
        <v>4</v>
      </c>
    </row>
    <row r="38" spans="1:3" x14ac:dyDescent="0.25">
      <c r="A38" s="1">
        <v>30</v>
      </c>
      <c r="B38" s="1">
        <v>4</v>
      </c>
      <c r="C38" s="1">
        <v>5</v>
      </c>
    </row>
    <row r="39" spans="1:3" x14ac:dyDescent="0.25">
      <c r="A39" s="1">
        <v>31</v>
      </c>
      <c r="B39" s="1">
        <v>4</v>
      </c>
      <c r="C39" s="1">
        <v>6</v>
      </c>
    </row>
    <row r="40" spans="1:3" x14ac:dyDescent="0.25">
      <c r="A40" s="1">
        <v>32</v>
      </c>
      <c r="B40" s="1">
        <v>4</v>
      </c>
      <c r="C40" s="1">
        <v>7</v>
      </c>
    </row>
    <row r="41" spans="1:3" x14ac:dyDescent="0.25">
      <c r="A41" s="1">
        <v>33</v>
      </c>
      <c r="B41" s="1">
        <v>4</v>
      </c>
      <c r="C41" s="1">
        <v>8</v>
      </c>
    </row>
    <row r="42" spans="1:3" x14ac:dyDescent="0.25">
      <c r="A42" s="1">
        <v>34</v>
      </c>
      <c r="B42" s="1">
        <v>4</v>
      </c>
      <c r="C42" s="1">
        <v>9</v>
      </c>
    </row>
    <row r="43" spans="1:3" x14ac:dyDescent="0.25">
      <c r="A43" s="1">
        <v>35</v>
      </c>
      <c r="B43" s="1">
        <v>4</v>
      </c>
      <c r="C43" s="1">
        <v>10</v>
      </c>
    </row>
    <row r="44" spans="1:3" x14ac:dyDescent="0.25">
      <c r="A44" s="1">
        <v>36</v>
      </c>
      <c r="B44" s="1">
        <v>5</v>
      </c>
      <c r="C44" s="1">
        <v>1</v>
      </c>
    </row>
    <row r="45" spans="1:3" x14ac:dyDescent="0.25">
      <c r="A45" s="1">
        <v>37</v>
      </c>
      <c r="B45" s="1">
        <v>5</v>
      </c>
      <c r="C45" s="1">
        <v>2</v>
      </c>
    </row>
    <row r="46" spans="1:3" x14ac:dyDescent="0.25">
      <c r="A46" s="1">
        <v>38</v>
      </c>
      <c r="B46" s="1">
        <v>5</v>
      </c>
      <c r="C46" s="1">
        <v>3</v>
      </c>
    </row>
    <row r="47" spans="1:3" x14ac:dyDescent="0.25">
      <c r="A47" s="1">
        <v>39</v>
      </c>
      <c r="B47" s="1">
        <v>5</v>
      </c>
      <c r="C47" s="1">
        <v>4</v>
      </c>
    </row>
    <row r="48" spans="1:3" x14ac:dyDescent="0.25">
      <c r="A48" s="1">
        <v>40</v>
      </c>
      <c r="B48" s="1">
        <v>5</v>
      </c>
      <c r="C48" s="1">
        <v>5</v>
      </c>
    </row>
    <row r="49" spans="1:3" x14ac:dyDescent="0.25">
      <c r="A49" s="1">
        <v>41</v>
      </c>
      <c r="B49" s="1">
        <v>5</v>
      </c>
      <c r="C49" s="1">
        <v>6</v>
      </c>
    </row>
    <row r="50" spans="1:3" x14ac:dyDescent="0.25">
      <c r="A50" s="1">
        <v>42</v>
      </c>
      <c r="B50" s="1">
        <v>5</v>
      </c>
      <c r="C50" s="1">
        <v>7</v>
      </c>
    </row>
    <row r="51" spans="1:3" x14ac:dyDescent="0.25">
      <c r="A51" s="1">
        <v>43</v>
      </c>
      <c r="B51" s="1">
        <v>5</v>
      </c>
      <c r="C51" s="1">
        <v>8</v>
      </c>
    </row>
    <row r="52" spans="1:3" x14ac:dyDescent="0.25">
      <c r="A52" s="1">
        <v>44</v>
      </c>
      <c r="B52" s="1">
        <v>5</v>
      </c>
      <c r="C52" s="1">
        <v>9</v>
      </c>
    </row>
    <row r="53" spans="1:3" x14ac:dyDescent="0.25">
      <c r="A53" s="1">
        <v>45</v>
      </c>
      <c r="B53" s="1">
        <v>5</v>
      </c>
      <c r="C53" s="1">
        <v>10</v>
      </c>
    </row>
    <row r="54" spans="1:3" x14ac:dyDescent="0.25">
      <c r="A54" s="1">
        <v>46</v>
      </c>
      <c r="B54" s="1">
        <v>5</v>
      </c>
      <c r="C54" s="1">
        <v>11</v>
      </c>
    </row>
    <row r="55" spans="1:3" x14ac:dyDescent="0.25">
      <c r="A55" s="1">
        <v>47</v>
      </c>
      <c r="B55" s="1">
        <v>5</v>
      </c>
      <c r="C55" s="1">
        <v>12</v>
      </c>
    </row>
    <row r="56" spans="1:3" x14ac:dyDescent="0.25">
      <c r="A56" s="1">
        <v>48</v>
      </c>
      <c r="B56" s="1">
        <v>5</v>
      </c>
      <c r="C56" s="1">
        <v>13</v>
      </c>
    </row>
    <row r="57" spans="1:3" x14ac:dyDescent="0.25">
      <c r="A57" s="1">
        <v>49</v>
      </c>
      <c r="B57" s="1">
        <v>5</v>
      </c>
      <c r="C57" s="1">
        <v>14</v>
      </c>
    </row>
    <row r="58" spans="1:3" x14ac:dyDescent="0.25">
      <c r="A58" s="1">
        <v>50</v>
      </c>
      <c r="B58" s="1">
        <v>5</v>
      </c>
      <c r="C58" s="1">
        <v>15</v>
      </c>
    </row>
    <row r="59" spans="1:3" x14ac:dyDescent="0.25">
      <c r="A59" s="1">
        <v>51</v>
      </c>
      <c r="B59" s="1">
        <v>6</v>
      </c>
      <c r="C59" s="1">
        <v>1</v>
      </c>
    </row>
    <row r="60" spans="1:3" x14ac:dyDescent="0.25">
      <c r="A60" s="1">
        <v>52</v>
      </c>
      <c r="B60" s="1">
        <v>6</v>
      </c>
      <c r="C60" s="1">
        <v>2</v>
      </c>
    </row>
    <row r="61" spans="1:3" x14ac:dyDescent="0.25">
      <c r="A61" s="1">
        <v>53</v>
      </c>
      <c r="B61" s="1">
        <v>6</v>
      </c>
      <c r="C61" s="1">
        <v>3</v>
      </c>
    </row>
    <row r="62" spans="1:3" x14ac:dyDescent="0.25">
      <c r="A62" s="1">
        <v>54</v>
      </c>
      <c r="B62" s="1">
        <v>6</v>
      </c>
      <c r="C62" s="1">
        <v>4</v>
      </c>
    </row>
    <row r="63" spans="1:3" x14ac:dyDescent="0.25">
      <c r="A63" s="1">
        <v>55</v>
      </c>
      <c r="B63" s="1">
        <v>6</v>
      </c>
      <c r="C63" s="1">
        <v>5</v>
      </c>
    </row>
    <row r="64" spans="1:3" x14ac:dyDescent="0.25">
      <c r="A64" s="1">
        <v>56</v>
      </c>
      <c r="B64" s="1">
        <v>6</v>
      </c>
      <c r="C64" s="1">
        <v>6</v>
      </c>
    </row>
    <row r="65" spans="1:3" x14ac:dyDescent="0.25">
      <c r="A65" s="1">
        <v>57</v>
      </c>
      <c r="B65" s="1">
        <v>6</v>
      </c>
      <c r="C65" s="1">
        <v>7</v>
      </c>
    </row>
    <row r="66" spans="1:3" x14ac:dyDescent="0.25">
      <c r="A66" s="1">
        <v>58</v>
      </c>
      <c r="B66" s="1">
        <v>6</v>
      </c>
      <c r="C66" s="1">
        <v>8</v>
      </c>
    </row>
    <row r="67" spans="1:3" x14ac:dyDescent="0.25">
      <c r="A67" s="1">
        <v>59</v>
      </c>
      <c r="B67" s="1">
        <v>6</v>
      </c>
      <c r="C67" s="1">
        <v>9</v>
      </c>
    </row>
    <row r="68" spans="1:3" x14ac:dyDescent="0.25">
      <c r="A68" s="1">
        <v>60</v>
      </c>
      <c r="B68" s="1">
        <v>6</v>
      </c>
      <c r="C68" s="1">
        <v>10</v>
      </c>
    </row>
    <row r="69" spans="1:3" x14ac:dyDescent="0.25">
      <c r="A69" s="1">
        <v>61</v>
      </c>
      <c r="B69" s="1">
        <v>6</v>
      </c>
      <c r="C69" s="1">
        <v>11</v>
      </c>
    </row>
    <row r="70" spans="1:3" x14ac:dyDescent="0.25">
      <c r="A70" s="1">
        <v>62</v>
      </c>
      <c r="B70" s="1">
        <v>6</v>
      </c>
      <c r="C70" s="1">
        <v>12</v>
      </c>
    </row>
    <row r="71" spans="1:3" x14ac:dyDescent="0.25">
      <c r="A71" s="1">
        <v>63</v>
      </c>
      <c r="B71" s="1">
        <v>6</v>
      </c>
      <c r="C71" s="1">
        <v>13</v>
      </c>
    </row>
    <row r="72" spans="1:3" x14ac:dyDescent="0.25">
      <c r="A72" s="1">
        <v>64</v>
      </c>
      <c r="B72" s="1">
        <v>6</v>
      </c>
      <c r="C72" s="1">
        <v>14</v>
      </c>
    </row>
    <row r="73" spans="1:3" x14ac:dyDescent="0.25">
      <c r="A73" s="1">
        <v>65</v>
      </c>
      <c r="B73" s="1">
        <v>6</v>
      </c>
      <c r="C73" s="1">
        <v>15</v>
      </c>
    </row>
    <row r="74" spans="1:3" x14ac:dyDescent="0.25">
      <c r="A74" s="1">
        <v>66</v>
      </c>
      <c r="B74" s="1">
        <v>7</v>
      </c>
      <c r="C74" s="1">
        <v>1</v>
      </c>
    </row>
    <row r="75" spans="1:3" x14ac:dyDescent="0.25">
      <c r="A75" s="1">
        <v>67</v>
      </c>
      <c r="B75" s="1">
        <v>7</v>
      </c>
      <c r="C75" s="1">
        <v>2</v>
      </c>
    </row>
    <row r="76" spans="1:3" x14ac:dyDescent="0.25">
      <c r="A76" s="1">
        <v>68</v>
      </c>
      <c r="B76" s="1">
        <v>7</v>
      </c>
      <c r="C76" s="1">
        <v>3</v>
      </c>
    </row>
    <row r="77" spans="1:3" x14ac:dyDescent="0.25">
      <c r="A77" s="1">
        <v>69</v>
      </c>
      <c r="B77" s="1">
        <v>7</v>
      </c>
      <c r="C77" s="1">
        <v>4</v>
      </c>
    </row>
    <row r="78" spans="1:3" x14ac:dyDescent="0.25">
      <c r="A78" s="1">
        <v>70</v>
      </c>
      <c r="B78" s="1">
        <v>7</v>
      </c>
      <c r="C78" s="1">
        <v>5</v>
      </c>
    </row>
    <row r="79" spans="1:3" x14ac:dyDescent="0.25">
      <c r="A79" s="1">
        <v>71</v>
      </c>
      <c r="B79" s="1">
        <v>7</v>
      </c>
      <c r="C79" s="1">
        <v>6</v>
      </c>
    </row>
    <row r="80" spans="1:3" x14ac:dyDescent="0.25">
      <c r="A80" s="1">
        <v>72</v>
      </c>
      <c r="B80" s="1">
        <v>7</v>
      </c>
      <c r="C80" s="1">
        <v>7</v>
      </c>
    </row>
    <row r="81" spans="1:3" x14ac:dyDescent="0.25">
      <c r="A81" s="1">
        <v>73</v>
      </c>
      <c r="B81" s="1">
        <v>7</v>
      </c>
      <c r="C81" s="1">
        <v>8</v>
      </c>
    </row>
    <row r="82" spans="1:3" x14ac:dyDescent="0.25">
      <c r="A82" s="1">
        <v>74</v>
      </c>
      <c r="B82" s="1">
        <v>7</v>
      </c>
      <c r="C82" s="1">
        <v>9</v>
      </c>
    </row>
    <row r="83" spans="1:3" x14ac:dyDescent="0.25">
      <c r="A83" s="1">
        <v>75</v>
      </c>
      <c r="B83" s="1">
        <v>7</v>
      </c>
      <c r="C83" s="1">
        <v>10</v>
      </c>
    </row>
    <row r="84" spans="1:3" x14ac:dyDescent="0.25">
      <c r="A84" s="1">
        <v>76</v>
      </c>
      <c r="B84" s="1">
        <v>7</v>
      </c>
      <c r="C84" s="1">
        <v>11</v>
      </c>
    </row>
    <row r="85" spans="1:3" x14ac:dyDescent="0.25">
      <c r="A85" s="1">
        <v>77</v>
      </c>
      <c r="B85" s="1">
        <v>7</v>
      </c>
      <c r="C85" s="1">
        <v>12</v>
      </c>
    </row>
    <row r="86" spans="1:3" x14ac:dyDescent="0.25">
      <c r="A86" s="1">
        <v>78</v>
      </c>
      <c r="B86" s="1">
        <v>7</v>
      </c>
      <c r="C86" s="1">
        <v>13</v>
      </c>
    </row>
    <row r="87" spans="1:3" x14ac:dyDescent="0.25">
      <c r="A87" s="1">
        <v>79</v>
      </c>
      <c r="B87" s="1">
        <v>7</v>
      </c>
      <c r="C87" s="1">
        <v>14</v>
      </c>
    </row>
    <row r="88" spans="1:3" x14ac:dyDescent="0.25">
      <c r="A88" s="1">
        <v>80</v>
      </c>
      <c r="B88" s="1">
        <v>7</v>
      </c>
      <c r="C88" s="1">
        <v>15</v>
      </c>
    </row>
    <row r="89" spans="1:3" x14ac:dyDescent="0.25">
      <c r="A89" s="1">
        <v>81</v>
      </c>
      <c r="B89" s="1">
        <v>8</v>
      </c>
      <c r="C89" s="1">
        <v>1</v>
      </c>
    </row>
    <row r="90" spans="1:3" x14ac:dyDescent="0.25">
      <c r="A90" s="1">
        <v>82</v>
      </c>
      <c r="B90" s="1">
        <v>8</v>
      </c>
      <c r="C90" s="1">
        <v>2</v>
      </c>
    </row>
    <row r="91" spans="1:3" x14ac:dyDescent="0.25">
      <c r="A91" s="1">
        <v>83</v>
      </c>
      <c r="B91" s="1">
        <v>8</v>
      </c>
      <c r="C91" s="1">
        <v>3</v>
      </c>
    </row>
    <row r="92" spans="1:3" x14ac:dyDescent="0.25">
      <c r="A92" s="1">
        <v>84</v>
      </c>
      <c r="B92" s="1">
        <v>8</v>
      </c>
      <c r="C92" s="1">
        <v>4</v>
      </c>
    </row>
    <row r="93" spans="1:3" x14ac:dyDescent="0.25">
      <c r="A93" s="1">
        <v>85</v>
      </c>
      <c r="B93" s="1">
        <v>8</v>
      </c>
      <c r="C93" s="1">
        <v>5</v>
      </c>
    </row>
    <row r="94" spans="1:3" x14ac:dyDescent="0.25">
      <c r="A94" s="1">
        <v>86</v>
      </c>
      <c r="B94" s="1">
        <v>8</v>
      </c>
      <c r="C94" s="1">
        <v>6</v>
      </c>
    </row>
    <row r="95" spans="1:3" x14ac:dyDescent="0.25">
      <c r="A95" s="1">
        <v>87</v>
      </c>
      <c r="B95" s="1">
        <v>8</v>
      </c>
      <c r="C95" s="1">
        <v>7</v>
      </c>
    </row>
    <row r="96" spans="1:3" x14ac:dyDescent="0.25">
      <c r="A96" s="1">
        <v>88</v>
      </c>
      <c r="B96" s="1">
        <v>8</v>
      </c>
      <c r="C96" s="1">
        <v>8</v>
      </c>
    </row>
    <row r="97" spans="1:3" x14ac:dyDescent="0.25">
      <c r="A97" s="1">
        <v>89</v>
      </c>
      <c r="B97" s="1">
        <v>8</v>
      </c>
      <c r="C97" s="1">
        <v>9</v>
      </c>
    </row>
    <row r="98" spans="1:3" x14ac:dyDescent="0.25">
      <c r="A98" s="1">
        <v>90</v>
      </c>
      <c r="B98" s="1">
        <v>8</v>
      </c>
      <c r="C98" s="1">
        <v>10</v>
      </c>
    </row>
    <row r="99" spans="1:3" x14ac:dyDescent="0.25">
      <c r="A99" s="1">
        <v>91</v>
      </c>
      <c r="B99" s="1">
        <v>8</v>
      </c>
      <c r="C99" s="1">
        <v>11</v>
      </c>
    </row>
    <row r="100" spans="1:3" x14ac:dyDescent="0.25">
      <c r="A100" s="1">
        <v>92</v>
      </c>
      <c r="B100" s="1">
        <v>8</v>
      </c>
      <c r="C100" s="1">
        <v>12</v>
      </c>
    </row>
    <row r="101" spans="1:3" x14ac:dyDescent="0.25">
      <c r="A101" s="1">
        <v>93</v>
      </c>
      <c r="B101" s="1">
        <v>8</v>
      </c>
      <c r="C101" s="1">
        <v>13</v>
      </c>
    </row>
    <row r="102" spans="1:3" x14ac:dyDescent="0.25">
      <c r="A102" s="1">
        <v>94</v>
      </c>
      <c r="B102" s="1">
        <v>8</v>
      </c>
      <c r="C102" s="1">
        <v>14</v>
      </c>
    </row>
    <row r="103" spans="1:3" x14ac:dyDescent="0.25">
      <c r="A103" s="1">
        <v>95</v>
      </c>
      <c r="B103" s="1">
        <v>8</v>
      </c>
      <c r="C103" s="1">
        <v>15</v>
      </c>
    </row>
    <row r="104" spans="1:3" x14ac:dyDescent="0.25">
      <c r="A104" s="1">
        <v>96</v>
      </c>
      <c r="B104" s="1">
        <v>8</v>
      </c>
      <c r="C104" s="1">
        <v>16</v>
      </c>
    </row>
    <row r="105" spans="1:3" x14ac:dyDescent="0.25">
      <c r="A105" s="1">
        <v>97</v>
      </c>
      <c r="B105" s="1">
        <v>8</v>
      </c>
      <c r="C105" s="1">
        <v>17</v>
      </c>
    </row>
    <row r="106" spans="1:3" x14ac:dyDescent="0.25">
      <c r="A106" s="1">
        <v>98</v>
      </c>
      <c r="B106" s="1">
        <v>8</v>
      </c>
      <c r="C106" s="1">
        <v>18</v>
      </c>
    </row>
    <row r="107" spans="1:3" x14ac:dyDescent="0.25">
      <c r="A107" s="1">
        <v>99</v>
      </c>
      <c r="B107" s="1">
        <v>8</v>
      </c>
      <c r="C107" s="1">
        <v>19</v>
      </c>
    </row>
    <row r="108" spans="1:3" x14ac:dyDescent="0.25">
      <c r="A108" s="1">
        <v>100</v>
      </c>
      <c r="B108" s="1">
        <v>8</v>
      </c>
      <c r="C108" s="1">
        <v>20</v>
      </c>
    </row>
    <row r="109" spans="1:3" x14ac:dyDescent="0.25">
      <c r="A109" s="1">
        <v>101</v>
      </c>
      <c r="B109" s="1">
        <v>9</v>
      </c>
      <c r="C109" s="1">
        <v>1</v>
      </c>
    </row>
    <row r="110" spans="1:3" x14ac:dyDescent="0.25">
      <c r="A110" s="1">
        <v>102</v>
      </c>
      <c r="B110" s="1">
        <v>9</v>
      </c>
      <c r="C110" s="1">
        <v>2</v>
      </c>
    </row>
    <row r="111" spans="1:3" x14ac:dyDescent="0.25">
      <c r="A111" s="1">
        <v>103</v>
      </c>
      <c r="B111" s="1">
        <v>9</v>
      </c>
      <c r="C111" s="1">
        <v>3</v>
      </c>
    </row>
    <row r="112" spans="1:3" x14ac:dyDescent="0.25">
      <c r="A112" s="1">
        <v>104</v>
      </c>
      <c r="B112" s="1">
        <v>9</v>
      </c>
      <c r="C112" s="1">
        <v>4</v>
      </c>
    </row>
    <row r="113" spans="1:3" x14ac:dyDescent="0.25">
      <c r="A113" s="1">
        <v>105</v>
      </c>
      <c r="B113" s="1">
        <v>9</v>
      </c>
      <c r="C113" s="1">
        <v>5</v>
      </c>
    </row>
    <row r="114" spans="1:3" x14ac:dyDescent="0.25">
      <c r="A114" s="1">
        <v>106</v>
      </c>
      <c r="B114" s="1">
        <v>9</v>
      </c>
      <c r="C114" s="1">
        <v>6</v>
      </c>
    </row>
    <row r="115" spans="1:3" x14ac:dyDescent="0.25">
      <c r="A115" s="1">
        <v>107</v>
      </c>
      <c r="B115" s="1">
        <v>9</v>
      </c>
      <c r="C115" s="1">
        <v>7</v>
      </c>
    </row>
    <row r="116" spans="1:3" x14ac:dyDescent="0.25">
      <c r="A116" s="1">
        <v>108</v>
      </c>
      <c r="B116" s="1">
        <v>9</v>
      </c>
      <c r="C116" s="1">
        <v>8</v>
      </c>
    </row>
    <row r="117" spans="1:3" x14ac:dyDescent="0.25">
      <c r="A117" s="1">
        <v>109</v>
      </c>
      <c r="B117" s="1">
        <v>9</v>
      </c>
      <c r="C117" s="1">
        <v>9</v>
      </c>
    </row>
    <row r="118" spans="1:3" x14ac:dyDescent="0.25">
      <c r="A118" s="1">
        <v>110</v>
      </c>
      <c r="B118" s="1">
        <v>9</v>
      </c>
      <c r="C118" s="1">
        <v>10</v>
      </c>
    </row>
    <row r="119" spans="1:3" x14ac:dyDescent="0.25">
      <c r="A119" s="1">
        <v>111</v>
      </c>
      <c r="B119" s="1">
        <v>9</v>
      </c>
      <c r="C119" s="1">
        <v>11</v>
      </c>
    </row>
    <row r="120" spans="1:3" x14ac:dyDescent="0.25">
      <c r="A120" s="1">
        <v>112</v>
      </c>
      <c r="B120" s="1">
        <v>9</v>
      </c>
      <c r="C120" s="1">
        <v>12</v>
      </c>
    </row>
    <row r="121" spans="1:3" x14ac:dyDescent="0.25">
      <c r="A121" s="1">
        <v>113</v>
      </c>
      <c r="B121" s="1">
        <v>9</v>
      </c>
      <c r="C121" s="1">
        <v>13</v>
      </c>
    </row>
    <row r="122" spans="1:3" x14ac:dyDescent="0.25">
      <c r="A122" s="1">
        <v>114</v>
      </c>
      <c r="B122" s="1">
        <v>9</v>
      </c>
      <c r="C122" s="1">
        <v>14</v>
      </c>
    </row>
    <row r="123" spans="1:3" x14ac:dyDescent="0.25">
      <c r="A123" s="1">
        <v>115</v>
      </c>
      <c r="B123" s="1">
        <v>9</v>
      </c>
      <c r="C123" s="1">
        <v>15</v>
      </c>
    </row>
    <row r="124" spans="1:3" x14ac:dyDescent="0.25">
      <c r="A124" s="1">
        <v>116</v>
      </c>
      <c r="B124" s="1">
        <v>9</v>
      </c>
      <c r="C124" s="1">
        <v>16</v>
      </c>
    </row>
    <row r="125" spans="1:3" x14ac:dyDescent="0.25">
      <c r="A125" s="1">
        <v>117</v>
      </c>
      <c r="B125" s="1">
        <v>9</v>
      </c>
      <c r="C125" s="1">
        <v>17</v>
      </c>
    </row>
    <row r="126" spans="1:3" x14ac:dyDescent="0.25">
      <c r="A126" s="1">
        <v>118</v>
      </c>
      <c r="B126" s="1">
        <v>9</v>
      </c>
      <c r="C126" s="1">
        <v>18</v>
      </c>
    </row>
    <row r="127" spans="1:3" x14ac:dyDescent="0.25">
      <c r="A127" s="1">
        <v>119</v>
      </c>
      <c r="B127" s="1">
        <v>9</v>
      </c>
      <c r="C127" s="1">
        <v>19</v>
      </c>
    </row>
    <row r="128" spans="1:3" x14ac:dyDescent="0.25">
      <c r="A128" s="1">
        <v>120</v>
      </c>
      <c r="B128" s="1">
        <v>9</v>
      </c>
      <c r="C128" s="1">
        <v>20</v>
      </c>
    </row>
    <row r="129" spans="1:3" x14ac:dyDescent="0.25">
      <c r="A129" s="1">
        <v>121</v>
      </c>
      <c r="B129" s="1">
        <v>10</v>
      </c>
      <c r="C129" s="1">
        <v>1</v>
      </c>
    </row>
    <row r="130" spans="1:3" x14ac:dyDescent="0.25">
      <c r="A130" s="1">
        <v>122</v>
      </c>
      <c r="B130" s="1">
        <v>10</v>
      </c>
      <c r="C130" s="1">
        <v>2</v>
      </c>
    </row>
    <row r="131" spans="1:3" x14ac:dyDescent="0.25">
      <c r="A131" s="1">
        <v>123</v>
      </c>
      <c r="B131" s="1">
        <v>10</v>
      </c>
      <c r="C131" s="1">
        <v>3</v>
      </c>
    </row>
    <row r="132" spans="1:3" x14ac:dyDescent="0.25">
      <c r="A132" s="1">
        <v>124</v>
      </c>
      <c r="B132" s="1">
        <v>10</v>
      </c>
      <c r="C132" s="1">
        <v>4</v>
      </c>
    </row>
    <row r="133" spans="1:3" x14ac:dyDescent="0.25">
      <c r="A133" s="1">
        <v>125</v>
      </c>
      <c r="B133" s="1">
        <v>10</v>
      </c>
      <c r="C133" s="1">
        <v>5</v>
      </c>
    </row>
    <row r="134" spans="1:3" x14ac:dyDescent="0.25">
      <c r="A134" s="1">
        <v>126</v>
      </c>
      <c r="B134" s="1">
        <v>10</v>
      </c>
      <c r="C134" s="1">
        <v>6</v>
      </c>
    </row>
    <row r="135" spans="1:3" x14ac:dyDescent="0.25">
      <c r="A135" s="1">
        <v>127</v>
      </c>
      <c r="B135" s="1">
        <v>10</v>
      </c>
      <c r="C135" s="1">
        <v>7</v>
      </c>
    </row>
    <row r="136" spans="1:3" x14ac:dyDescent="0.25">
      <c r="A136" s="1">
        <v>128</v>
      </c>
      <c r="B136" s="1">
        <v>10</v>
      </c>
      <c r="C136" s="1">
        <v>8</v>
      </c>
    </row>
    <row r="137" spans="1:3" x14ac:dyDescent="0.25">
      <c r="A137" s="1">
        <v>129</v>
      </c>
      <c r="B137" s="1">
        <v>10</v>
      </c>
      <c r="C137" s="1">
        <v>9</v>
      </c>
    </row>
    <row r="138" spans="1:3" x14ac:dyDescent="0.25">
      <c r="A138" s="1">
        <v>130</v>
      </c>
      <c r="B138" s="1">
        <v>10</v>
      </c>
      <c r="C138" s="1">
        <v>10</v>
      </c>
    </row>
    <row r="139" spans="1:3" x14ac:dyDescent="0.25">
      <c r="A139" s="1">
        <v>131</v>
      </c>
      <c r="B139" s="1">
        <v>10</v>
      </c>
      <c r="C139" s="1">
        <v>11</v>
      </c>
    </row>
    <row r="140" spans="1:3" x14ac:dyDescent="0.25">
      <c r="A140" s="1">
        <v>132</v>
      </c>
      <c r="B140" s="1">
        <v>10</v>
      </c>
      <c r="C140" s="1">
        <v>12</v>
      </c>
    </row>
    <row r="141" spans="1:3" x14ac:dyDescent="0.25">
      <c r="A141" s="1">
        <v>133</v>
      </c>
      <c r="B141" s="1">
        <v>10</v>
      </c>
      <c r="C141" s="1">
        <v>13</v>
      </c>
    </row>
    <row r="142" spans="1:3" x14ac:dyDescent="0.25">
      <c r="A142" s="1">
        <v>134</v>
      </c>
      <c r="B142" s="1">
        <v>10</v>
      </c>
      <c r="C142" s="1">
        <v>14</v>
      </c>
    </row>
    <row r="143" spans="1:3" x14ac:dyDescent="0.25">
      <c r="A143" s="1">
        <v>135</v>
      </c>
      <c r="B143" s="1">
        <v>10</v>
      </c>
      <c r="C143" s="1">
        <v>15</v>
      </c>
    </row>
    <row r="144" spans="1:3" x14ac:dyDescent="0.25">
      <c r="A144" s="1">
        <v>136</v>
      </c>
      <c r="B144" s="1">
        <v>10</v>
      </c>
      <c r="C144" s="1">
        <v>16</v>
      </c>
    </row>
    <row r="145" spans="1:3" x14ac:dyDescent="0.25">
      <c r="A145" s="1">
        <v>137</v>
      </c>
      <c r="B145" s="1">
        <v>10</v>
      </c>
      <c r="C145" s="1">
        <v>17</v>
      </c>
    </row>
    <row r="146" spans="1:3" x14ac:dyDescent="0.25">
      <c r="A146" s="1">
        <v>138</v>
      </c>
      <c r="B146" s="1">
        <v>10</v>
      </c>
      <c r="C146" s="1">
        <v>18</v>
      </c>
    </row>
    <row r="147" spans="1:3" x14ac:dyDescent="0.25">
      <c r="A147" s="1">
        <v>139</v>
      </c>
      <c r="B147" s="1">
        <v>10</v>
      </c>
      <c r="C147" s="1">
        <v>19</v>
      </c>
    </row>
    <row r="148" spans="1:3" x14ac:dyDescent="0.25">
      <c r="A148" s="1">
        <v>140</v>
      </c>
      <c r="B148" s="1">
        <v>10</v>
      </c>
      <c r="C148" s="1">
        <v>20</v>
      </c>
    </row>
    <row r="149" spans="1:3" x14ac:dyDescent="0.25">
      <c r="A149" s="1">
        <v>141</v>
      </c>
      <c r="B149" s="22">
        <v>11</v>
      </c>
      <c r="C149" s="1">
        <v>21</v>
      </c>
    </row>
    <row r="150" spans="1:3" x14ac:dyDescent="0.25">
      <c r="A150" s="1">
        <v>142</v>
      </c>
      <c r="B150" s="22">
        <v>11</v>
      </c>
      <c r="C150" s="1">
        <v>22</v>
      </c>
    </row>
    <row r="151" spans="1:3" x14ac:dyDescent="0.25">
      <c r="A151" s="1">
        <v>143</v>
      </c>
      <c r="B151" s="22">
        <v>11</v>
      </c>
      <c r="C151" s="1">
        <v>23</v>
      </c>
    </row>
    <row r="152" spans="1:3" x14ac:dyDescent="0.25">
      <c r="A152" s="1">
        <v>144</v>
      </c>
      <c r="B152" s="22">
        <v>11</v>
      </c>
      <c r="C152" s="1">
        <v>24</v>
      </c>
    </row>
    <row r="153" spans="1:3" x14ac:dyDescent="0.25">
      <c r="A153" s="1">
        <v>145</v>
      </c>
      <c r="B153" s="22">
        <v>11</v>
      </c>
      <c r="C153" s="1">
        <v>25</v>
      </c>
    </row>
    <row r="154" spans="1:3" x14ac:dyDescent="0.25">
      <c r="A154" s="1">
        <v>146</v>
      </c>
      <c r="B154" s="22">
        <v>11</v>
      </c>
      <c r="C154" s="1">
        <v>26</v>
      </c>
    </row>
    <row r="155" spans="1:3" x14ac:dyDescent="0.25">
      <c r="A155" s="1">
        <v>147</v>
      </c>
      <c r="B155" s="22">
        <v>11</v>
      </c>
      <c r="C155" s="1">
        <v>27</v>
      </c>
    </row>
    <row r="156" spans="1:3" x14ac:dyDescent="0.25">
      <c r="A156" s="1">
        <v>148</v>
      </c>
      <c r="B156" s="22">
        <v>11</v>
      </c>
      <c r="C156" s="1">
        <v>28</v>
      </c>
    </row>
    <row r="157" spans="1:3" x14ac:dyDescent="0.25">
      <c r="A157" s="1">
        <v>149</v>
      </c>
      <c r="B157" s="22">
        <v>11</v>
      </c>
      <c r="C157" s="1">
        <v>29</v>
      </c>
    </row>
    <row r="158" spans="1:3" x14ac:dyDescent="0.25">
      <c r="A158" s="1">
        <v>150</v>
      </c>
      <c r="B158" s="22">
        <v>11</v>
      </c>
      <c r="C158" s="1">
        <v>30</v>
      </c>
    </row>
    <row r="159" spans="1:3" x14ac:dyDescent="0.25">
      <c r="A159" s="1">
        <v>151</v>
      </c>
      <c r="B159" s="22">
        <v>11</v>
      </c>
      <c r="C159" s="1">
        <v>31</v>
      </c>
    </row>
    <row r="160" spans="1:3" x14ac:dyDescent="0.25">
      <c r="A160" s="1">
        <v>152</v>
      </c>
      <c r="B160" s="22">
        <v>11</v>
      </c>
      <c r="C160" s="1">
        <v>32</v>
      </c>
    </row>
    <row r="161" spans="1:3" x14ac:dyDescent="0.25">
      <c r="A161" s="1">
        <v>153</v>
      </c>
      <c r="B161" s="22">
        <v>11</v>
      </c>
      <c r="C161" s="1">
        <v>33</v>
      </c>
    </row>
    <row r="162" spans="1:3" x14ac:dyDescent="0.25">
      <c r="A162" s="1">
        <v>154</v>
      </c>
      <c r="B162" s="22">
        <v>11</v>
      </c>
      <c r="C162" s="1">
        <v>34</v>
      </c>
    </row>
    <row r="163" spans="1:3" x14ac:dyDescent="0.25">
      <c r="A163" s="1">
        <v>155</v>
      </c>
      <c r="B163" s="22">
        <v>11</v>
      </c>
      <c r="C163" s="1">
        <v>35</v>
      </c>
    </row>
    <row r="164" spans="1:3" x14ac:dyDescent="0.25">
      <c r="A164" s="1">
        <v>156</v>
      </c>
      <c r="B164" s="22">
        <v>11</v>
      </c>
      <c r="C164" s="1">
        <v>36</v>
      </c>
    </row>
    <row r="165" spans="1:3" x14ac:dyDescent="0.25">
      <c r="A165" s="1">
        <v>157</v>
      </c>
      <c r="B165" s="22">
        <v>11</v>
      </c>
      <c r="C165" s="1">
        <v>37</v>
      </c>
    </row>
    <row r="166" spans="1:3" x14ac:dyDescent="0.25">
      <c r="A166" s="1">
        <v>158</v>
      </c>
      <c r="B166" s="22">
        <v>11</v>
      </c>
      <c r="C166" s="1">
        <v>38</v>
      </c>
    </row>
    <row r="167" spans="1:3" x14ac:dyDescent="0.25">
      <c r="A167" s="1">
        <v>159</v>
      </c>
      <c r="B167" s="22">
        <v>11</v>
      </c>
      <c r="C167" s="1">
        <v>39</v>
      </c>
    </row>
    <row r="168" spans="1:3" x14ac:dyDescent="0.25">
      <c r="A168" s="1">
        <v>160</v>
      </c>
      <c r="B168" s="22">
        <v>11</v>
      </c>
      <c r="C168" s="1">
        <v>40</v>
      </c>
    </row>
    <row r="169" spans="1:3" x14ac:dyDescent="0.25">
      <c r="A169" s="1">
        <v>161</v>
      </c>
      <c r="B169" s="22">
        <v>12</v>
      </c>
      <c r="C169" s="1">
        <v>41</v>
      </c>
    </row>
    <row r="170" spans="1:3" x14ac:dyDescent="0.25">
      <c r="A170" s="1">
        <v>162</v>
      </c>
      <c r="B170" s="22">
        <v>12</v>
      </c>
      <c r="C170" s="1">
        <v>42</v>
      </c>
    </row>
    <row r="171" spans="1:3" x14ac:dyDescent="0.25">
      <c r="A171" s="1">
        <v>163</v>
      </c>
      <c r="B171" s="22">
        <v>12</v>
      </c>
      <c r="C171" s="1">
        <v>43</v>
      </c>
    </row>
    <row r="172" spans="1:3" x14ac:dyDescent="0.25">
      <c r="A172" s="1">
        <v>164</v>
      </c>
      <c r="B172" s="22">
        <v>12</v>
      </c>
      <c r="C172" s="1">
        <v>44</v>
      </c>
    </row>
    <row r="173" spans="1:3" x14ac:dyDescent="0.25">
      <c r="A173" s="1">
        <v>165</v>
      </c>
      <c r="B173" s="22">
        <v>12</v>
      </c>
      <c r="C173" s="1">
        <v>45</v>
      </c>
    </row>
    <row r="174" spans="1:3" x14ac:dyDescent="0.25">
      <c r="A174" s="1">
        <v>166</v>
      </c>
      <c r="B174" s="22">
        <v>12</v>
      </c>
      <c r="C174" s="1">
        <v>46</v>
      </c>
    </row>
    <row r="175" spans="1:3" x14ac:dyDescent="0.25">
      <c r="A175" s="1">
        <v>167</v>
      </c>
      <c r="B175" s="22">
        <v>12</v>
      </c>
      <c r="C175" s="1">
        <v>47</v>
      </c>
    </row>
    <row r="176" spans="1:3" x14ac:dyDescent="0.25">
      <c r="A176" s="1">
        <v>168</v>
      </c>
      <c r="B176" s="22">
        <v>12</v>
      </c>
      <c r="C176" s="1">
        <v>48</v>
      </c>
    </row>
    <row r="177" spans="1:3" x14ac:dyDescent="0.25">
      <c r="A177" s="1">
        <v>169</v>
      </c>
      <c r="B177" s="22">
        <v>12</v>
      </c>
      <c r="C177" s="1">
        <v>49</v>
      </c>
    </row>
    <row r="178" spans="1:3" x14ac:dyDescent="0.25">
      <c r="A178" s="1">
        <v>170</v>
      </c>
      <c r="B178" s="22">
        <v>12</v>
      </c>
      <c r="C178" s="1">
        <v>50</v>
      </c>
    </row>
    <row r="179" spans="1:3" x14ac:dyDescent="0.25">
      <c r="A179" s="1">
        <v>171</v>
      </c>
      <c r="B179" s="22">
        <v>12</v>
      </c>
      <c r="C179" s="1">
        <v>51</v>
      </c>
    </row>
    <row r="180" spans="1:3" x14ac:dyDescent="0.25">
      <c r="A180" s="1">
        <v>172</v>
      </c>
      <c r="B180" s="22">
        <v>12</v>
      </c>
      <c r="C180" s="1">
        <v>52</v>
      </c>
    </row>
    <row r="181" spans="1:3" x14ac:dyDescent="0.25">
      <c r="A181" s="1">
        <v>173</v>
      </c>
      <c r="B181" s="22">
        <v>12</v>
      </c>
      <c r="C181" s="1">
        <v>53</v>
      </c>
    </row>
    <row r="182" spans="1:3" x14ac:dyDescent="0.25">
      <c r="A182" s="1">
        <v>174</v>
      </c>
      <c r="B182" s="22">
        <v>12</v>
      </c>
      <c r="C182" s="1">
        <v>54</v>
      </c>
    </row>
    <row r="183" spans="1:3" x14ac:dyDescent="0.25">
      <c r="A183" s="1">
        <v>175</v>
      </c>
      <c r="B183" s="22">
        <v>12</v>
      </c>
      <c r="C183" s="1">
        <v>55</v>
      </c>
    </row>
    <row r="184" spans="1:3" x14ac:dyDescent="0.25">
      <c r="A184" s="1">
        <v>176</v>
      </c>
      <c r="B184" s="22">
        <v>12</v>
      </c>
      <c r="C184" s="1">
        <v>56</v>
      </c>
    </row>
    <row r="185" spans="1:3" x14ac:dyDescent="0.25">
      <c r="A185" s="1">
        <v>177</v>
      </c>
      <c r="B185" s="22">
        <v>12</v>
      </c>
      <c r="C185" s="1">
        <v>57</v>
      </c>
    </row>
    <row r="186" spans="1:3" x14ac:dyDescent="0.25">
      <c r="A186" s="1">
        <v>178</v>
      </c>
      <c r="B186" s="22">
        <v>12</v>
      </c>
      <c r="C186" s="1">
        <v>58</v>
      </c>
    </row>
    <row r="187" spans="1:3" x14ac:dyDescent="0.25">
      <c r="A187" s="1">
        <v>179</v>
      </c>
      <c r="B187" s="22">
        <v>12</v>
      </c>
      <c r="C187" s="1">
        <v>59</v>
      </c>
    </row>
    <row r="188" spans="1:3" x14ac:dyDescent="0.25">
      <c r="A188" s="1">
        <v>180</v>
      </c>
      <c r="B188" s="22">
        <v>12</v>
      </c>
      <c r="C188" s="1">
        <v>60</v>
      </c>
    </row>
  </sheetData>
  <pageMargins left="0.7" right="0.7" top="0.75" bottom="0.75" header="0.3" footer="0.3"/>
  <pageSetup orientation="portrait" r:id="rId1"/>
  <ignoredErrors>
    <ignoredError sqref="B9:B148 B149:B168 B169:B188" calculatedColumn="1"/>
  </ignoredErrors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>
    <tabColor rgb="FF92D050"/>
  </sheetPr>
  <dimension ref="A1:C18"/>
  <sheetViews>
    <sheetView workbookViewId="0">
      <selection activeCell="B22" sqref="B22"/>
    </sheetView>
  </sheetViews>
  <sheetFormatPr defaultRowHeight="15" x14ac:dyDescent="0.25"/>
  <cols>
    <col min="1" max="1" width="31" bestFit="1" customWidth="1"/>
    <col min="2" max="2" width="24.85546875" bestFit="1" customWidth="1"/>
  </cols>
  <sheetData>
    <row r="1" spans="1:3" ht="18.75" x14ac:dyDescent="0.3">
      <c r="A1" s="73" t="s">
        <v>179</v>
      </c>
      <c r="B1" s="77"/>
      <c r="C1" s="77"/>
    </row>
    <row r="2" spans="1:3" x14ac:dyDescent="0.25">
      <c r="A2" s="2"/>
      <c r="B2" s="2"/>
      <c r="C2" s="2"/>
    </row>
    <row r="3" spans="1:3" x14ac:dyDescent="0.25">
      <c r="A3" s="2"/>
      <c r="B3" s="2"/>
      <c r="C3" s="2"/>
    </row>
    <row r="4" spans="1:3" x14ac:dyDescent="0.25">
      <c r="A4" s="2"/>
      <c r="B4" s="2"/>
      <c r="C4" s="2"/>
    </row>
    <row r="5" spans="1:3" x14ac:dyDescent="0.25">
      <c r="A5" s="2"/>
      <c r="B5" s="2"/>
      <c r="C5" s="2"/>
    </row>
    <row r="6" spans="1:3" x14ac:dyDescent="0.25">
      <c r="A6" s="2"/>
      <c r="B6" s="2"/>
      <c r="C6" s="2"/>
    </row>
    <row r="8" spans="1:3" x14ac:dyDescent="0.25">
      <c r="A8" s="1" t="s">
        <v>16</v>
      </c>
      <c r="B8" s="1" t="s">
        <v>180</v>
      </c>
    </row>
    <row r="9" spans="1:3" x14ac:dyDescent="0.25">
      <c r="A9" s="1">
        <v>1</v>
      </c>
      <c r="B9" s="1">
        <v>41900</v>
      </c>
    </row>
    <row r="10" spans="1:3" x14ac:dyDescent="0.25">
      <c r="A10" s="1">
        <v>2</v>
      </c>
      <c r="B10" s="1">
        <v>128800</v>
      </c>
    </row>
    <row r="11" spans="1:3" x14ac:dyDescent="0.25">
      <c r="A11" s="1">
        <v>3</v>
      </c>
      <c r="B11" s="1">
        <v>161000</v>
      </c>
    </row>
    <row r="12" spans="1:3" x14ac:dyDescent="0.25">
      <c r="A12" s="1">
        <v>4</v>
      </c>
      <c r="B12" s="1">
        <v>197700</v>
      </c>
    </row>
    <row r="13" spans="1:3" x14ac:dyDescent="0.25">
      <c r="A13" s="1">
        <v>5</v>
      </c>
      <c r="B13" s="1">
        <v>356000</v>
      </c>
    </row>
    <row r="14" spans="1:3" x14ac:dyDescent="0.25">
      <c r="A14" s="1">
        <v>6</v>
      </c>
      <c r="B14" s="1">
        <v>404800</v>
      </c>
    </row>
    <row r="15" spans="1:3" x14ac:dyDescent="0.25">
      <c r="A15" s="1">
        <v>7</v>
      </c>
      <c r="B15" s="1">
        <v>460600</v>
      </c>
    </row>
    <row r="16" spans="1:3" x14ac:dyDescent="0.25">
      <c r="A16" s="1">
        <v>8</v>
      </c>
      <c r="B16" s="1">
        <v>952500</v>
      </c>
    </row>
    <row r="17" spans="1:2" x14ac:dyDescent="0.25">
      <c r="A17" s="1">
        <v>9</v>
      </c>
      <c r="B17" s="1">
        <v>1042600</v>
      </c>
    </row>
    <row r="18" spans="1:2" x14ac:dyDescent="0.25">
      <c r="A18" s="1">
        <v>10</v>
      </c>
      <c r="B18" s="1">
        <v>3342700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>
    <tabColor theme="4"/>
  </sheetPr>
  <dimension ref="A2:L62"/>
  <sheetViews>
    <sheetView workbookViewId="0">
      <selection activeCell="E29" sqref="E29"/>
    </sheetView>
  </sheetViews>
  <sheetFormatPr defaultRowHeight="15" x14ac:dyDescent="0.25"/>
  <cols>
    <col min="1" max="1" width="17.85546875" bestFit="1" customWidth="1"/>
    <col min="2" max="2" width="20.5703125" customWidth="1"/>
    <col min="3" max="3" width="19.140625" customWidth="1"/>
    <col min="4" max="4" width="17.7109375" customWidth="1"/>
    <col min="5" max="5" width="20.7109375" customWidth="1"/>
    <col min="6" max="6" width="21.85546875" customWidth="1"/>
    <col min="7" max="7" width="25.7109375" customWidth="1"/>
    <col min="8" max="8" width="28.7109375" customWidth="1"/>
    <col min="9" max="9" width="27.85546875" bestFit="1" customWidth="1"/>
    <col min="10" max="10" width="24.42578125" bestFit="1" customWidth="1"/>
    <col min="11" max="11" width="21.85546875" bestFit="1" customWidth="1"/>
    <col min="12" max="12" width="18" customWidth="1"/>
  </cols>
  <sheetData>
    <row r="2" spans="1:10" x14ac:dyDescent="0.25">
      <c r="E2" s="235" t="s">
        <v>509</v>
      </c>
    </row>
    <row r="4" spans="1:10" x14ac:dyDescent="0.25">
      <c r="A4" s="1" t="s">
        <v>178</v>
      </c>
      <c r="B4" s="1" t="s">
        <v>3</v>
      </c>
      <c r="C4" s="1" t="s">
        <v>119</v>
      </c>
      <c r="E4" s="1" t="s">
        <v>4</v>
      </c>
      <c r="F4" s="1" t="s">
        <v>475</v>
      </c>
      <c r="G4" s="1" t="s">
        <v>172</v>
      </c>
      <c r="H4" s="1" t="s">
        <v>173</v>
      </c>
      <c r="I4" s="1" t="s">
        <v>174</v>
      </c>
      <c r="J4" s="1" t="s">
        <v>168</v>
      </c>
    </row>
    <row r="5" spans="1:10" x14ac:dyDescent="0.25">
      <c r="A5" s="1" t="s">
        <v>169</v>
      </c>
      <c r="B5" s="1">
        <v>1</v>
      </c>
      <c r="C5" s="237">
        <v>200</v>
      </c>
      <c r="E5" s="239" t="s">
        <v>438</v>
      </c>
      <c r="F5" s="237">
        <v>2</v>
      </c>
      <c r="G5" s="233">
        <f>missionsDragonRelativeMetrics[[#This Row],[Reward Multiplier]]*$C$5</f>
        <v>400</v>
      </c>
      <c r="H5" s="233">
        <f>missionsDragonRelativeMetrics[[#This Row],[Reward Multiplier]]*$C$6</f>
        <v>600</v>
      </c>
      <c r="I5" s="233">
        <f>missionsDragonRelativeMetrics[[#This Row],[Reward Multiplier]]*$C$7</f>
        <v>1200</v>
      </c>
      <c r="J5" s="1">
        <v>3</v>
      </c>
    </row>
    <row r="6" spans="1:10" x14ac:dyDescent="0.25">
      <c r="A6" s="1" t="s">
        <v>170</v>
      </c>
      <c r="B6" s="1">
        <v>2</v>
      </c>
      <c r="C6" s="237">
        <v>300</v>
      </c>
      <c r="E6" s="239" t="s">
        <v>439</v>
      </c>
      <c r="F6" s="237">
        <v>6</v>
      </c>
      <c r="G6" s="233">
        <f>missionsDragonRelativeMetrics[[#This Row],[Reward Multiplier]]*$C$5</f>
        <v>1200</v>
      </c>
      <c r="H6" s="233">
        <f>missionsDragonRelativeMetrics[[#This Row],[Reward Multiplier]]*$C$6</f>
        <v>1800</v>
      </c>
      <c r="I6" s="233">
        <f>missionsDragonRelativeMetrics[[#This Row],[Reward Multiplier]]*$C$7</f>
        <v>3600</v>
      </c>
      <c r="J6" s="1">
        <v>3</v>
      </c>
    </row>
    <row r="7" spans="1:10" x14ac:dyDescent="0.25">
      <c r="A7" s="1" t="s">
        <v>171</v>
      </c>
      <c r="B7" s="1">
        <v>3</v>
      </c>
      <c r="C7" s="237">
        <v>600</v>
      </c>
      <c r="E7" s="239" t="s">
        <v>440</v>
      </c>
      <c r="F7" s="237">
        <v>12</v>
      </c>
      <c r="G7" s="233">
        <f>missionsDragonRelativeMetrics[[#This Row],[Reward Multiplier]]*$C$5</f>
        <v>2400</v>
      </c>
      <c r="H7" s="233">
        <f>missionsDragonRelativeMetrics[[#This Row],[Reward Multiplier]]*$C$6</f>
        <v>3600</v>
      </c>
      <c r="I7" s="233">
        <f>missionsDragonRelativeMetrics[[#This Row],[Reward Multiplier]]*$C$7</f>
        <v>7200</v>
      </c>
      <c r="J7" s="1">
        <v>3</v>
      </c>
    </row>
    <row r="8" spans="1:10" x14ac:dyDescent="0.25">
      <c r="E8" s="239" t="s">
        <v>441</v>
      </c>
      <c r="F8" s="237">
        <v>18</v>
      </c>
      <c r="G8" s="233">
        <f>missionsDragonRelativeMetrics[[#This Row],[Reward Multiplier]]*$C$5</f>
        <v>3600</v>
      </c>
      <c r="H8" s="233">
        <f>missionsDragonRelativeMetrics[[#This Row],[Reward Multiplier]]*$C$6</f>
        <v>5400</v>
      </c>
      <c r="I8" s="233">
        <f>missionsDragonRelativeMetrics[[#This Row],[Reward Multiplier]]*$C$7</f>
        <v>10800</v>
      </c>
      <c r="J8" s="1">
        <v>3</v>
      </c>
    </row>
    <row r="9" spans="1:10" x14ac:dyDescent="0.25">
      <c r="E9" s="239" t="s">
        <v>442</v>
      </c>
      <c r="F9" s="237">
        <v>26</v>
      </c>
      <c r="G9" s="233">
        <f>missionsDragonRelativeMetrics[[#This Row],[Reward Multiplier]]*$C$5</f>
        <v>5200</v>
      </c>
      <c r="H9" s="233">
        <f>missionsDragonRelativeMetrics[[#This Row],[Reward Multiplier]]*$C$6</f>
        <v>7800</v>
      </c>
      <c r="I9" s="233">
        <f>missionsDragonRelativeMetrics[[#This Row],[Reward Multiplier]]*$C$7</f>
        <v>15600</v>
      </c>
      <c r="J9" s="1">
        <v>3</v>
      </c>
    </row>
    <row r="10" spans="1:10" x14ac:dyDescent="0.25">
      <c r="E10" s="239" t="s">
        <v>443</v>
      </c>
      <c r="F10" s="237">
        <v>35</v>
      </c>
      <c r="G10" s="233">
        <f>missionsDragonRelativeMetrics[[#This Row],[Reward Multiplier]]*$C$5</f>
        <v>7000</v>
      </c>
      <c r="H10" s="233">
        <f>missionsDragonRelativeMetrics[[#This Row],[Reward Multiplier]]*$C$6</f>
        <v>10500</v>
      </c>
      <c r="I10" s="233">
        <f>missionsDragonRelativeMetrics[[#This Row],[Reward Multiplier]]*$C$7</f>
        <v>21000</v>
      </c>
      <c r="J10" s="1">
        <v>3</v>
      </c>
    </row>
    <row r="11" spans="1:10" x14ac:dyDescent="0.25">
      <c r="E11" s="239" t="s">
        <v>444</v>
      </c>
      <c r="F11" s="237">
        <v>45</v>
      </c>
      <c r="G11" s="233">
        <f>missionsDragonRelativeMetrics[[#This Row],[Reward Multiplier]]*$C$5</f>
        <v>9000</v>
      </c>
      <c r="H11" s="233">
        <f>missionsDragonRelativeMetrics[[#This Row],[Reward Multiplier]]*$C$6</f>
        <v>13500</v>
      </c>
      <c r="I11" s="233">
        <f>missionsDragonRelativeMetrics[[#This Row],[Reward Multiplier]]*$C$7</f>
        <v>27000</v>
      </c>
      <c r="J11" s="1">
        <v>3</v>
      </c>
    </row>
    <row r="12" spans="1:10" x14ac:dyDescent="0.25">
      <c r="A12" s="12" t="s">
        <v>4</v>
      </c>
      <c r="B12" s="12" t="s">
        <v>519</v>
      </c>
      <c r="E12" s="239" t="s">
        <v>445</v>
      </c>
      <c r="F12" s="237">
        <v>56</v>
      </c>
      <c r="G12" s="233">
        <f>missionsDragonRelativeMetrics[[#This Row],[Reward Multiplier]]*$C$5</f>
        <v>11200</v>
      </c>
      <c r="H12" s="233">
        <f>missionsDragonRelativeMetrics[[#This Row],[Reward Multiplier]]*$C$6</f>
        <v>16800</v>
      </c>
      <c r="I12" s="233">
        <f>missionsDragonRelativeMetrics[[#This Row],[Reward Multiplier]]*$C$7</f>
        <v>33600</v>
      </c>
      <c r="J12" s="1">
        <v>3</v>
      </c>
    </row>
    <row r="13" spans="1:10" x14ac:dyDescent="0.25">
      <c r="A13" s="239" t="s">
        <v>438</v>
      </c>
      <c r="B13" s="241">
        <v>0.1</v>
      </c>
      <c r="E13" s="239" t="s">
        <v>524</v>
      </c>
      <c r="F13" s="237">
        <v>62</v>
      </c>
      <c r="G13" s="233">
        <f>missionsDragonRelativeMetrics[[#This Row],[Reward Multiplier]]*$C$5</f>
        <v>12400</v>
      </c>
      <c r="H13" s="233">
        <f>missionsDragonRelativeMetrics[[#This Row],[Reward Multiplier]]*$C$6</f>
        <v>18600</v>
      </c>
      <c r="I13" s="233">
        <f>missionsDragonRelativeMetrics[[#This Row],[Reward Multiplier]]*$C$7</f>
        <v>37200</v>
      </c>
      <c r="J13" s="1">
        <v>3</v>
      </c>
    </row>
    <row r="14" spans="1:10" x14ac:dyDescent="0.25">
      <c r="A14" s="239" t="s">
        <v>439</v>
      </c>
      <c r="B14" s="241">
        <v>0.7</v>
      </c>
      <c r="E14" s="239" t="s">
        <v>446</v>
      </c>
      <c r="F14" s="237">
        <v>67</v>
      </c>
      <c r="G14" s="233">
        <f>missionsDragonRelativeMetrics[[#This Row],[Reward Multiplier]]*$C$5</f>
        <v>13400</v>
      </c>
      <c r="H14" s="233">
        <f>missionsDragonRelativeMetrics[[#This Row],[Reward Multiplier]]*$C$6</f>
        <v>20100</v>
      </c>
      <c r="I14" s="233">
        <f>missionsDragonRelativeMetrics[[#This Row],[Reward Multiplier]]*$C$7</f>
        <v>40200</v>
      </c>
      <c r="J14" s="1">
        <v>3</v>
      </c>
    </row>
    <row r="15" spans="1:10" x14ac:dyDescent="0.25">
      <c r="A15" s="239" t="s">
        <v>440</v>
      </c>
      <c r="B15" s="241">
        <v>1</v>
      </c>
      <c r="E15" s="239" t="s">
        <v>447</v>
      </c>
      <c r="F15" s="237">
        <v>80</v>
      </c>
      <c r="G15" s="243">
        <f>missionsDragonRelativeMetrics[[#This Row],[Reward Multiplier]]*$C$5</f>
        <v>16000</v>
      </c>
      <c r="H15" s="243">
        <f>missionsDragonRelativeMetrics[[#This Row],[Reward Multiplier]]*$C$6</f>
        <v>24000</v>
      </c>
      <c r="I15" s="233">
        <f>missionsDragonRelativeMetrics[[#This Row],[Reward Multiplier]]*$C$7</f>
        <v>48000</v>
      </c>
      <c r="J15" s="22">
        <v>3</v>
      </c>
    </row>
    <row r="16" spans="1:10" x14ac:dyDescent="0.25">
      <c r="A16" s="239" t="s">
        <v>441</v>
      </c>
      <c r="B16" s="241">
        <v>1.5</v>
      </c>
      <c r="E16" s="239" t="s">
        <v>525</v>
      </c>
      <c r="F16" s="237">
        <v>85</v>
      </c>
      <c r="G16" s="244">
        <f>missionsDragonRelativeMetrics[[#This Row],[Reward Multiplier]]*$C$5</f>
        <v>17000</v>
      </c>
      <c r="H16" s="244">
        <f>missionsDragonRelativeMetrics[[#This Row],[Reward Multiplier]]*$C$6</f>
        <v>25500</v>
      </c>
      <c r="I16" s="245">
        <f>missionsDragonRelativeMetrics[[#This Row],[Reward Multiplier]]*$C$7</f>
        <v>51000</v>
      </c>
      <c r="J16" s="186">
        <v>3</v>
      </c>
    </row>
    <row r="17" spans="1:12" x14ac:dyDescent="0.25">
      <c r="A17" s="239" t="s">
        <v>442</v>
      </c>
      <c r="B17" s="241">
        <v>2</v>
      </c>
    </row>
    <row r="18" spans="1:12" x14ac:dyDescent="0.25">
      <c r="A18" s="239" t="s">
        <v>443</v>
      </c>
      <c r="B18" s="241">
        <v>2.5</v>
      </c>
    </row>
    <row r="19" spans="1:12" x14ac:dyDescent="0.25">
      <c r="A19" s="239" t="s">
        <v>444</v>
      </c>
      <c r="B19" s="241">
        <v>3</v>
      </c>
      <c r="C19" s="1"/>
    </row>
    <row r="20" spans="1:12" x14ac:dyDescent="0.25">
      <c r="A20" s="239" t="s">
        <v>445</v>
      </c>
      <c r="B20" s="241">
        <v>4</v>
      </c>
      <c r="C20" s="1"/>
      <c r="D20" s="1"/>
      <c r="E20" s="235" t="s">
        <v>508</v>
      </c>
    </row>
    <row r="21" spans="1:12" x14ac:dyDescent="0.25">
      <c r="A21" s="239" t="s">
        <v>524</v>
      </c>
      <c r="B21" s="241">
        <v>4.5</v>
      </c>
      <c r="D21" s="1"/>
    </row>
    <row r="22" spans="1:12" x14ac:dyDescent="0.25">
      <c r="A22" s="239" t="s">
        <v>446</v>
      </c>
      <c r="B22" s="241">
        <v>5</v>
      </c>
      <c r="E22" s="207" t="s">
        <v>448</v>
      </c>
      <c r="F22" s="208" t="s">
        <v>436</v>
      </c>
      <c r="G22" s="208" t="s">
        <v>436</v>
      </c>
      <c r="H22" s="208" t="s">
        <v>436</v>
      </c>
      <c r="I22" s="202" t="s">
        <v>449</v>
      </c>
    </row>
    <row r="23" spans="1:12" x14ac:dyDescent="0.25">
      <c r="A23" s="239" t="s">
        <v>447</v>
      </c>
      <c r="B23" s="246">
        <v>7</v>
      </c>
      <c r="E23" s="236" t="s">
        <v>442</v>
      </c>
      <c r="F23" s="206" t="s">
        <v>461</v>
      </c>
      <c r="G23" s="206" t="s">
        <v>462</v>
      </c>
      <c r="H23" s="206" t="s">
        <v>463</v>
      </c>
      <c r="I23" s="237" t="b">
        <v>0</v>
      </c>
    </row>
    <row r="24" spans="1:12" x14ac:dyDescent="0.25">
      <c r="A24" s="239" t="s">
        <v>525</v>
      </c>
      <c r="B24" s="246">
        <v>7.5</v>
      </c>
      <c r="E24" s="207" t="s">
        <v>450</v>
      </c>
      <c r="F24" s="208" t="s">
        <v>451</v>
      </c>
      <c r="G24" s="208" t="s">
        <v>451</v>
      </c>
      <c r="H24" s="208" t="s">
        <v>451</v>
      </c>
      <c r="I24" s="202" t="s">
        <v>452</v>
      </c>
    </row>
    <row r="25" spans="1:12" x14ac:dyDescent="0.25">
      <c r="E25" s="205">
        <f>INDEX(Table1[QuantityModifier],MATCH(E23,Table1[Dragon],0))</f>
        <v>2</v>
      </c>
      <c r="F25" s="242">
        <v>0.05</v>
      </c>
      <c r="G25" s="242">
        <v>0.1</v>
      </c>
      <c r="H25" s="242">
        <v>0.2</v>
      </c>
      <c r="I25" s="209">
        <f>IF(I23,B28,0)</f>
        <v>0</v>
      </c>
    </row>
    <row r="27" spans="1:12" x14ac:dyDescent="0.25">
      <c r="A27" s="12" t="s">
        <v>520</v>
      </c>
      <c r="B27" s="12" t="s">
        <v>519</v>
      </c>
      <c r="E27" s="207" t="s">
        <v>453</v>
      </c>
      <c r="F27" s="234">
        <f>$E$25+F25</f>
        <v>2.0499999999999998</v>
      </c>
      <c r="G27" s="234">
        <f>$E$25+G25</f>
        <v>2.1</v>
      </c>
      <c r="H27" s="234">
        <f>$E$25+H25</f>
        <v>2.2000000000000002</v>
      </c>
    </row>
    <row r="28" spans="1:12" x14ac:dyDescent="0.25">
      <c r="A28" s="240" t="b">
        <v>1</v>
      </c>
      <c r="B28" s="241">
        <v>0.7</v>
      </c>
    </row>
    <row r="32" spans="1:12" x14ac:dyDescent="0.25">
      <c r="G32" s="256" t="s">
        <v>516</v>
      </c>
      <c r="H32" s="256"/>
      <c r="I32" s="257" t="s">
        <v>517</v>
      </c>
      <c r="J32" s="258"/>
      <c r="K32" s="259" t="s">
        <v>518</v>
      </c>
      <c r="L32" s="260"/>
    </row>
    <row r="33" spans="2:12" x14ac:dyDescent="0.25">
      <c r="B33" s="253" t="s">
        <v>510</v>
      </c>
      <c r="C33" s="253" t="s">
        <v>511</v>
      </c>
      <c r="D33" s="253" t="s">
        <v>521</v>
      </c>
      <c r="E33" s="253" t="s">
        <v>514</v>
      </c>
      <c r="F33" s="253" t="s">
        <v>515</v>
      </c>
      <c r="G33" s="254" t="s">
        <v>522</v>
      </c>
      <c r="H33" s="255" t="s">
        <v>523</v>
      </c>
      <c r="I33" s="254" t="s">
        <v>554</v>
      </c>
      <c r="J33" s="255" t="s">
        <v>555</v>
      </c>
      <c r="K33" s="254" t="s">
        <v>556</v>
      </c>
      <c r="L33" s="255" t="s">
        <v>557</v>
      </c>
    </row>
    <row r="34" spans="2:12" x14ac:dyDescent="0.25">
      <c r="B34" t="s">
        <v>0</v>
      </c>
      <c r="C34" t="s">
        <v>512</v>
      </c>
      <c r="D34" t="s">
        <v>513</v>
      </c>
      <c r="E34" s="238">
        <v>700</v>
      </c>
      <c r="F34" s="238">
        <v>750</v>
      </c>
      <c r="G34" t="str">
        <f t="shared" ref="G34:G62" si="0">CONCATENATE(ROUND((E34*$F$27)*(1-$I$25),0), " to ",ROUND((F34*$F$27)*(1-$I$25),0))</f>
        <v>1435 to 1538</v>
      </c>
      <c r="H34" t="str">
        <f>CONCATENATE(INDEX(missionsDragonRelativeMetrics[Easy Mission Reward],MATCH($E$23,missionsDragonRelativeMetrics[Dragon],0)), " coins")</f>
        <v>5200 coins</v>
      </c>
      <c r="I34" t="str">
        <f t="shared" ref="I34:I62" si="1">CONCATENATE(ROUND((E34*$G$27)*(1-$I$25),0), " to ",ROUND((F34*$G$27)*(1-$I$25),0))</f>
        <v>1470 to 1575</v>
      </c>
      <c r="J34" t="str">
        <f>CONCATENATE(INDEX(missionsDragonRelativeMetrics[Medium Mission Reward],MATCH($E$23,missionsDragonRelativeMetrics[Dragon],0)), " coins")</f>
        <v>7800 coins</v>
      </c>
      <c r="K34" t="str">
        <f t="shared" ref="K34:K62" si="2">CONCATENATE(ROUND((E34*$H$27)*(1-$I$25),0), " to ",ROUND((F34*$H$27)*(1-$I$25),0))</f>
        <v>1540 to 1650</v>
      </c>
      <c r="L34" t="str">
        <f>CONCATENATE(INDEX(missionsDragonRelativeMetrics[Hard Mission Reward],MATCH($E$23,missionsDragonRelativeMetrics[Dragon],0)), " coins")</f>
        <v>15600 coins</v>
      </c>
    </row>
    <row r="35" spans="2:12" x14ac:dyDescent="0.25">
      <c r="B35" t="s">
        <v>0</v>
      </c>
      <c r="C35" t="s">
        <v>527</v>
      </c>
      <c r="D35" t="s">
        <v>513</v>
      </c>
      <c r="E35" s="238">
        <v>25</v>
      </c>
      <c r="F35" s="238">
        <v>30</v>
      </c>
      <c r="G35" t="str">
        <f t="shared" si="0"/>
        <v>51 to 62</v>
      </c>
      <c r="H35" t="str">
        <f>CONCATENATE(INDEX(missionsDragonRelativeMetrics[Easy Mission Reward],MATCH($E$23,missionsDragonRelativeMetrics[Dragon],0)), " coins")</f>
        <v>5200 coins</v>
      </c>
      <c r="I35" t="str">
        <f t="shared" si="1"/>
        <v>53 to 63</v>
      </c>
      <c r="J35" t="str">
        <f>CONCATENATE(INDEX(missionsDragonRelativeMetrics[Medium Mission Reward],MATCH($E$23,missionsDragonRelativeMetrics[Dragon],0)), " coins")</f>
        <v>7800 coins</v>
      </c>
      <c r="K35" t="str">
        <f t="shared" si="2"/>
        <v>55 to 66</v>
      </c>
      <c r="L35" t="str">
        <f>CONCATENATE(INDEX(missionsDragonRelativeMetrics[Hard Mission Reward],MATCH($E$23,missionsDragonRelativeMetrics[Dragon],0)), " coins")</f>
        <v>15600 coins</v>
      </c>
    </row>
    <row r="36" spans="2:12" x14ac:dyDescent="0.25">
      <c r="B36" t="s">
        <v>528</v>
      </c>
      <c r="C36" t="s">
        <v>529</v>
      </c>
      <c r="D36" t="s">
        <v>530</v>
      </c>
      <c r="E36" s="238">
        <v>1000</v>
      </c>
      <c r="F36" s="238">
        <v>1200</v>
      </c>
      <c r="G36" t="str">
        <f t="shared" si="0"/>
        <v>2050 to 2460</v>
      </c>
      <c r="H36" t="str">
        <f>CONCATENATE(INDEX(missionsDragonRelativeMetrics[Easy Mission Reward],MATCH($E$23,missionsDragonRelativeMetrics[Dragon],0)), " coins")</f>
        <v>5200 coins</v>
      </c>
      <c r="I36" t="str">
        <f t="shared" si="1"/>
        <v>2100 to 2520</v>
      </c>
      <c r="J36" t="str">
        <f>CONCATENATE(INDEX(missionsDragonRelativeMetrics[Medium Mission Reward],MATCH($E$23,missionsDragonRelativeMetrics[Dragon],0)), " coins")</f>
        <v>7800 coins</v>
      </c>
      <c r="K36" t="str">
        <f t="shared" si="2"/>
        <v>2200 to 2640</v>
      </c>
      <c r="L36" t="str">
        <f>CONCATENATE(INDEX(missionsDragonRelativeMetrics[Hard Mission Reward],MATCH($E$23,missionsDragonRelativeMetrics[Dragon],0)), " coins")</f>
        <v>15600 coins</v>
      </c>
    </row>
    <row r="37" spans="2:12" x14ac:dyDescent="0.25">
      <c r="B37" t="s">
        <v>0</v>
      </c>
      <c r="C37" t="s">
        <v>5</v>
      </c>
      <c r="D37" t="s">
        <v>513</v>
      </c>
      <c r="E37" s="250">
        <v>10</v>
      </c>
      <c r="F37" s="250">
        <v>11</v>
      </c>
      <c r="G37" t="str">
        <f t="shared" si="0"/>
        <v>21 to 23</v>
      </c>
      <c r="H37" t="str">
        <f>CONCATENATE(INDEX(missionsDragonRelativeMetrics[Easy Mission Reward],MATCH($E$23,missionsDragonRelativeMetrics[Dragon],0)), " coins")</f>
        <v>5200 coins</v>
      </c>
      <c r="I37" t="str">
        <f t="shared" si="1"/>
        <v>21 to 23</v>
      </c>
      <c r="J37" t="str">
        <f>CONCATENATE(INDEX(missionsDragonRelativeMetrics[Medium Mission Reward],MATCH($E$23,missionsDragonRelativeMetrics[Dragon],0)), " coins")</f>
        <v>7800 coins</v>
      </c>
      <c r="K37" t="str">
        <f t="shared" si="2"/>
        <v>22 to 24</v>
      </c>
      <c r="L37" t="str">
        <f>CONCATENATE(INDEX(missionsDragonRelativeMetrics[Hard Mission Reward],MATCH($E$23,missionsDragonRelativeMetrics[Dragon],0)), " coins")</f>
        <v>15600 coins</v>
      </c>
    </row>
    <row r="38" spans="2:12" x14ac:dyDescent="0.25">
      <c r="B38" t="s">
        <v>531</v>
      </c>
      <c r="C38" s="251" t="s">
        <v>532</v>
      </c>
      <c r="D38" t="s">
        <v>513</v>
      </c>
      <c r="E38" s="250">
        <v>5</v>
      </c>
      <c r="F38" s="250">
        <v>6</v>
      </c>
      <c r="G38" s="252" t="str">
        <f t="shared" si="0"/>
        <v>10 to 12</v>
      </c>
      <c r="H38" t="str">
        <f>CONCATENATE(INDEX(missionsDragonRelativeMetrics[Easy Mission Reward],MATCH($E$23,missionsDragonRelativeMetrics[Dragon],0)), " coins")</f>
        <v>5200 coins</v>
      </c>
      <c r="I38" s="252" t="str">
        <f t="shared" si="1"/>
        <v>11 to 13</v>
      </c>
      <c r="J38" t="str">
        <f>CONCATENATE(INDEX(missionsDragonRelativeMetrics[Medium Mission Reward],MATCH($E$23,missionsDragonRelativeMetrics[Dragon],0)), " coins")</f>
        <v>7800 coins</v>
      </c>
      <c r="K38" s="252" t="str">
        <f t="shared" si="2"/>
        <v>11 to 13</v>
      </c>
      <c r="L38" t="str">
        <f>CONCATENATE(INDEX(missionsDragonRelativeMetrics[Hard Mission Reward],MATCH($E$23,missionsDragonRelativeMetrics[Dragon],0)), " coins")</f>
        <v>15600 coins</v>
      </c>
    </row>
    <row r="39" spans="2:12" x14ac:dyDescent="0.25">
      <c r="B39" t="s">
        <v>533</v>
      </c>
      <c r="C39" s="251" t="s">
        <v>532</v>
      </c>
      <c r="D39" t="s">
        <v>530</v>
      </c>
      <c r="E39" s="250">
        <v>350</v>
      </c>
      <c r="F39" s="250">
        <v>400</v>
      </c>
      <c r="G39" s="252" t="str">
        <f t="shared" si="0"/>
        <v>718 to 820</v>
      </c>
      <c r="H39" t="str">
        <f>CONCATENATE(INDEX(missionsDragonRelativeMetrics[Easy Mission Reward],MATCH($E$23,missionsDragonRelativeMetrics[Dragon],0)), " coins")</f>
        <v>5200 coins</v>
      </c>
      <c r="I39" s="252" t="str">
        <f t="shared" si="1"/>
        <v>735 to 840</v>
      </c>
      <c r="J39" t="str">
        <f>CONCATENATE(INDEX(missionsDragonRelativeMetrics[Medium Mission Reward],MATCH($E$23,missionsDragonRelativeMetrics[Dragon],0)), " coins")</f>
        <v>7800 coins</v>
      </c>
      <c r="K39" s="252" t="str">
        <f t="shared" si="2"/>
        <v>770 to 880</v>
      </c>
      <c r="L39" t="str">
        <f>CONCATENATE(INDEX(missionsDragonRelativeMetrics[Hard Mission Reward],MATCH($E$23,missionsDragonRelativeMetrics[Dragon],0)), " coins")</f>
        <v>15600 coins</v>
      </c>
    </row>
    <row r="40" spans="2:12" x14ac:dyDescent="0.25">
      <c r="B40" t="s">
        <v>534</v>
      </c>
      <c r="C40" s="251" t="s">
        <v>532</v>
      </c>
      <c r="D40" t="s">
        <v>530</v>
      </c>
      <c r="E40" s="250">
        <v>300</v>
      </c>
      <c r="F40" s="250">
        <v>400</v>
      </c>
      <c r="G40" s="252" t="str">
        <f t="shared" si="0"/>
        <v>615 to 820</v>
      </c>
      <c r="H40" t="str">
        <f>CONCATENATE(INDEX(missionsDragonRelativeMetrics[Easy Mission Reward],MATCH($E$23,missionsDragonRelativeMetrics[Dragon],0)), " coins")</f>
        <v>5200 coins</v>
      </c>
      <c r="I40" s="252" t="str">
        <f t="shared" si="1"/>
        <v>630 to 840</v>
      </c>
      <c r="J40" t="str">
        <f>CONCATENATE(INDEX(missionsDragonRelativeMetrics[Medium Mission Reward],MATCH($E$23,missionsDragonRelativeMetrics[Dragon],0)), " coins")</f>
        <v>7800 coins</v>
      </c>
      <c r="K40" s="252" t="str">
        <f t="shared" si="2"/>
        <v>660 to 880</v>
      </c>
      <c r="L40" t="str">
        <f>CONCATENATE(INDEX(missionsDragonRelativeMetrics[Hard Mission Reward],MATCH($E$23,missionsDragonRelativeMetrics[Dragon],0)), " coins")</f>
        <v>15600 coins</v>
      </c>
    </row>
    <row r="41" spans="2:12" x14ac:dyDescent="0.25">
      <c r="B41" t="s">
        <v>1</v>
      </c>
      <c r="C41" s="251" t="s">
        <v>532</v>
      </c>
      <c r="D41" t="s">
        <v>513</v>
      </c>
      <c r="E41" s="250">
        <v>400000</v>
      </c>
      <c r="F41" s="250">
        <v>500000</v>
      </c>
      <c r="G41" s="252" t="str">
        <f t="shared" si="0"/>
        <v>820000 to 1025000</v>
      </c>
      <c r="H41" t="str">
        <f>CONCATENATE(INDEX(missionsDragonRelativeMetrics[Easy Mission Reward],MATCH($E$23,missionsDragonRelativeMetrics[Dragon],0)), " coins")</f>
        <v>5200 coins</v>
      </c>
      <c r="I41" s="252" t="str">
        <f t="shared" si="1"/>
        <v>840000 to 1050000</v>
      </c>
      <c r="J41" t="str">
        <f>CONCATENATE(INDEX(missionsDragonRelativeMetrics[Medium Mission Reward],MATCH($E$23,missionsDragonRelativeMetrics[Dragon],0)), " coins")</f>
        <v>7800 coins</v>
      </c>
      <c r="K41" s="252" t="str">
        <f t="shared" si="2"/>
        <v>880000 to 1100000</v>
      </c>
      <c r="L41" t="str">
        <f>CONCATENATE(INDEX(missionsDragonRelativeMetrics[Hard Mission Reward],MATCH($E$23,missionsDragonRelativeMetrics[Dragon],0)), " coins")</f>
        <v>15600 coins</v>
      </c>
    </row>
    <row r="42" spans="2:12" x14ac:dyDescent="0.25">
      <c r="B42" t="s">
        <v>0</v>
      </c>
      <c r="C42" t="s">
        <v>535</v>
      </c>
      <c r="D42" t="s">
        <v>513</v>
      </c>
      <c r="E42" s="250">
        <v>45</v>
      </c>
      <c r="F42" s="250">
        <v>55</v>
      </c>
      <c r="G42" s="252" t="str">
        <f t="shared" si="0"/>
        <v>92 to 113</v>
      </c>
      <c r="H42" t="str">
        <f>CONCATENATE(INDEX(missionsDragonRelativeMetrics[Easy Mission Reward],MATCH($E$23,missionsDragonRelativeMetrics[Dragon],0)), " coins")</f>
        <v>5200 coins</v>
      </c>
      <c r="I42" s="252" t="str">
        <f t="shared" si="1"/>
        <v>95 to 116</v>
      </c>
      <c r="J42" t="str">
        <f>CONCATENATE(INDEX(missionsDragonRelativeMetrics[Medium Mission Reward],MATCH($E$23,missionsDragonRelativeMetrics[Dragon],0)), " coins")</f>
        <v>7800 coins</v>
      </c>
      <c r="K42" s="252" t="str">
        <f t="shared" si="2"/>
        <v>99 to 121</v>
      </c>
      <c r="L42" t="str">
        <f>CONCATENATE(INDEX(missionsDragonRelativeMetrics[Hard Mission Reward],MATCH($E$23,missionsDragonRelativeMetrics[Dragon],0)), " coins")</f>
        <v>15600 coins</v>
      </c>
    </row>
    <row r="43" spans="2:12" x14ac:dyDescent="0.25">
      <c r="B43" t="s">
        <v>0</v>
      </c>
      <c r="C43" t="s">
        <v>536</v>
      </c>
      <c r="D43" t="s">
        <v>513</v>
      </c>
      <c r="E43" s="250">
        <v>40</v>
      </c>
      <c r="F43" s="250">
        <v>45</v>
      </c>
      <c r="G43" s="252" t="str">
        <f t="shared" si="0"/>
        <v>82 to 92</v>
      </c>
      <c r="H43" t="str">
        <f>CONCATENATE(INDEX(missionsDragonRelativeMetrics[Easy Mission Reward],MATCH($E$23,missionsDragonRelativeMetrics[Dragon],0)), " coins")</f>
        <v>5200 coins</v>
      </c>
      <c r="I43" s="252" t="str">
        <f t="shared" si="1"/>
        <v>84 to 95</v>
      </c>
      <c r="J43" t="str">
        <f>CONCATENATE(INDEX(missionsDragonRelativeMetrics[Medium Mission Reward],MATCH($E$23,missionsDragonRelativeMetrics[Dragon],0)), " coins")</f>
        <v>7800 coins</v>
      </c>
      <c r="K43" s="252" t="str">
        <f t="shared" si="2"/>
        <v>88 to 99</v>
      </c>
      <c r="L43" t="str">
        <f>CONCATENATE(INDEX(missionsDragonRelativeMetrics[Hard Mission Reward],MATCH($E$23,missionsDragonRelativeMetrics[Dragon],0)), " coins")</f>
        <v>15600 coins</v>
      </c>
    </row>
    <row r="44" spans="2:12" x14ac:dyDescent="0.25">
      <c r="B44" t="s">
        <v>0</v>
      </c>
      <c r="C44" t="s">
        <v>537</v>
      </c>
      <c r="D44" t="s">
        <v>513</v>
      </c>
      <c r="E44" s="250">
        <v>150</v>
      </c>
      <c r="F44" s="250">
        <v>200</v>
      </c>
      <c r="G44" s="252" t="str">
        <f t="shared" si="0"/>
        <v>308 to 410</v>
      </c>
      <c r="H44" t="str">
        <f>CONCATENATE(INDEX(missionsDragonRelativeMetrics[Easy Mission Reward],MATCH($E$23,missionsDragonRelativeMetrics[Dragon],0)), " coins")</f>
        <v>5200 coins</v>
      </c>
      <c r="I44" s="252" t="str">
        <f t="shared" si="1"/>
        <v>315 to 420</v>
      </c>
      <c r="J44" t="str">
        <f>CONCATENATE(INDEX(missionsDragonRelativeMetrics[Medium Mission Reward],MATCH($E$23,missionsDragonRelativeMetrics[Dragon],0)), " coins")</f>
        <v>7800 coins</v>
      </c>
      <c r="K44" s="252" t="str">
        <f t="shared" si="2"/>
        <v>330 to 440</v>
      </c>
      <c r="L44" t="str">
        <f>CONCATENATE(INDEX(missionsDragonRelativeMetrics[Hard Mission Reward],MATCH($E$23,missionsDragonRelativeMetrics[Dragon],0)), " coins")</f>
        <v>15600 coins</v>
      </c>
    </row>
    <row r="45" spans="2:12" x14ac:dyDescent="0.25">
      <c r="B45" t="s">
        <v>0</v>
      </c>
      <c r="C45" t="s">
        <v>538</v>
      </c>
      <c r="D45" t="s">
        <v>513</v>
      </c>
      <c r="E45" s="250">
        <v>5</v>
      </c>
      <c r="F45" s="250">
        <v>7</v>
      </c>
      <c r="G45" s="252" t="str">
        <f t="shared" si="0"/>
        <v>10 to 14</v>
      </c>
      <c r="H45" t="str">
        <f>CONCATENATE(INDEX(missionsDragonRelativeMetrics[Easy Mission Reward],MATCH($E$23,missionsDragonRelativeMetrics[Dragon],0)), " coins")</f>
        <v>5200 coins</v>
      </c>
      <c r="I45" s="252" t="str">
        <f t="shared" si="1"/>
        <v>11 to 15</v>
      </c>
      <c r="J45" t="str">
        <f>CONCATENATE(INDEX(missionsDragonRelativeMetrics[Medium Mission Reward],MATCH($E$23,missionsDragonRelativeMetrics[Dragon],0)), " coins")</f>
        <v>7800 coins</v>
      </c>
      <c r="K45" s="252" t="str">
        <f t="shared" si="2"/>
        <v>11 to 15</v>
      </c>
      <c r="L45" t="str">
        <f>CONCATENATE(INDEX(missionsDragonRelativeMetrics[Hard Mission Reward],MATCH($E$23,missionsDragonRelativeMetrics[Dragon],0)), " coins")</f>
        <v>15600 coins</v>
      </c>
    </row>
    <row r="46" spans="2:12" x14ac:dyDescent="0.25">
      <c r="B46" t="s">
        <v>0</v>
      </c>
      <c r="C46" t="s">
        <v>539</v>
      </c>
      <c r="D46" t="s">
        <v>513</v>
      </c>
      <c r="E46" s="250">
        <v>5</v>
      </c>
      <c r="F46" s="250">
        <v>7</v>
      </c>
      <c r="G46" s="252" t="str">
        <f t="shared" si="0"/>
        <v>10 to 14</v>
      </c>
      <c r="H46" t="str">
        <f>CONCATENATE(INDEX(missionsDragonRelativeMetrics[Easy Mission Reward],MATCH($E$23,missionsDragonRelativeMetrics[Dragon],0)), " coins")</f>
        <v>5200 coins</v>
      </c>
      <c r="I46" s="252" t="str">
        <f t="shared" si="1"/>
        <v>11 to 15</v>
      </c>
      <c r="J46" t="str">
        <f>CONCATENATE(INDEX(missionsDragonRelativeMetrics[Medium Mission Reward],MATCH($E$23,missionsDragonRelativeMetrics[Dragon],0)), " coins")</f>
        <v>7800 coins</v>
      </c>
      <c r="K46" s="252" t="str">
        <f t="shared" si="2"/>
        <v>11 to 15</v>
      </c>
      <c r="L46" t="str">
        <f>CONCATENATE(INDEX(missionsDragonRelativeMetrics[Hard Mission Reward],MATCH($E$23,missionsDragonRelativeMetrics[Dragon],0)), " coins")</f>
        <v>15600 coins</v>
      </c>
    </row>
    <row r="47" spans="2:12" x14ac:dyDescent="0.25">
      <c r="B47" t="s">
        <v>0</v>
      </c>
      <c r="C47" t="s">
        <v>540</v>
      </c>
      <c r="D47" t="s">
        <v>513</v>
      </c>
      <c r="E47" s="250">
        <v>3</v>
      </c>
      <c r="F47" s="250">
        <v>4</v>
      </c>
      <c r="G47" s="252" t="str">
        <f t="shared" si="0"/>
        <v>6 to 8</v>
      </c>
      <c r="H47" t="str">
        <f>CONCATENATE(INDEX(missionsDragonRelativeMetrics[Easy Mission Reward],MATCH($E$23,missionsDragonRelativeMetrics[Dragon],0)), " coins")</f>
        <v>5200 coins</v>
      </c>
      <c r="I47" s="252" t="str">
        <f t="shared" si="1"/>
        <v>6 to 8</v>
      </c>
      <c r="J47" t="str">
        <f>CONCATENATE(INDEX(missionsDragonRelativeMetrics[Medium Mission Reward],MATCH($E$23,missionsDragonRelativeMetrics[Dragon],0)), " coins")</f>
        <v>7800 coins</v>
      </c>
      <c r="K47" s="252" t="str">
        <f t="shared" si="2"/>
        <v>7 to 9</v>
      </c>
      <c r="L47" t="str">
        <f>CONCATENATE(INDEX(missionsDragonRelativeMetrics[Hard Mission Reward],MATCH($E$23,missionsDragonRelativeMetrics[Dragon],0)), " coins")</f>
        <v>15600 coins</v>
      </c>
    </row>
    <row r="48" spans="2:12" x14ac:dyDescent="0.25">
      <c r="B48" t="s">
        <v>0</v>
      </c>
      <c r="C48" t="s">
        <v>541</v>
      </c>
      <c r="D48" t="s">
        <v>513</v>
      </c>
      <c r="E48" s="250">
        <v>3</v>
      </c>
      <c r="F48" s="250">
        <v>3</v>
      </c>
      <c r="G48" s="252" t="str">
        <f t="shared" si="0"/>
        <v>6 to 6</v>
      </c>
      <c r="H48" t="str">
        <f>CONCATENATE(INDEX(missionsDragonRelativeMetrics[Easy Mission Reward],MATCH($E$23,missionsDragonRelativeMetrics[Dragon],0)), " coins")</f>
        <v>5200 coins</v>
      </c>
      <c r="I48" s="252" t="str">
        <f t="shared" si="1"/>
        <v>6 to 6</v>
      </c>
      <c r="J48" t="str">
        <f>CONCATENATE(INDEX(missionsDragonRelativeMetrics[Medium Mission Reward],MATCH($E$23,missionsDragonRelativeMetrics[Dragon],0)), " coins")</f>
        <v>7800 coins</v>
      </c>
      <c r="K48" s="252" t="str">
        <f t="shared" si="2"/>
        <v>7 to 7</v>
      </c>
      <c r="L48" t="str">
        <f>CONCATENATE(INDEX(missionsDragonRelativeMetrics[Hard Mission Reward],MATCH($E$23,missionsDragonRelativeMetrics[Dragon],0)), " coins")</f>
        <v>15600 coins</v>
      </c>
    </row>
    <row r="49" spans="2:12" x14ac:dyDescent="0.25">
      <c r="B49" t="s">
        <v>0</v>
      </c>
      <c r="C49" t="s">
        <v>542</v>
      </c>
      <c r="D49" t="s">
        <v>513</v>
      </c>
      <c r="E49" s="250">
        <v>8</v>
      </c>
      <c r="F49" s="250">
        <v>9</v>
      </c>
      <c r="G49" s="252" t="str">
        <f t="shared" si="0"/>
        <v>16 to 18</v>
      </c>
      <c r="H49" t="str">
        <f>CONCATENATE(INDEX(missionsDragonRelativeMetrics[Easy Mission Reward],MATCH($E$23,missionsDragonRelativeMetrics[Dragon],0)), " coins")</f>
        <v>5200 coins</v>
      </c>
      <c r="I49" s="252" t="str">
        <f t="shared" si="1"/>
        <v>17 to 19</v>
      </c>
      <c r="J49" t="str">
        <f>CONCATENATE(INDEX(missionsDragonRelativeMetrics[Medium Mission Reward],MATCH($E$23,missionsDragonRelativeMetrics[Dragon],0)), " coins")</f>
        <v>7800 coins</v>
      </c>
      <c r="K49" s="252" t="str">
        <f t="shared" si="2"/>
        <v>18 to 20</v>
      </c>
      <c r="L49" t="str">
        <f>CONCATENATE(INDEX(missionsDragonRelativeMetrics[Hard Mission Reward],MATCH($E$23,missionsDragonRelativeMetrics[Dragon],0)), " coins")</f>
        <v>15600 coins</v>
      </c>
    </row>
    <row r="50" spans="2:12" x14ac:dyDescent="0.25">
      <c r="B50" t="s">
        <v>0</v>
      </c>
      <c r="C50" t="s">
        <v>543</v>
      </c>
      <c r="D50" t="s">
        <v>513</v>
      </c>
      <c r="E50" s="250">
        <v>11</v>
      </c>
      <c r="F50" s="250">
        <v>12</v>
      </c>
      <c r="G50" s="252" t="str">
        <f t="shared" si="0"/>
        <v>23 to 25</v>
      </c>
      <c r="H50" t="str">
        <f>CONCATENATE(INDEX(missionsDragonRelativeMetrics[Easy Mission Reward],MATCH($E$23,missionsDragonRelativeMetrics[Dragon],0)), " coins")</f>
        <v>5200 coins</v>
      </c>
      <c r="I50" s="252" t="str">
        <f t="shared" si="1"/>
        <v>23 to 25</v>
      </c>
      <c r="J50" t="str">
        <f>CONCATENATE(INDEX(missionsDragonRelativeMetrics[Medium Mission Reward],MATCH($E$23,missionsDragonRelativeMetrics[Dragon],0)), " coins")</f>
        <v>7800 coins</v>
      </c>
      <c r="K50" s="252" t="str">
        <f t="shared" si="2"/>
        <v>24 to 26</v>
      </c>
      <c r="L50" t="str">
        <f>CONCATENATE(INDEX(missionsDragonRelativeMetrics[Hard Mission Reward],MATCH($E$23,missionsDragonRelativeMetrics[Dragon],0)), " coins")</f>
        <v>15600 coins</v>
      </c>
    </row>
    <row r="51" spans="2:12" x14ac:dyDescent="0.25">
      <c r="B51" t="s">
        <v>544</v>
      </c>
      <c r="C51" s="251" t="s">
        <v>532</v>
      </c>
      <c r="D51" t="s">
        <v>513</v>
      </c>
      <c r="E51" s="250">
        <v>6000</v>
      </c>
      <c r="F51" s="250">
        <v>7000</v>
      </c>
      <c r="G51" s="252" t="str">
        <f t="shared" si="0"/>
        <v>12300 to 14350</v>
      </c>
      <c r="H51" t="str">
        <f>CONCATENATE(INDEX(missionsDragonRelativeMetrics[Easy Mission Reward],MATCH($E$23,missionsDragonRelativeMetrics[Dragon],0)), " coins")</f>
        <v>5200 coins</v>
      </c>
      <c r="I51" s="252" t="str">
        <f t="shared" si="1"/>
        <v>12600 to 14700</v>
      </c>
      <c r="J51" t="str">
        <f>CONCATENATE(INDEX(missionsDragonRelativeMetrics[Medium Mission Reward],MATCH($E$23,missionsDragonRelativeMetrics[Dragon],0)), " coins")</f>
        <v>7800 coins</v>
      </c>
      <c r="K51" s="252" t="str">
        <f t="shared" si="2"/>
        <v>13200 to 15400</v>
      </c>
      <c r="L51" t="str">
        <f>CONCATENATE(INDEX(missionsDragonRelativeMetrics[Hard Mission Reward],MATCH($E$23,missionsDragonRelativeMetrics[Dragon],0)), " coins")</f>
        <v>15600 coins</v>
      </c>
    </row>
    <row r="52" spans="2:12" x14ac:dyDescent="0.25">
      <c r="B52" t="s">
        <v>545</v>
      </c>
      <c r="C52" s="251" t="s">
        <v>532</v>
      </c>
      <c r="D52" t="s">
        <v>513</v>
      </c>
      <c r="E52" s="250">
        <v>50</v>
      </c>
      <c r="F52" s="250">
        <v>55</v>
      </c>
      <c r="G52" s="252" t="str">
        <f t="shared" si="0"/>
        <v>103 to 113</v>
      </c>
      <c r="H52" t="str">
        <f>CONCATENATE(INDEX(missionsDragonRelativeMetrics[Easy Mission Reward],MATCH($E$23,missionsDragonRelativeMetrics[Dragon],0)), " coins")</f>
        <v>5200 coins</v>
      </c>
      <c r="I52" s="252" t="str">
        <f t="shared" si="1"/>
        <v>105 to 116</v>
      </c>
      <c r="J52" t="str">
        <f>CONCATENATE(INDEX(missionsDragonRelativeMetrics[Medium Mission Reward],MATCH($E$23,missionsDragonRelativeMetrics[Dragon],0)), " coins")</f>
        <v>7800 coins</v>
      </c>
      <c r="K52" s="252" t="str">
        <f t="shared" si="2"/>
        <v>110 to 121</v>
      </c>
      <c r="L52" t="str">
        <f>CONCATENATE(INDEX(missionsDragonRelativeMetrics[Hard Mission Reward],MATCH($E$23,missionsDragonRelativeMetrics[Dragon],0)), " coins")</f>
        <v>15600 coins</v>
      </c>
    </row>
    <row r="53" spans="2:12" x14ac:dyDescent="0.25">
      <c r="B53" t="s">
        <v>545</v>
      </c>
      <c r="C53" t="s">
        <v>546</v>
      </c>
      <c r="D53" t="s">
        <v>513</v>
      </c>
      <c r="E53" s="250">
        <v>4</v>
      </c>
      <c r="F53" s="250">
        <v>4</v>
      </c>
      <c r="G53" s="252" t="str">
        <f t="shared" si="0"/>
        <v>8 to 8</v>
      </c>
      <c r="H53" t="str">
        <f>CONCATENATE(INDEX(missionsDragonRelativeMetrics[Easy Mission Reward],MATCH($E$23,missionsDragonRelativeMetrics[Dragon],0)), " coins")</f>
        <v>5200 coins</v>
      </c>
      <c r="I53" s="252" t="str">
        <f t="shared" si="1"/>
        <v>8 to 8</v>
      </c>
      <c r="J53" t="str">
        <f>CONCATENATE(INDEX(missionsDragonRelativeMetrics[Medium Mission Reward],MATCH($E$23,missionsDragonRelativeMetrics[Dragon],0)), " coins")</f>
        <v>7800 coins</v>
      </c>
      <c r="K53" s="252" t="str">
        <f t="shared" si="2"/>
        <v>9 to 9</v>
      </c>
      <c r="L53" t="str">
        <f>CONCATENATE(INDEX(missionsDragonRelativeMetrics[Hard Mission Reward],MATCH($E$23,missionsDragonRelativeMetrics[Dragon],0)), " coins")</f>
        <v>15600 coins</v>
      </c>
    </row>
    <row r="54" spans="2:12" x14ac:dyDescent="0.25">
      <c r="B54" t="s">
        <v>545</v>
      </c>
      <c r="C54" t="s">
        <v>547</v>
      </c>
      <c r="D54" t="s">
        <v>513</v>
      </c>
      <c r="E54" s="250">
        <v>5</v>
      </c>
      <c r="F54" s="250">
        <v>5</v>
      </c>
      <c r="G54" s="252" t="str">
        <f t="shared" si="0"/>
        <v>10 to 10</v>
      </c>
      <c r="H54" t="str">
        <f>CONCATENATE(INDEX(missionsDragonRelativeMetrics[Easy Mission Reward],MATCH($E$23,missionsDragonRelativeMetrics[Dragon],0)), " coins")</f>
        <v>5200 coins</v>
      </c>
      <c r="I54" s="252" t="str">
        <f t="shared" si="1"/>
        <v>11 to 11</v>
      </c>
      <c r="J54" t="str">
        <f>CONCATENATE(INDEX(missionsDragonRelativeMetrics[Medium Mission Reward],MATCH($E$23,missionsDragonRelativeMetrics[Dragon],0)), " coins")</f>
        <v>7800 coins</v>
      </c>
      <c r="K54" s="252" t="str">
        <f t="shared" si="2"/>
        <v>11 to 11</v>
      </c>
      <c r="L54" t="str">
        <f>CONCATENATE(INDEX(missionsDragonRelativeMetrics[Hard Mission Reward],MATCH($E$23,missionsDragonRelativeMetrics[Dragon],0)), " coins")</f>
        <v>15600 coins</v>
      </c>
    </row>
    <row r="55" spans="2:12" x14ac:dyDescent="0.25">
      <c r="B55" t="s">
        <v>545</v>
      </c>
      <c r="C55" t="s">
        <v>536</v>
      </c>
      <c r="D55" t="s">
        <v>513</v>
      </c>
      <c r="E55" s="250">
        <v>17</v>
      </c>
      <c r="F55" s="250">
        <v>18</v>
      </c>
      <c r="G55" s="252" t="str">
        <f t="shared" si="0"/>
        <v>35 to 37</v>
      </c>
      <c r="H55" t="str">
        <f>CONCATENATE(INDEX(missionsDragonRelativeMetrics[Easy Mission Reward],MATCH($E$23,missionsDragonRelativeMetrics[Dragon],0)), " coins")</f>
        <v>5200 coins</v>
      </c>
      <c r="I55" s="252" t="str">
        <f t="shared" si="1"/>
        <v>36 to 38</v>
      </c>
      <c r="J55" t="str">
        <f>CONCATENATE(INDEX(missionsDragonRelativeMetrics[Medium Mission Reward],MATCH($E$23,missionsDragonRelativeMetrics[Dragon],0)), " coins")</f>
        <v>7800 coins</v>
      </c>
      <c r="K55" s="252" t="str">
        <f t="shared" si="2"/>
        <v>37 to 40</v>
      </c>
      <c r="L55" t="str">
        <f>CONCATENATE(INDEX(missionsDragonRelativeMetrics[Hard Mission Reward],MATCH($E$23,missionsDragonRelativeMetrics[Dragon],0)), " coins")</f>
        <v>15600 coins</v>
      </c>
    </row>
    <row r="56" spans="2:12" x14ac:dyDescent="0.25">
      <c r="B56" t="s">
        <v>2</v>
      </c>
      <c r="C56" t="s">
        <v>548</v>
      </c>
      <c r="D56" t="s">
        <v>530</v>
      </c>
      <c r="E56" s="250">
        <v>10</v>
      </c>
      <c r="F56" s="250">
        <v>12</v>
      </c>
      <c r="G56" s="252" t="str">
        <f t="shared" si="0"/>
        <v>21 to 25</v>
      </c>
      <c r="H56" t="str">
        <f>CONCATENATE(INDEX(missionsDragonRelativeMetrics[Easy Mission Reward],MATCH($E$23,missionsDragonRelativeMetrics[Dragon],0)), " coins")</f>
        <v>5200 coins</v>
      </c>
      <c r="I56" s="252" t="str">
        <f t="shared" si="1"/>
        <v>21 to 25</v>
      </c>
      <c r="J56" t="str">
        <f>CONCATENATE(INDEX(missionsDragonRelativeMetrics[Medium Mission Reward],MATCH($E$23,missionsDragonRelativeMetrics[Dragon],0)), " coins")</f>
        <v>7800 coins</v>
      </c>
      <c r="K56" s="252" t="str">
        <f t="shared" si="2"/>
        <v>22 to 26</v>
      </c>
      <c r="L56" t="str">
        <f>CONCATENATE(INDEX(missionsDragonRelativeMetrics[Hard Mission Reward],MATCH($E$23,missionsDragonRelativeMetrics[Dragon],0)), " coins")</f>
        <v>15600 coins</v>
      </c>
    </row>
    <row r="57" spans="2:12" x14ac:dyDescent="0.25">
      <c r="B57" t="s">
        <v>545</v>
      </c>
      <c r="C57" t="s">
        <v>549</v>
      </c>
      <c r="D57" t="s">
        <v>513</v>
      </c>
      <c r="E57" s="250">
        <v>3</v>
      </c>
      <c r="F57" s="250">
        <v>4</v>
      </c>
      <c r="G57" s="252" t="str">
        <f t="shared" si="0"/>
        <v>6 to 8</v>
      </c>
      <c r="H57" t="str">
        <f>CONCATENATE(INDEX(missionsDragonRelativeMetrics[Easy Mission Reward],MATCH($E$23,missionsDragonRelativeMetrics[Dragon],0)), " coins")</f>
        <v>5200 coins</v>
      </c>
      <c r="I57" s="252" t="str">
        <f t="shared" si="1"/>
        <v>6 to 8</v>
      </c>
      <c r="J57" t="str">
        <f>CONCATENATE(INDEX(missionsDragonRelativeMetrics[Medium Mission Reward],MATCH($E$23,missionsDragonRelativeMetrics[Dragon],0)), " coins")</f>
        <v>7800 coins</v>
      </c>
      <c r="K57" s="252" t="str">
        <f t="shared" si="2"/>
        <v>7 to 9</v>
      </c>
      <c r="L57" t="str">
        <f>CONCATENATE(INDEX(missionsDragonRelativeMetrics[Hard Mission Reward],MATCH($E$23,missionsDragonRelativeMetrics[Dragon],0)), " coins")</f>
        <v>15600 coins</v>
      </c>
    </row>
    <row r="58" spans="2:12" x14ac:dyDescent="0.25">
      <c r="B58" t="s">
        <v>545</v>
      </c>
      <c r="C58" t="s">
        <v>512</v>
      </c>
      <c r="D58" t="s">
        <v>513</v>
      </c>
      <c r="E58" s="250">
        <v>25</v>
      </c>
      <c r="F58" s="250">
        <v>27</v>
      </c>
      <c r="G58" s="252" t="str">
        <f t="shared" si="0"/>
        <v>51 to 55</v>
      </c>
      <c r="H58" t="str">
        <f>CONCATENATE(INDEX(missionsDragonRelativeMetrics[Easy Mission Reward],MATCH($E$23,missionsDragonRelativeMetrics[Dragon],0)), " coins")</f>
        <v>5200 coins</v>
      </c>
      <c r="I58" s="252" t="str">
        <f t="shared" si="1"/>
        <v>53 to 57</v>
      </c>
      <c r="J58" t="str">
        <f>CONCATENATE(INDEX(missionsDragonRelativeMetrics[Medium Mission Reward],MATCH($E$23,missionsDragonRelativeMetrics[Dragon],0)), " coins")</f>
        <v>7800 coins</v>
      </c>
      <c r="K58" s="252" t="str">
        <f t="shared" si="2"/>
        <v>55 to 59</v>
      </c>
      <c r="L58" t="str">
        <f>CONCATENATE(INDEX(missionsDragonRelativeMetrics[Hard Mission Reward],MATCH($E$23,missionsDragonRelativeMetrics[Dragon],0)), " coins")</f>
        <v>15600 coins</v>
      </c>
    </row>
    <row r="59" spans="2:12" x14ac:dyDescent="0.25">
      <c r="B59" t="s">
        <v>0</v>
      </c>
      <c r="C59" t="s">
        <v>550</v>
      </c>
      <c r="D59" t="s">
        <v>513</v>
      </c>
      <c r="E59" s="250">
        <v>10</v>
      </c>
      <c r="F59" s="250">
        <v>12</v>
      </c>
      <c r="G59" s="252" t="str">
        <f t="shared" si="0"/>
        <v>21 to 25</v>
      </c>
      <c r="H59" t="str">
        <f>CONCATENATE(INDEX(missionsDragonRelativeMetrics[Easy Mission Reward],MATCH($E$23,missionsDragonRelativeMetrics[Dragon],0)), " coins")</f>
        <v>5200 coins</v>
      </c>
      <c r="I59" s="252" t="str">
        <f t="shared" si="1"/>
        <v>21 to 25</v>
      </c>
      <c r="J59" t="str">
        <f>CONCATENATE(INDEX(missionsDragonRelativeMetrics[Medium Mission Reward],MATCH($E$23,missionsDragonRelativeMetrics[Dragon],0)), " coins")</f>
        <v>7800 coins</v>
      </c>
      <c r="K59" s="252" t="str">
        <f t="shared" si="2"/>
        <v>22 to 26</v>
      </c>
      <c r="L59" t="str">
        <f>CONCATENATE(INDEX(missionsDragonRelativeMetrics[Hard Mission Reward],MATCH($E$23,missionsDragonRelativeMetrics[Dragon],0)), " coins")</f>
        <v>15600 coins</v>
      </c>
    </row>
    <row r="60" spans="2:12" x14ac:dyDescent="0.25">
      <c r="B60" t="s">
        <v>545</v>
      </c>
      <c r="C60" t="s">
        <v>551</v>
      </c>
      <c r="D60" t="s">
        <v>513</v>
      </c>
      <c r="E60" s="250">
        <v>3</v>
      </c>
      <c r="F60" s="250">
        <v>3</v>
      </c>
      <c r="G60" s="252" t="str">
        <f t="shared" si="0"/>
        <v>6 to 6</v>
      </c>
      <c r="H60" t="str">
        <f>CONCATENATE(INDEX(missionsDragonRelativeMetrics[Easy Mission Reward],MATCH($E$23,missionsDragonRelativeMetrics[Dragon],0)), " coins")</f>
        <v>5200 coins</v>
      </c>
      <c r="I60" s="252" t="str">
        <f t="shared" si="1"/>
        <v>6 to 6</v>
      </c>
      <c r="J60" t="str">
        <f>CONCATENATE(INDEX(missionsDragonRelativeMetrics[Medium Mission Reward],MATCH($E$23,missionsDragonRelativeMetrics[Dragon],0)), " coins")</f>
        <v>7800 coins</v>
      </c>
      <c r="K60" s="252" t="str">
        <f t="shared" si="2"/>
        <v>7 to 7</v>
      </c>
      <c r="L60" t="str">
        <f>CONCATENATE(INDEX(missionsDragonRelativeMetrics[Hard Mission Reward],MATCH($E$23,missionsDragonRelativeMetrics[Dragon],0)), " coins")</f>
        <v>15600 coins</v>
      </c>
    </row>
    <row r="61" spans="2:12" x14ac:dyDescent="0.25">
      <c r="B61" t="s">
        <v>528</v>
      </c>
      <c r="C61" t="s">
        <v>552</v>
      </c>
      <c r="D61" t="s">
        <v>530</v>
      </c>
      <c r="E61" s="250">
        <v>1</v>
      </c>
      <c r="F61" s="250">
        <v>2</v>
      </c>
      <c r="G61" s="252" t="str">
        <f t="shared" si="0"/>
        <v>2 to 4</v>
      </c>
      <c r="H61" t="str">
        <f>CONCATENATE(INDEX(missionsDragonRelativeMetrics[Easy Mission Reward],MATCH($E$23,missionsDragonRelativeMetrics[Dragon],0)), " coins")</f>
        <v>5200 coins</v>
      </c>
      <c r="I61" s="252" t="str">
        <f t="shared" si="1"/>
        <v>2 to 4</v>
      </c>
      <c r="J61" t="str">
        <f>CONCATENATE(INDEX(missionsDragonRelativeMetrics[Medium Mission Reward],MATCH($E$23,missionsDragonRelativeMetrics[Dragon],0)), " coins")</f>
        <v>7800 coins</v>
      </c>
      <c r="K61" s="252" t="str">
        <f t="shared" si="2"/>
        <v>2 to 4</v>
      </c>
      <c r="L61" t="str">
        <f>CONCATENATE(INDEX(missionsDragonRelativeMetrics[Hard Mission Reward],MATCH($E$23,missionsDragonRelativeMetrics[Dragon],0)), " coins")</f>
        <v>15600 coins</v>
      </c>
    </row>
    <row r="62" spans="2:12" x14ac:dyDescent="0.25">
      <c r="B62" t="s">
        <v>0</v>
      </c>
      <c r="C62" t="s">
        <v>553</v>
      </c>
      <c r="D62" t="s">
        <v>513</v>
      </c>
      <c r="E62" s="250">
        <v>5</v>
      </c>
      <c r="F62" s="250">
        <v>6</v>
      </c>
      <c r="G62" s="252" t="str">
        <f t="shared" si="0"/>
        <v>10 to 12</v>
      </c>
      <c r="H62" t="str">
        <f>CONCATENATE(INDEX(missionsDragonRelativeMetrics[Easy Mission Reward],MATCH($E$23,missionsDragonRelativeMetrics[Dragon],0)), " coins")</f>
        <v>5200 coins</v>
      </c>
      <c r="I62" s="252" t="str">
        <f t="shared" si="1"/>
        <v>11 to 13</v>
      </c>
      <c r="J62" t="str">
        <f>CONCATENATE(INDEX(missionsDragonRelativeMetrics[Medium Mission Reward],MATCH($E$23,missionsDragonRelativeMetrics[Dragon],0)), " coins")</f>
        <v>7800 coins</v>
      </c>
      <c r="K62" s="252" t="str">
        <f t="shared" si="2"/>
        <v>11 to 13</v>
      </c>
      <c r="L62" t="str">
        <f>CONCATENATE(INDEX(missionsDragonRelativeMetrics[Hard Mission Reward],MATCH($E$23,missionsDragonRelativeMetrics[Dragon],0)), " coins")</f>
        <v>15600 coins</v>
      </c>
    </row>
  </sheetData>
  <mergeCells count="3">
    <mergeCell ref="G32:H32"/>
    <mergeCell ref="I32:J32"/>
    <mergeCell ref="K32:L32"/>
  </mergeCells>
  <dataValidations count="2">
    <dataValidation type="list" allowBlank="1" showInputMessage="1" showErrorMessage="1" sqref="I23">
      <formula1>"TRUE,FALSE"</formula1>
    </dataValidation>
    <dataValidation type="list" allowBlank="1" showInputMessage="1" showErrorMessage="1" sqref="E23">
      <formula1>$A$13:$A$24</formula1>
    </dataValidation>
  </dataValidations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>
    <tabColor rgb="FF00B050"/>
  </sheetPr>
  <dimension ref="A1:D18"/>
  <sheetViews>
    <sheetView workbookViewId="0">
      <selection activeCell="G37" sqref="G37"/>
    </sheetView>
  </sheetViews>
  <sheetFormatPr defaultRowHeight="15" x14ac:dyDescent="0.25"/>
  <cols>
    <col min="1" max="1" width="22.28515625" customWidth="1"/>
    <col min="2" max="2" width="15.5703125" customWidth="1"/>
    <col min="3" max="3" width="29.5703125" customWidth="1"/>
  </cols>
  <sheetData>
    <row r="1" spans="1:4" ht="18.75" x14ac:dyDescent="0.3">
      <c r="A1" s="84" t="s">
        <v>147</v>
      </c>
      <c r="B1" s="83"/>
      <c r="C1" s="83"/>
    </row>
    <row r="3" spans="1:4" x14ac:dyDescent="0.25">
      <c r="A3" s="12" t="s">
        <v>38</v>
      </c>
      <c r="B3" s="12" t="s">
        <v>177</v>
      </c>
      <c r="C3" s="12" t="s">
        <v>429</v>
      </c>
      <c r="D3" s="12"/>
    </row>
    <row r="4" spans="1:4" x14ac:dyDescent="0.25">
      <c r="A4" s="108">
        <v>1</v>
      </c>
      <c r="B4" s="108">
        <v>3</v>
      </c>
      <c r="C4" s="108">
        <f t="array" ref="C4:D4">LINEST(B4:B5,A4:A5,TRUE)</f>
        <v>0.54545454545454541</v>
      </c>
      <c r="D4" s="108">
        <v>2.454545454545455</v>
      </c>
    </row>
    <row r="5" spans="1:4" x14ac:dyDescent="0.25">
      <c r="A5" s="108">
        <v>12</v>
      </c>
      <c r="B5" s="108">
        <v>9</v>
      </c>
    </row>
    <row r="6" spans="1:4" x14ac:dyDescent="0.25">
      <c r="A6" s="1" t="s">
        <v>98</v>
      </c>
      <c r="B6" s="1" t="s">
        <v>102</v>
      </c>
      <c r="C6" s="1" t="s">
        <v>167</v>
      </c>
    </row>
    <row r="7" spans="1:4" x14ac:dyDescent="0.25">
      <c r="A7" s="146">
        <v>1</v>
      </c>
      <c r="B7" s="147">
        <v>8</v>
      </c>
      <c r="C7" s="148">
        <f>$C$4*RunDuration[[#This Row],[Dragon ID / Level]]+$D$4</f>
        <v>3.0000000000000004</v>
      </c>
    </row>
    <row r="8" spans="1:4" x14ac:dyDescent="0.25">
      <c r="A8" s="144">
        <v>2</v>
      </c>
      <c r="B8" s="145">
        <v>10</v>
      </c>
      <c r="C8" s="148">
        <f>$C$4*RunDuration[[#This Row],[Dragon ID / Level]]+$D$4</f>
        <v>3.5454545454545459</v>
      </c>
    </row>
    <row r="9" spans="1:4" x14ac:dyDescent="0.25">
      <c r="A9" s="144">
        <v>3</v>
      </c>
      <c r="B9" s="145">
        <v>10</v>
      </c>
      <c r="C9" s="148">
        <f>$C$4*RunDuration[[#This Row],[Dragon ID / Level]]+$D$4</f>
        <v>4.0909090909090917</v>
      </c>
    </row>
    <row r="10" spans="1:4" x14ac:dyDescent="0.25">
      <c r="A10" s="46">
        <v>4</v>
      </c>
      <c r="B10" s="57">
        <v>10</v>
      </c>
      <c r="C10" s="148">
        <f>$C$4*RunDuration[[#This Row],[Dragon ID / Level]]+$D$4</f>
        <v>4.6363636363636367</v>
      </c>
    </row>
    <row r="11" spans="1:4" x14ac:dyDescent="0.25">
      <c r="A11" s="46">
        <v>5</v>
      </c>
      <c r="B11" s="57">
        <v>15</v>
      </c>
      <c r="C11" s="148">
        <f>$C$4*RunDuration[[#This Row],[Dragon ID / Level]]+$D$4</f>
        <v>5.1818181818181817</v>
      </c>
    </row>
    <row r="12" spans="1:4" x14ac:dyDescent="0.25">
      <c r="A12" s="46">
        <v>6</v>
      </c>
      <c r="B12" s="57">
        <v>15</v>
      </c>
      <c r="C12" s="148">
        <f>$C$4*RunDuration[[#This Row],[Dragon ID / Level]]+$D$4</f>
        <v>5.7272727272727275</v>
      </c>
    </row>
    <row r="13" spans="1:4" x14ac:dyDescent="0.25">
      <c r="A13" s="44">
        <v>7</v>
      </c>
      <c r="B13" s="56">
        <v>15</v>
      </c>
      <c r="C13" s="148">
        <f>$C$4*RunDuration[[#This Row],[Dragon ID / Level]]+$D$4</f>
        <v>6.2727272727272734</v>
      </c>
    </row>
    <row r="14" spans="1:4" x14ac:dyDescent="0.25">
      <c r="A14" s="44">
        <v>8</v>
      </c>
      <c r="B14" s="56">
        <v>20</v>
      </c>
      <c r="C14" s="148">
        <f>$C$4*RunDuration[[#This Row],[Dragon ID / Level]]+$D$4</f>
        <v>6.8181818181818183</v>
      </c>
    </row>
    <row r="15" spans="1:4" x14ac:dyDescent="0.25">
      <c r="A15" s="44">
        <v>9</v>
      </c>
      <c r="B15" s="56">
        <v>20</v>
      </c>
      <c r="C15" s="148">
        <f>$C$4*RunDuration[[#This Row],[Dragon ID / Level]]+$D$4</f>
        <v>7.3636363636363633</v>
      </c>
    </row>
    <row r="16" spans="1:4" x14ac:dyDescent="0.25">
      <c r="A16" s="54">
        <v>10</v>
      </c>
      <c r="B16" s="58">
        <v>20</v>
      </c>
      <c r="C16" s="148">
        <f>$C$4*RunDuration[[#This Row],[Dragon ID / Level]]+$D$4</f>
        <v>7.9090909090909092</v>
      </c>
    </row>
    <row r="17" spans="1:3" x14ac:dyDescent="0.25">
      <c r="A17" s="54">
        <v>11</v>
      </c>
      <c r="B17" s="58">
        <v>20</v>
      </c>
      <c r="C17" s="148">
        <f>$C$4*RunDuration[[#This Row],[Dragon ID / Level]]+$D$4</f>
        <v>8.454545454545455</v>
      </c>
    </row>
    <row r="18" spans="1:3" x14ac:dyDescent="0.25">
      <c r="A18" s="54">
        <v>12</v>
      </c>
      <c r="B18" s="58">
        <v>20</v>
      </c>
      <c r="C18" s="148">
        <f>$C$4*RunDuration[[#This Row],[Dragon ID / Level]]+$D$4</f>
        <v>9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>
    <tabColor rgb="FF00B050"/>
  </sheetPr>
  <dimension ref="A1:C31"/>
  <sheetViews>
    <sheetView tabSelected="1" workbookViewId="0">
      <selection activeCell="C22" sqref="C22"/>
    </sheetView>
  </sheetViews>
  <sheetFormatPr defaultRowHeight="15" x14ac:dyDescent="0.25"/>
  <cols>
    <col min="1" max="1" width="15.7109375" customWidth="1"/>
    <col min="2" max="2" width="22.140625" bestFit="1" customWidth="1"/>
    <col min="3" max="3" width="15.7109375" customWidth="1"/>
  </cols>
  <sheetData>
    <row r="1" spans="1:3" ht="18.75" x14ac:dyDescent="0.3">
      <c r="A1" s="84" t="s">
        <v>187</v>
      </c>
      <c r="B1" s="84"/>
      <c r="C1" s="84"/>
    </row>
    <row r="2" spans="1:3" x14ac:dyDescent="0.25">
      <c r="A2" s="2"/>
      <c r="B2" s="2"/>
      <c r="C2" s="2"/>
    </row>
    <row r="3" spans="1:3" x14ac:dyDescent="0.25">
      <c r="A3" s="2"/>
      <c r="B3" s="2"/>
      <c r="C3" s="2"/>
    </row>
    <row r="4" spans="1:3" x14ac:dyDescent="0.25">
      <c r="A4" s="2"/>
      <c r="B4" s="2"/>
      <c r="C4" s="2"/>
    </row>
    <row r="5" spans="1:3" x14ac:dyDescent="0.25">
      <c r="A5" s="2"/>
      <c r="B5" s="2"/>
      <c r="C5" s="2"/>
    </row>
    <row r="6" spans="1:3" x14ac:dyDescent="0.25">
      <c r="A6" s="2"/>
      <c r="B6" s="2"/>
      <c r="C6" s="2"/>
    </row>
    <row r="9" spans="1:3" x14ac:dyDescent="0.25">
      <c r="A9" s="12" t="s">
        <v>160</v>
      </c>
      <c r="B9" s="5">
        <v>0.2</v>
      </c>
    </row>
    <row r="10" spans="1:3" x14ac:dyDescent="0.25">
      <c r="A10" s="12" t="s">
        <v>161</v>
      </c>
      <c r="B10" s="5">
        <v>0.2</v>
      </c>
    </row>
    <row r="11" spans="1:3" x14ac:dyDescent="0.25">
      <c r="A11" s="1" t="s">
        <v>188</v>
      </c>
      <c r="B11" s="1" t="s">
        <v>189</v>
      </c>
      <c r="C11" s="1" t="s">
        <v>561</v>
      </c>
    </row>
    <row r="12" spans="1:3" x14ac:dyDescent="0.25">
      <c r="A12" s="1">
        <v>1</v>
      </c>
      <c r="B12" s="3">
        <f>ROUND($B$9*POWER(Table96[[#This Row],[Time (min)]],$B$10),2)</f>
        <v>0.2</v>
      </c>
      <c r="C12" s="1"/>
    </row>
    <row r="13" spans="1:3" x14ac:dyDescent="0.25">
      <c r="A13" s="1">
        <v>2</v>
      </c>
      <c r="B13" s="3">
        <f>ROUND($B$9*POWER(Table96[[#This Row],[Time (min)]],$B$10),2)</f>
        <v>0.23</v>
      </c>
      <c r="C13" s="1"/>
    </row>
    <row r="14" spans="1:3" x14ac:dyDescent="0.25">
      <c r="A14" s="1">
        <v>3</v>
      </c>
      <c r="B14" s="3">
        <f>ROUND($B$9*POWER(Table96[[#This Row],[Time (min)]],$B$10),2)</f>
        <v>0.25</v>
      </c>
      <c r="C14" s="1"/>
    </row>
    <row r="15" spans="1:3" x14ac:dyDescent="0.25">
      <c r="A15" s="1">
        <v>4</v>
      </c>
      <c r="B15" s="3">
        <f>ROUND($B$9*POWER(Table96[[#This Row],[Time (min)]],$B$10),2)</f>
        <v>0.26</v>
      </c>
      <c r="C15" s="1"/>
    </row>
    <row r="16" spans="1:3" x14ac:dyDescent="0.25">
      <c r="A16" s="1">
        <v>5</v>
      </c>
      <c r="B16" s="3">
        <f>ROUND($B$9*POWER(Table96[[#This Row],[Time (min)]],$B$10),2)</f>
        <v>0.28000000000000003</v>
      </c>
      <c r="C16" s="1"/>
    </row>
    <row r="17" spans="1:3" x14ac:dyDescent="0.25">
      <c r="A17" s="1">
        <v>6</v>
      </c>
      <c r="B17" s="3">
        <f>ROUND($B$9*POWER(Table96[[#This Row],[Time (min)]],$B$10),2)</f>
        <v>0.28999999999999998</v>
      </c>
      <c r="C17" s="1"/>
    </row>
    <row r="18" spans="1:3" x14ac:dyDescent="0.25">
      <c r="A18" s="1">
        <v>7</v>
      </c>
      <c r="B18" s="3">
        <f>ROUND($B$9*POWER(Table96[[#This Row],[Time (min)]],$B$10),2)</f>
        <v>0.3</v>
      </c>
      <c r="C18" s="1"/>
    </row>
    <row r="19" spans="1:3" x14ac:dyDescent="0.25">
      <c r="A19" s="1">
        <v>8</v>
      </c>
      <c r="B19" s="3">
        <f>ROUND($B$9*POWER(Table96[[#This Row],[Time (min)]],$B$10),2)</f>
        <v>0.3</v>
      </c>
      <c r="C19" s="1"/>
    </row>
    <row r="20" spans="1:3" x14ac:dyDescent="0.25">
      <c r="A20" s="1">
        <v>9</v>
      </c>
      <c r="B20" s="3">
        <f>ROUND($B$9*POWER(Table96[[#This Row],[Time (min)]],$B$10),2)</f>
        <v>0.31</v>
      </c>
      <c r="C20" s="1"/>
    </row>
    <row r="21" spans="1:3" x14ac:dyDescent="0.25">
      <c r="A21" s="1">
        <v>10</v>
      </c>
      <c r="B21" s="3">
        <f>ROUND($B$9*POWER(Table96[[#This Row],[Time (min)]],$B$10),2)</f>
        <v>0.32</v>
      </c>
      <c r="C21" s="1"/>
    </row>
    <row r="22" spans="1:3" x14ac:dyDescent="0.25">
      <c r="A22" s="1">
        <v>11</v>
      </c>
      <c r="B22" s="3">
        <f>ROUND($B$9*POWER(Table96[[#This Row],[Time (min)]],$B$10),2)</f>
        <v>0.32</v>
      </c>
      <c r="C22" s="1" t="s">
        <v>560</v>
      </c>
    </row>
    <row r="23" spans="1:3" x14ac:dyDescent="0.25">
      <c r="A23" s="1">
        <v>12</v>
      </c>
      <c r="B23" s="3">
        <f>ROUND($B$9*POWER(Table96[[#This Row],[Time (min)]],$B$10),2)</f>
        <v>0.33</v>
      </c>
      <c r="C23" s="1"/>
    </row>
    <row r="24" spans="1:3" x14ac:dyDescent="0.25">
      <c r="A24" s="1">
        <v>13</v>
      </c>
      <c r="B24" s="3">
        <f>ROUND($B$9*POWER(Table96[[#This Row],[Time (min)]],$B$10),2)</f>
        <v>0.33</v>
      </c>
      <c r="C24" s="1"/>
    </row>
    <row r="25" spans="1:3" x14ac:dyDescent="0.25">
      <c r="A25" s="1">
        <v>14</v>
      </c>
      <c r="B25" s="3">
        <f>ROUND($B$9*POWER(Table96[[#This Row],[Time (min)]],$B$10),2)</f>
        <v>0.34</v>
      </c>
      <c r="C25" s="1"/>
    </row>
    <row r="26" spans="1:3" x14ac:dyDescent="0.25">
      <c r="A26" s="1">
        <v>15</v>
      </c>
      <c r="B26" s="3">
        <f>ROUND($B$9*POWER(Table96[[#This Row],[Time (min)]],$B$10),2)</f>
        <v>0.34</v>
      </c>
      <c r="C26" s="1"/>
    </row>
    <row r="27" spans="1:3" x14ac:dyDescent="0.25">
      <c r="A27" s="1">
        <v>16</v>
      </c>
      <c r="B27" s="3">
        <f>ROUND($B$9*POWER(Table96[[#This Row],[Time (min)]],$B$10),2)</f>
        <v>0.35</v>
      </c>
      <c r="C27" s="1"/>
    </row>
    <row r="28" spans="1:3" x14ac:dyDescent="0.25">
      <c r="A28" s="1">
        <v>17</v>
      </c>
      <c r="B28" s="3">
        <f>ROUND($B$9*POWER(Table96[[#This Row],[Time (min)]],$B$10),2)</f>
        <v>0.35</v>
      </c>
      <c r="C28" s="1"/>
    </row>
    <row r="29" spans="1:3" x14ac:dyDescent="0.25">
      <c r="A29" s="1">
        <v>18</v>
      </c>
      <c r="B29" s="3">
        <f>ROUND($B$9*POWER(Table96[[#This Row],[Time (min)]],$B$10),2)</f>
        <v>0.36</v>
      </c>
      <c r="C29" s="1"/>
    </row>
    <row r="30" spans="1:3" x14ac:dyDescent="0.25">
      <c r="A30" s="1">
        <v>19</v>
      </c>
      <c r="B30" s="3">
        <f>ROUND($B$9*POWER(Table96[[#This Row],[Time (min)]],$B$10),2)</f>
        <v>0.36</v>
      </c>
      <c r="C30" s="1"/>
    </row>
    <row r="31" spans="1:3" x14ac:dyDescent="0.25">
      <c r="A31" s="1">
        <v>20</v>
      </c>
      <c r="B31" s="3">
        <f>ROUND($B$9*POWER(Table96[[#This Row],[Time (min)]],$B$10),2)</f>
        <v>0.36</v>
      </c>
      <c r="C31" s="1"/>
    </row>
  </sheetData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>
    <tabColor rgb="FF00B050"/>
  </sheetPr>
  <dimension ref="A1:F10"/>
  <sheetViews>
    <sheetView topLeftCell="A7" workbookViewId="0">
      <selection activeCell="E16" sqref="E16"/>
    </sheetView>
  </sheetViews>
  <sheetFormatPr defaultRowHeight="15" x14ac:dyDescent="0.25"/>
  <cols>
    <col min="1" max="1" width="23.85546875" customWidth="1"/>
    <col min="2" max="2" width="18.28515625" bestFit="1" customWidth="1"/>
    <col min="3" max="3" width="23.140625" bestFit="1" customWidth="1"/>
    <col min="4" max="4" width="16.7109375" customWidth="1"/>
    <col min="5" max="6" width="20.85546875" bestFit="1" customWidth="1"/>
  </cols>
  <sheetData>
    <row r="1" spans="1:6" ht="18.75" x14ac:dyDescent="0.3">
      <c r="A1" s="84" t="s">
        <v>434</v>
      </c>
      <c r="B1" s="84"/>
      <c r="C1" s="84"/>
    </row>
    <row r="2" spans="1:6" x14ac:dyDescent="0.25">
      <c r="A2" s="2"/>
      <c r="B2" s="2"/>
      <c r="C2" s="2"/>
    </row>
    <row r="3" spans="1:6" x14ac:dyDescent="0.25">
      <c r="A3" s="2"/>
      <c r="B3" s="2"/>
      <c r="C3" s="2"/>
    </row>
    <row r="4" spans="1:6" x14ac:dyDescent="0.25">
      <c r="A4" s="2"/>
      <c r="B4" s="2"/>
      <c r="C4" s="2"/>
    </row>
    <row r="5" spans="1:6" x14ac:dyDescent="0.25">
      <c r="A5" s="2"/>
      <c r="B5" s="2"/>
      <c r="C5" s="2"/>
    </row>
    <row r="6" spans="1:6" x14ac:dyDescent="0.25">
      <c r="A6" s="2"/>
      <c r="B6" s="2"/>
      <c r="C6" s="2"/>
    </row>
    <row r="8" spans="1:6" x14ac:dyDescent="0.25">
      <c r="A8" s="12" t="s">
        <v>197</v>
      </c>
      <c r="B8" s="12"/>
      <c r="C8" s="12"/>
    </row>
    <row r="9" spans="1:6" x14ac:dyDescent="0.25">
      <c r="A9" t="s">
        <v>24</v>
      </c>
      <c r="B9" t="s">
        <v>477</v>
      </c>
      <c r="C9" t="s">
        <v>112</v>
      </c>
      <c r="D9" t="s">
        <v>199</v>
      </c>
      <c r="E9" t="s">
        <v>148</v>
      </c>
      <c r="F9" t="s">
        <v>478</v>
      </c>
    </row>
    <row r="10" spans="1:6" x14ac:dyDescent="0.25">
      <c r="A10" s="1">
        <v>1</v>
      </c>
      <c r="B10" s="1">
        <v>1</v>
      </c>
      <c r="C10" s="1">
        <v>10</v>
      </c>
      <c r="D10" s="1">
        <v>0</v>
      </c>
      <c r="E10" s="1">
        <v>0</v>
      </c>
      <c r="F10" s="1">
        <f>24*60</f>
        <v>1440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>
    <tabColor rgb="FF00B050"/>
  </sheetPr>
  <dimension ref="A1:D11"/>
  <sheetViews>
    <sheetView workbookViewId="0"/>
  </sheetViews>
  <sheetFormatPr defaultRowHeight="15" x14ac:dyDescent="0.25"/>
  <cols>
    <col min="1" max="1" width="20.140625" customWidth="1"/>
    <col min="2" max="2" width="14.28515625" customWidth="1"/>
  </cols>
  <sheetData>
    <row r="1" spans="1:4" ht="18.75" x14ac:dyDescent="0.3">
      <c r="A1" s="84" t="s">
        <v>200</v>
      </c>
      <c r="B1" s="83"/>
      <c r="C1" s="83"/>
      <c r="D1" s="83"/>
    </row>
    <row r="5" spans="1:4" x14ac:dyDescent="0.25">
      <c r="A5" s="1" t="s">
        <v>201</v>
      </c>
      <c r="B5" s="1" t="s">
        <v>112</v>
      </c>
    </row>
    <row r="6" spans="1:4" x14ac:dyDescent="0.25">
      <c r="A6" s="1">
        <v>1</v>
      </c>
      <c r="B6" s="1">
        <f t="shared" ref="B6:B8" si="0">IFERROR(B5*2,1)</f>
        <v>1</v>
      </c>
    </row>
    <row r="7" spans="1:4" x14ac:dyDescent="0.25">
      <c r="A7" s="1">
        <v>2</v>
      </c>
      <c r="B7" s="1">
        <f t="shared" si="0"/>
        <v>2</v>
      </c>
    </row>
    <row r="8" spans="1:4" x14ac:dyDescent="0.25">
      <c r="A8" s="1">
        <v>3</v>
      </c>
      <c r="B8" s="1">
        <f t="shared" si="0"/>
        <v>4</v>
      </c>
    </row>
    <row r="9" spans="1:4" x14ac:dyDescent="0.25">
      <c r="A9" s="1">
        <v>4</v>
      </c>
      <c r="B9" s="22">
        <f>IFERROR(B8*2,1)</f>
        <v>8</v>
      </c>
    </row>
    <row r="10" spans="1:4" x14ac:dyDescent="0.25">
      <c r="A10" s="1">
        <v>5</v>
      </c>
      <c r="B10" s="22">
        <f>IFERROR(B9*2,1)</f>
        <v>16</v>
      </c>
    </row>
    <row r="11" spans="1:4" x14ac:dyDescent="0.25">
      <c r="A11" s="1">
        <v>6</v>
      </c>
      <c r="B11" s="22">
        <f>IFERROR(B10*2,1)</f>
        <v>32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>
    <tabColor theme="5"/>
  </sheetPr>
  <dimension ref="A1:EN31"/>
  <sheetViews>
    <sheetView showGridLines="0" showWhiteSpace="0" topLeftCell="E1" zoomScaleNormal="100" workbookViewId="0">
      <selection activeCell="AA24" sqref="AA24"/>
    </sheetView>
  </sheetViews>
  <sheetFormatPr defaultRowHeight="15" x14ac:dyDescent="0.25"/>
  <cols>
    <col min="1" max="1" width="22.28515625" customWidth="1"/>
    <col min="2" max="2" width="13.5703125" customWidth="1"/>
    <col min="3" max="6" width="9.5703125" bestFit="1" customWidth="1"/>
    <col min="7" max="7" width="24.5703125" bestFit="1" customWidth="1"/>
    <col min="8" max="22" width="10.5703125" bestFit="1" customWidth="1"/>
    <col min="24" max="25" width="13.5703125" bestFit="1" customWidth="1"/>
  </cols>
  <sheetData>
    <row r="1" spans="1:144" ht="18.75" x14ac:dyDescent="0.3">
      <c r="A1" s="30" t="s">
        <v>76</v>
      </c>
      <c r="B1" s="29"/>
      <c r="C1" s="29"/>
      <c r="D1" s="29"/>
      <c r="G1" s="76" t="s">
        <v>213</v>
      </c>
      <c r="H1" s="74">
        <v>1</v>
      </c>
      <c r="I1" s="74">
        <v>143</v>
      </c>
      <c r="J1" s="74" t="s">
        <v>211</v>
      </c>
      <c r="K1" s="74" t="s">
        <v>212</v>
      </c>
    </row>
    <row r="2" spans="1:144" x14ac:dyDescent="0.25">
      <c r="H2" s="75">
        <v>22</v>
      </c>
      <c r="I2" s="75">
        <v>75</v>
      </c>
      <c r="J2" s="75">
        <f t="array" ref="J2:K2">LINEST($H$2:$I$2,$H$1:$I$1,TRUE)</f>
        <v>0.37323943661971826</v>
      </c>
      <c r="K2" s="75">
        <v>21.626760563380287</v>
      </c>
    </row>
    <row r="4" spans="1:144" s="16" customFormat="1" x14ac:dyDescent="0.25">
      <c r="A4" s="74" t="s">
        <v>107</v>
      </c>
      <c r="B4" s="74">
        <v>1</v>
      </c>
      <c r="C4" s="74">
        <v>2</v>
      </c>
      <c r="D4" s="74">
        <v>3</v>
      </c>
      <c r="E4" s="74">
        <v>4</v>
      </c>
      <c r="F4" s="74">
        <v>5</v>
      </c>
      <c r="G4" s="74">
        <v>6</v>
      </c>
      <c r="H4" s="74">
        <v>7</v>
      </c>
      <c r="I4" s="74">
        <v>8</v>
      </c>
      <c r="J4" s="74">
        <v>9</v>
      </c>
      <c r="K4" s="74">
        <v>10</v>
      </c>
      <c r="L4" s="74">
        <v>11</v>
      </c>
      <c r="M4" s="74">
        <v>12</v>
      </c>
      <c r="N4" s="74">
        <v>13</v>
      </c>
      <c r="O4" s="74">
        <v>14</v>
      </c>
      <c r="P4" s="74">
        <v>15</v>
      </c>
      <c r="Q4" s="74">
        <v>16</v>
      </c>
      <c r="R4" s="74">
        <v>17</v>
      </c>
      <c r="S4" s="74">
        <v>18</v>
      </c>
      <c r="T4" s="74">
        <v>19</v>
      </c>
      <c r="U4" s="74">
        <v>20</v>
      </c>
      <c r="V4" s="74">
        <v>21</v>
      </c>
      <c r="W4" s="74">
        <v>22</v>
      </c>
      <c r="X4" s="74">
        <v>23</v>
      </c>
      <c r="Y4" s="74">
        <v>24</v>
      </c>
      <c r="Z4" s="74">
        <v>25</v>
      </c>
      <c r="AA4" s="74">
        <v>26</v>
      </c>
      <c r="AB4" s="74">
        <v>27</v>
      </c>
      <c r="AC4" s="74">
        <v>28</v>
      </c>
      <c r="AD4" s="74">
        <v>29</v>
      </c>
      <c r="AE4" s="74">
        <v>30</v>
      </c>
      <c r="AF4" s="74">
        <v>31</v>
      </c>
      <c r="AG4" s="74">
        <v>32</v>
      </c>
      <c r="AH4" s="74">
        <v>33</v>
      </c>
      <c r="AI4" s="74">
        <v>34</v>
      </c>
      <c r="AJ4" s="74">
        <v>35</v>
      </c>
      <c r="AK4" s="74">
        <v>36</v>
      </c>
      <c r="AL4" s="74">
        <v>37</v>
      </c>
      <c r="AM4" s="74">
        <v>38</v>
      </c>
      <c r="AN4" s="74">
        <v>39</v>
      </c>
      <c r="AO4" s="74">
        <v>40</v>
      </c>
      <c r="AP4" s="74">
        <v>41</v>
      </c>
      <c r="AQ4" s="74">
        <v>42</v>
      </c>
      <c r="AR4" s="74">
        <v>43</v>
      </c>
      <c r="AS4" s="74">
        <v>44</v>
      </c>
      <c r="AT4" s="74">
        <v>45</v>
      </c>
      <c r="AU4" s="74">
        <v>46</v>
      </c>
      <c r="AV4" s="74">
        <v>47</v>
      </c>
      <c r="AW4" s="74">
        <v>48</v>
      </c>
      <c r="AX4" s="74">
        <v>49</v>
      </c>
      <c r="AY4" s="74">
        <v>50</v>
      </c>
      <c r="AZ4" s="74">
        <v>51</v>
      </c>
      <c r="BA4" s="74">
        <v>52</v>
      </c>
      <c r="BB4" s="74">
        <v>53</v>
      </c>
      <c r="BC4" s="74">
        <v>54</v>
      </c>
      <c r="BD4" s="74">
        <v>55</v>
      </c>
      <c r="BE4" s="74">
        <v>56</v>
      </c>
      <c r="BF4" s="74">
        <v>57</v>
      </c>
      <c r="BG4" s="74">
        <v>58</v>
      </c>
      <c r="BH4" s="74">
        <v>59</v>
      </c>
      <c r="BI4" s="74">
        <v>60</v>
      </c>
      <c r="BJ4" s="74">
        <v>61</v>
      </c>
      <c r="BK4" s="74">
        <v>62</v>
      </c>
      <c r="BL4" s="74">
        <v>63</v>
      </c>
      <c r="BM4" s="74">
        <v>64</v>
      </c>
      <c r="BN4" s="74">
        <v>65</v>
      </c>
      <c r="BO4" s="74">
        <v>66</v>
      </c>
      <c r="BP4" s="74">
        <v>67</v>
      </c>
      <c r="BQ4" s="74">
        <v>68</v>
      </c>
      <c r="BR4" s="74">
        <v>69</v>
      </c>
      <c r="BS4" s="74">
        <v>70</v>
      </c>
      <c r="BT4" s="74">
        <v>71</v>
      </c>
      <c r="BU4" s="74">
        <v>72</v>
      </c>
      <c r="BV4" s="74">
        <v>73</v>
      </c>
      <c r="BW4" s="74">
        <v>74</v>
      </c>
      <c r="BX4" s="74">
        <v>75</v>
      </c>
      <c r="BY4" s="74">
        <v>76</v>
      </c>
      <c r="BZ4" s="74">
        <v>77</v>
      </c>
      <c r="CA4" s="74">
        <v>78</v>
      </c>
      <c r="CB4" s="74">
        <v>79</v>
      </c>
      <c r="CC4" s="74">
        <v>80</v>
      </c>
      <c r="CD4" s="74">
        <v>81</v>
      </c>
      <c r="CE4" s="74">
        <v>82</v>
      </c>
      <c r="CF4" s="74">
        <v>83</v>
      </c>
      <c r="CG4" s="74">
        <v>84</v>
      </c>
      <c r="CH4" s="74">
        <v>85</v>
      </c>
      <c r="CI4" s="74">
        <v>86</v>
      </c>
      <c r="CJ4" s="74">
        <v>87</v>
      </c>
      <c r="CK4" s="74">
        <v>88</v>
      </c>
      <c r="CL4" s="74">
        <v>89</v>
      </c>
      <c r="CM4" s="74">
        <v>90</v>
      </c>
      <c r="CN4" s="74">
        <v>91</v>
      </c>
      <c r="CO4" s="74">
        <v>92</v>
      </c>
      <c r="CP4" s="74">
        <v>93</v>
      </c>
      <c r="CQ4" s="74">
        <v>94</v>
      </c>
      <c r="CR4" s="74">
        <v>95</v>
      </c>
      <c r="CS4" s="74">
        <v>96</v>
      </c>
      <c r="CT4" s="74">
        <v>97</v>
      </c>
      <c r="CU4" s="74">
        <v>98</v>
      </c>
      <c r="CV4" s="74">
        <v>99</v>
      </c>
      <c r="CW4" s="74">
        <v>100</v>
      </c>
      <c r="CX4" s="74">
        <v>101</v>
      </c>
      <c r="CY4" s="74">
        <v>102</v>
      </c>
      <c r="CZ4" s="74">
        <v>103</v>
      </c>
      <c r="DA4" s="74">
        <v>104</v>
      </c>
      <c r="DB4" s="74">
        <v>105</v>
      </c>
      <c r="DC4" s="74">
        <v>106</v>
      </c>
      <c r="DD4" s="74">
        <v>107</v>
      </c>
      <c r="DE4" s="74">
        <v>108</v>
      </c>
      <c r="DF4" s="74">
        <v>109</v>
      </c>
      <c r="DG4" s="74">
        <v>110</v>
      </c>
      <c r="DH4" s="74">
        <v>111</v>
      </c>
      <c r="DI4" s="74">
        <v>112</v>
      </c>
      <c r="DJ4" s="74">
        <v>113</v>
      </c>
      <c r="DK4" s="74">
        <v>114</v>
      </c>
      <c r="DL4" s="74">
        <v>115</v>
      </c>
      <c r="DM4" s="74">
        <v>116</v>
      </c>
      <c r="DN4" s="74">
        <v>117</v>
      </c>
      <c r="DO4" s="74">
        <v>118</v>
      </c>
      <c r="DP4" s="74">
        <v>119</v>
      </c>
      <c r="DQ4" s="74">
        <v>120</v>
      </c>
      <c r="DR4" s="74">
        <v>121</v>
      </c>
      <c r="DS4" s="74">
        <v>122</v>
      </c>
      <c r="DT4" s="74">
        <v>123</v>
      </c>
      <c r="DU4" s="74">
        <v>124</v>
      </c>
      <c r="DV4" s="74">
        <v>125</v>
      </c>
      <c r="DW4" s="74">
        <v>126</v>
      </c>
      <c r="DX4" s="74">
        <v>127</v>
      </c>
      <c r="DY4" s="74">
        <v>128</v>
      </c>
      <c r="DZ4" s="74">
        <v>129</v>
      </c>
      <c r="EA4" s="74">
        <v>130</v>
      </c>
      <c r="EB4" s="74">
        <v>131</v>
      </c>
      <c r="EC4" s="74">
        <v>132</v>
      </c>
      <c r="ED4" s="74">
        <v>133</v>
      </c>
      <c r="EE4" s="74">
        <v>134</v>
      </c>
      <c r="EF4" s="74">
        <v>135</v>
      </c>
      <c r="EG4" s="74">
        <v>136</v>
      </c>
      <c r="EH4" s="74">
        <v>137</v>
      </c>
      <c r="EI4" s="74">
        <v>138</v>
      </c>
      <c r="EJ4" s="74">
        <v>139</v>
      </c>
      <c r="EK4" s="74">
        <v>140</v>
      </c>
      <c r="EL4" s="74">
        <v>141</v>
      </c>
      <c r="EM4" s="74">
        <v>142</v>
      </c>
      <c r="EN4" s="74">
        <v>143</v>
      </c>
    </row>
    <row r="5" spans="1:144" x14ac:dyDescent="0.25">
      <c r="A5" s="75" t="s">
        <v>97</v>
      </c>
      <c r="B5" s="75">
        <f>ROUND($J$2*B4+$K$2,0)</f>
        <v>22</v>
      </c>
      <c r="C5" s="75">
        <f t="shared" ref="C5:BN5" si="0">ROUND($J$2*C4+$K$2,0)</f>
        <v>22</v>
      </c>
      <c r="D5" s="75">
        <f t="shared" si="0"/>
        <v>23</v>
      </c>
      <c r="E5" s="75">
        <f t="shared" si="0"/>
        <v>23</v>
      </c>
      <c r="F5" s="75">
        <f t="shared" si="0"/>
        <v>23</v>
      </c>
      <c r="G5" s="75">
        <f t="shared" si="0"/>
        <v>24</v>
      </c>
      <c r="H5" s="75">
        <f t="shared" si="0"/>
        <v>24</v>
      </c>
      <c r="I5" s="75">
        <f t="shared" si="0"/>
        <v>25</v>
      </c>
      <c r="J5" s="75">
        <f t="shared" si="0"/>
        <v>25</v>
      </c>
      <c r="K5" s="75">
        <f t="shared" si="0"/>
        <v>25</v>
      </c>
      <c r="L5" s="75">
        <f t="shared" si="0"/>
        <v>26</v>
      </c>
      <c r="M5" s="75">
        <f t="shared" si="0"/>
        <v>26</v>
      </c>
      <c r="N5" s="75">
        <f t="shared" si="0"/>
        <v>26</v>
      </c>
      <c r="O5" s="75">
        <f t="shared" si="0"/>
        <v>27</v>
      </c>
      <c r="P5" s="75">
        <f t="shared" si="0"/>
        <v>27</v>
      </c>
      <c r="Q5" s="75">
        <f t="shared" si="0"/>
        <v>28</v>
      </c>
      <c r="R5" s="75">
        <f t="shared" si="0"/>
        <v>28</v>
      </c>
      <c r="S5" s="75">
        <f t="shared" si="0"/>
        <v>28</v>
      </c>
      <c r="T5" s="75">
        <f t="shared" si="0"/>
        <v>29</v>
      </c>
      <c r="U5" s="75">
        <f t="shared" si="0"/>
        <v>29</v>
      </c>
      <c r="V5" s="75">
        <f t="shared" si="0"/>
        <v>29</v>
      </c>
      <c r="W5" s="75">
        <f t="shared" si="0"/>
        <v>30</v>
      </c>
      <c r="X5" s="75">
        <f t="shared" si="0"/>
        <v>30</v>
      </c>
      <c r="Y5" s="75">
        <f t="shared" si="0"/>
        <v>31</v>
      </c>
      <c r="Z5" s="75">
        <f t="shared" si="0"/>
        <v>31</v>
      </c>
      <c r="AA5" s="75">
        <f t="shared" si="0"/>
        <v>31</v>
      </c>
      <c r="AB5" s="75">
        <f t="shared" si="0"/>
        <v>32</v>
      </c>
      <c r="AC5" s="75">
        <f t="shared" si="0"/>
        <v>32</v>
      </c>
      <c r="AD5" s="75">
        <f t="shared" si="0"/>
        <v>32</v>
      </c>
      <c r="AE5" s="75">
        <f t="shared" si="0"/>
        <v>33</v>
      </c>
      <c r="AF5" s="75">
        <f t="shared" si="0"/>
        <v>33</v>
      </c>
      <c r="AG5" s="75">
        <f t="shared" si="0"/>
        <v>34</v>
      </c>
      <c r="AH5" s="75">
        <f t="shared" si="0"/>
        <v>34</v>
      </c>
      <c r="AI5" s="75">
        <f t="shared" si="0"/>
        <v>34</v>
      </c>
      <c r="AJ5" s="75">
        <f t="shared" si="0"/>
        <v>35</v>
      </c>
      <c r="AK5" s="75">
        <f t="shared" si="0"/>
        <v>35</v>
      </c>
      <c r="AL5" s="75">
        <f t="shared" si="0"/>
        <v>35</v>
      </c>
      <c r="AM5" s="75">
        <f t="shared" si="0"/>
        <v>36</v>
      </c>
      <c r="AN5" s="75">
        <f t="shared" si="0"/>
        <v>36</v>
      </c>
      <c r="AO5" s="75">
        <f t="shared" si="0"/>
        <v>37</v>
      </c>
      <c r="AP5" s="75">
        <f t="shared" si="0"/>
        <v>37</v>
      </c>
      <c r="AQ5" s="75">
        <f t="shared" si="0"/>
        <v>37</v>
      </c>
      <c r="AR5" s="75">
        <f t="shared" si="0"/>
        <v>38</v>
      </c>
      <c r="AS5" s="75">
        <f t="shared" si="0"/>
        <v>38</v>
      </c>
      <c r="AT5" s="75">
        <f t="shared" si="0"/>
        <v>38</v>
      </c>
      <c r="AU5" s="75">
        <f t="shared" si="0"/>
        <v>39</v>
      </c>
      <c r="AV5" s="75">
        <f t="shared" si="0"/>
        <v>39</v>
      </c>
      <c r="AW5" s="75">
        <f t="shared" si="0"/>
        <v>40</v>
      </c>
      <c r="AX5" s="75">
        <f t="shared" si="0"/>
        <v>40</v>
      </c>
      <c r="AY5" s="75">
        <f t="shared" si="0"/>
        <v>40</v>
      </c>
      <c r="AZ5" s="75">
        <f t="shared" si="0"/>
        <v>41</v>
      </c>
      <c r="BA5" s="75">
        <f t="shared" si="0"/>
        <v>41</v>
      </c>
      <c r="BB5" s="75">
        <f t="shared" si="0"/>
        <v>41</v>
      </c>
      <c r="BC5" s="75">
        <f t="shared" si="0"/>
        <v>42</v>
      </c>
      <c r="BD5" s="75">
        <f t="shared" si="0"/>
        <v>42</v>
      </c>
      <c r="BE5" s="75">
        <f t="shared" si="0"/>
        <v>43</v>
      </c>
      <c r="BF5" s="75">
        <f t="shared" si="0"/>
        <v>43</v>
      </c>
      <c r="BG5" s="75">
        <f t="shared" si="0"/>
        <v>43</v>
      </c>
      <c r="BH5" s="75">
        <f t="shared" si="0"/>
        <v>44</v>
      </c>
      <c r="BI5" s="75">
        <f t="shared" si="0"/>
        <v>44</v>
      </c>
      <c r="BJ5" s="75">
        <f t="shared" si="0"/>
        <v>44</v>
      </c>
      <c r="BK5" s="75">
        <f t="shared" si="0"/>
        <v>45</v>
      </c>
      <c r="BL5" s="75">
        <f t="shared" si="0"/>
        <v>45</v>
      </c>
      <c r="BM5" s="75">
        <f t="shared" si="0"/>
        <v>46</v>
      </c>
      <c r="BN5" s="75">
        <f t="shared" si="0"/>
        <v>46</v>
      </c>
      <c r="BO5" s="75">
        <f t="shared" ref="BO5:DZ5" si="1">ROUND($J$2*BO4+$K$2,0)</f>
        <v>46</v>
      </c>
      <c r="BP5" s="75">
        <f t="shared" si="1"/>
        <v>47</v>
      </c>
      <c r="BQ5" s="75">
        <f t="shared" si="1"/>
        <v>47</v>
      </c>
      <c r="BR5" s="75">
        <f t="shared" si="1"/>
        <v>47</v>
      </c>
      <c r="BS5" s="75">
        <f t="shared" si="1"/>
        <v>48</v>
      </c>
      <c r="BT5" s="75">
        <f t="shared" si="1"/>
        <v>48</v>
      </c>
      <c r="BU5" s="75">
        <f t="shared" si="1"/>
        <v>49</v>
      </c>
      <c r="BV5" s="75">
        <f t="shared" si="1"/>
        <v>49</v>
      </c>
      <c r="BW5" s="75">
        <f t="shared" si="1"/>
        <v>49</v>
      </c>
      <c r="BX5" s="75">
        <f t="shared" si="1"/>
        <v>50</v>
      </c>
      <c r="BY5" s="75">
        <f t="shared" si="1"/>
        <v>50</v>
      </c>
      <c r="BZ5" s="75">
        <f t="shared" si="1"/>
        <v>50</v>
      </c>
      <c r="CA5" s="75">
        <f t="shared" si="1"/>
        <v>51</v>
      </c>
      <c r="CB5" s="75">
        <f t="shared" si="1"/>
        <v>51</v>
      </c>
      <c r="CC5" s="75">
        <f t="shared" si="1"/>
        <v>51</v>
      </c>
      <c r="CD5" s="75">
        <f t="shared" si="1"/>
        <v>52</v>
      </c>
      <c r="CE5" s="75">
        <f t="shared" si="1"/>
        <v>52</v>
      </c>
      <c r="CF5" s="75">
        <f t="shared" si="1"/>
        <v>53</v>
      </c>
      <c r="CG5" s="75">
        <f t="shared" si="1"/>
        <v>53</v>
      </c>
      <c r="CH5" s="75">
        <f t="shared" si="1"/>
        <v>53</v>
      </c>
      <c r="CI5" s="75">
        <f t="shared" si="1"/>
        <v>54</v>
      </c>
      <c r="CJ5" s="75">
        <f t="shared" si="1"/>
        <v>54</v>
      </c>
      <c r="CK5" s="75">
        <f t="shared" si="1"/>
        <v>54</v>
      </c>
      <c r="CL5" s="75">
        <f t="shared" si="1"/>
        <v>55</v>
      </c>
      <c r="CM5" s="75">
        <f t="shared" si="1"/>
        <v>55</v>
      </c>
      <c r="CN5" s="75">
        <f t="shared" si="1"/>
        <v>56</v>
      </c>
      <c r="CO5" s="75">
        <f t="shared" si="1"/>
        <v>56</v>
      </c>
      <c r="CP5" s="75">
        <f t="shared" si="1"/>
        <v>56</v>
      </c>
      <c r="CQ5" s="75">
        <f t="shared" si="1"/>
        <v>57</v>
      </c>
      <c r="CR5" s="75">
        <f t="shared" si="1"/>
        <v>57</v>
      </c>
      <c r="CS5" s="75">
        <f t="shared" si="1"/>
        <v>57</v>
      </c>
      <c r="CT5" s="75">
        <f t="shared" si="1"/>
        <v>58</v>
      </c>
      <c r="CU5" s="75">
        <f t="shared" si="1"/>
        <v>58</v>
      </c>
      <c r="CV5" s="75">
        <f t="shared" si="1"/>
        <v>59</v>
      </c>
      <c r="CW5" s="75">
        <f t="shared" si="1"/>
        <v>59</v>
      </c>
      <c r="CX5" s="75">
        <f t="shared" si="1"/>
        <v>59</v>
      </c>
      <c r="CY5" s="75">
        <f t="shared" si="1"/>
        <v>60</v>
      </c>
      <c r="CZ5" s="75">
        <f t="shared" si="1"/>
        <v>60</v>
      </c>
      <c r="DA5" s="75">
        <f t="shared" si="1"/>
        <v>60</v>
      </c>
      <c r="DB5" s="75">
        <f t="shared" si="1"/>
        <v>61</v>
      </c>
      <c r="DC5" s="75">
        <f t="shared" si="1"/>
        <v>61</v>
      </c>
      <c r="DD5" s="75">
        <f t="shared" si="1"/>
        <v>62</v>
      </c>
      <c r="DE5" s="75">
        <f t="shared" si="1"/>
        <v>62</v>
      </c>
      <c r="DF5" s="75">
        <f t="shared" si="1"/>
        <v>62</v>
      </c>
      <c r="DG5" s="75">
        <f t="shared" si="1"/>
        <v>63</v>
      </c>
      <c r="DH5" s="75">
        <f t="shared" si="1"/>
        <v>63</v>
      </c>
      <c r="DI5" s="75">
        <f t="shared" si="1"/>
        <v>63</v>
      </c>
      <c r="DJ5" s="75">
        <f t="shared" si="1"/>
        <v>64</v>
      </c>
      <c r="DK5" s="75">
        <f t="shared" si="1"/>
        <v>64</v>
      </c>
      <c r="DL5" s="75">
        <f t="shared" si="1"/>
        <v>65</v>
      </c>
      <c r="DM5" s="75">
        <f t="shared" si="1"/>
        <v>65</v>
      </c>
      <c r="DN5" s="75">
        <f t="shared" si="1"/>
        <v>65</v>
      </c>
      <c r="DO5" s="75">
        <f t="shared" si="1"/>
        <v>66</v>
      </c>
      <c r="DP5" s="75">
        <f t="shared" si="1"/>
        <v>66</v>
      </c>
      <c r="DQ5" s="75">
        <f t="shared" si="1"/>
        <v>66</v>
      </c>
      <c r="DR5" s="75">
        <f t="shared" si="1"/>
        <v>67</v>
      </c>
      <c r="DS5" s="75">
        <f t="shared" si="1"/>
        <v>67</v>
      </c>
      <c r="DT5" s="75">
        <f t="shared" si="1"/>
        <v>68</v>
      </c>
      <c r="DU5" s="75">
        <f t="shared" si="1"/>
        <v>68</v>
      </c>
      <c r="DV5" s="75">
        <f t="shared" si="1"/>
        <v>68</v>
      </c>
      <c r="DW5" s="75">
        <f t="shared" si="1"/>
        <v>69</v>
      </c>
      <c r="DX5" s="75">
        <f t="shared" si="1"/>
        <v>69</v>
      </c>
      <c r="DY5" s="75">
        <f t="shared" si="1"/>
        <v>69</v>
      </c>
      <c r="DZ5" s="75">
        <f t="shared" si="1"/>
        <v>70</v>
      </c>
      <c r="EA5" s="75">
        <f t="shared" ref="EA5:EN5" si="2">ROUND($J$2*EA4+$K$2,0)</f>
        <v>70</v>
      </c>
      <c r="EB5" s="75">
        <f t="shared" si="2"/>
        <v>71</v>
      </c>
      <c r="EC5" s="75">
        <f t="shared" si="2"/>
        <v>71</v>
      </c>
      <c r="ED5" s="75">
        <f t="shared" si="2"/>
        <v>71</v>
      </c>
      <c r="EE5" s="75">
        <f t="shared" si="2"/>
        <v>72</v>
      </c>
      <c r="EF5" s="75">
        <f t="shared" si="2"/>
        <v>72</v>
      </c>
      <c r="EG5" s="75">
        <f t="shared" si="2"/>
        <v>72</v>
      </c>
      <c r="EH5" s="75">
        <f t="shared" si="2"/>
        <v>73</v>
      </c>
      <c r="EI5" s="75">
        <f t="shared" si="2"/>
        <v>73</v>
      </c>
      <c r="EJ5" s="75">
        <f t="shared" si="2"/>
        <v>74</v>
      </c>
      <c r="EK5" s="75">
        <f t="shared" si="2"/>
        <v>74</v>
      </c>
      <c r="EL5" s="75">
        <f t="shared" si="2"/>
        <v>74</v>
      </c>
      <c r="EM5" s="75">
        <f t="shared" si="2"/>
        <v>75</v>
      </c>
      <c r="EN5" s="75">
        <f t="shared" si="2"/>
        <v>75</v>
      </c>
    </row>
    <row r="7" spans="1:144" ht="16.5" thickBot="1" x14ac:dyDescent="0.3">
      <c r="A7" s="28" t="s">
        <v>165</v>
      </c>
      <c r="B7" s="28"/>
    </row>
    <row r="8" spans="1:144" ht="15.75" thickTop="1" x14ac:dyDescent="0.25">
      <c r="A8" s="12" t="s">
        <v>98</v>
      </c>
      <c r="B8" s="1" t="s">
        <v>102</v>
      </c>
      <c r="C8" s="59" t="s">
        <v>77</v>
      </c>
      <c r="D8" s="59" t="s">
        <v>78</v>
      </c>
      <c r="E8" s="1" t="s">
        <v>79</v>
      </c>
      <c r="F8" s="1" t="s">
        <v>80</v>
      </c>
      <c r="G8" s="1" t="s">
        <v>81</v>
      </c>
      <c r="H8" s="1" t="s">
        <v>82</v>
      </c>
      <c r="I8" s="1" t="s">
        <v>83</v>
      </c>
      <c r="J8" s="1" t="s">
        <v>84</v>
      </c>
      <c r="K8" s="1" t="s">
        <v>85</v>
      </c>
      <c r="L8" s="1" t="s">
        <v>86</v>
      </c>
      <c r="M8" s="1" t="s">
        <v>87</v>
      </c>
      <c r="N8" s="1" t="s">
        <v>88</v>
      </c>
      <c r="O8" s="1" t="s">
        <v>89</v>
      </c>
      <c r="P8" s="1" t="s">
        <v>90</v>
      </c>
      <c r="Q8" s="1" t="s">
        <v>91</v>
      </c>
      <c r="R8" s="1" t="s">
        <v>92</v>
      </c>
      <c r="S8" s="1" t="s">
        <v>93</v>
      </c>
      <c r="T8" s="1" t="s">
        <v>94</v>
      </c>
      <c r="U8" s="1" t="s">
        <v>95</v>
      </c>
      <c r="V8" s="1" t="s">
        <v>96</v>
      </c>
      <c r="X8" s="12" t="s">
        <v>358</v>
      </c>
      <c r="Y8" s="12" t="s">
        <v>358</v>
      </c>
    </row>
    <row r="9" spans="1:144" x14ac:dyDescent="0.25">
      <c r="A9" s="33">
        <v>1</v>
      </c>
      <c r="B9" s="60">
        <f>HLOOKUP(Table10[[#This Row],[Dragon ID / Level]],Table86[],2,FALSE)</f>
        <v>8</v>
      </c>
      <c r="C9" s="45">
        <f>_xlfn.IFNA(ROUND(HLOOKUP('Link table'!B4,'Progression - Gold rate'!$B$4:$EN$5,2,FALSE),0),"")</f>
        <v>22</v>
      </c>
      <c r="D9" s="45">
        <f>_xlfn.IFNA(ROUND(HLOOKUP('Link table'!C4,'Progression - Gold rate'!$B$4:$EN$5,2,FALSE),0),"")</f>
        <v>22</v>
      </c>
      <c r="E9" s="45">
        <f>_xlfn.IFNA(ROUND(HLOOKUP('Link table'!D4,'Progression - Gold rate'!$B$4:$EN$5,2,FALSE),0),"")</f>
        <v>23</v>
      </c>
      <c r="F9" s="45">
        <f>_xlfn.IFNA(ROUND(HLOOKUP('Link table'!E4,'Progression - Gold rate'!$B$4:$EN$5,2,FALSE),0),"")</f>
        <v>23</v>
      </c>
      <c r="G9" s="45">
        <f>_xlfn.IFNA(ROUND(HLOOKUP('Link table'!F4,'Progression - Gold rate'!$B$4:$EN$5,2,FALSE),0),"")</f>
        <v>23</v>
      </c>
      <c r="H9" s="45">
        <f>_xlfn.IFNA(ROUND(HLOOKUP('Link table'!G4,'Progression - Gold rate'!$B$4:$EN$5,2,FALSE),0),"")</f>
        <v>24</v>
      </c>
      <c r="I9" s="45">
        <f>_xlfn.IFNA(ROUND(HLOOKUP('Link table'!H4,'Progression - Gold rate'!$B$4:$EN$5,2,FALSE),0),"")</f>
        <v>24</v>
      </c>
      <c r="J9" s="45">
        <f>_xlfn.IFNA(ROUND(HLOOKUP('Link table'!I4,'Progression - Gold rate'!$B$4:$EN$5,2,FALSE),0),"")</f>
        <v>25</v>
      </c>
      <c r="K9" s="45" t="str">
        <f>_xlfn.IFNA(ROUND(HLOOKUP('Link table'!J4,'Progression - Gold rate'!$B$4:$EN$5,2,FALSE),0),"")</f>
        <v/>
      </c>
      <c r="L9" s="45" t="str">
        <f>_xlfn.IFNA(ROUND(HLOOKUP('Link table'!K4,'Progression - Gold rate'!$B$4:$EN$5,2,FALSE),0),"")</f>
        <v/>
      </c>
      <c r="M9" s="45" t="str">
        <f>_xlfn.IFNA(ROUND(HLOOKUP('Link table'!L4,'Progression - Gold rate'!$B$4:$EN$5,2,FALSE),0),"")</f>
        <v/>
      </c>
      <c r="N9" s="45" t="str">
        <f>_xlfn.IFNA(ROUND(HLOOKUP('Link table'!M4,'Progression - Gold rate'!$B$4:$EN$5,2,FALSE),0),"")</f>
        <v/>
      </c>
      <c r="O9" s="45" t="str">
        <f>_xlfn.IFNA(ROUND(HLOOKUP('Link table'!N4,'Progression - Gold rate'!$B$4:$EN$5,2,FALSE),0),"")</f>
        <v/>
      </c>
      <c r="P9" s="45" t="str">
        <f>_xlfn.IFNA(ROUND(HLOOKUP('Link table'!O4,'Progression - Gold rate'!$B$4:$EN$5,2,FALSE),0),"")</f>
        <v/>
      </c>
      <c r="Q9" s="45" t="str">
        <f>_xlfn.IFNA(ROUND(HLOOKUP('Link table'!P4,'Progression - Gold rate'!$B$4:$EN$5,2,FALSE),0),"")</f>
        <v/>
      </c>
      <c r="R9" s="45" t="str">
        <f>_xlfn.IFNA(ROUND(HLOOKUP('Link table'!Q4,'Progression - Gold rate'!$B$4:$EN$5,2,FALSE),0),"")</f>
        <v/>
      </c>
      <c r="S9" s="45" t="str">
        <f>_xlfn.IFNA(ROUND(HLOOKUP('Link table'!R4,'Progression - Gold rate'!$B$4:$EN$5,2,FALSE),0),"")</f>
        <v/>
      </c>
      <c r="T9" s="45" t="str">
        <f>_xlfn.IFNA(ROUND(HLOOKUP('Link table'!S4,'Progression - Gold rate'!$B$4:$EN$5,2,FALSE),0),"")</f>
        <v/>
      </c>
      <c r="U9" s="45" t="str">
        <f>_xlfn.IFNA(ROUND(HLOOKUP('Link table'!T4,'Progression - Gold rate'!$B$4:$EN$5,2,FALSE),0),"")</f>
        <v/>
      </c>
      <c r="V9" s="45" t="str">
        <f>_xlfn.IFNA(ROUND(HLOOKUP('Link table'!U4,'Progression - Gold rate'!$B$4:$EN$5,2,FALSE),0),"")</f>
        <v/>
      </c>
      <c r="X9" s="45">
        <v>23.3</v>
      </c>
      <c r="Y9" s="45">
        <f>ROUND(AVERAGE(Table10[[#This Row],[1]:[20]]),1)</f>
        <v>23.3</v>
      </c>
    </row>
    <row r="10" spans="1:144" x14ac:dyDescent="0.25">
      <c r="A10" s="32">
        <v>2</v>
      </c>
      <c r="B10" s="61">
        <f>HLOOKUP(Table10[[#This Row],[Dragon ID / Level]],Table86[],2,FALSE)</f>
        <v>10</v>
      </c>
      <c r="C10" s="45">
        <f>_xlfn.IFNA(ROUND(HLOOKUP('Link table'!B5,'Progression - Gold rate'!$B$4:$EN$5,2,FALSE),0),"")</f>
        <v>25</v>
      </c>
      <c r="D10" s="45">
        <f>_xlfn.IFNA(ROUND(HLOOKUP('Link table'!C5,'Progression - Gold rate'!$B$4:$EN$5,2,FALSE),0),"")</f>
        <v>25</v>
      </c>
      <c r="E10" s="45">
        <f>_xlfn.IFNA(ROUND(HLOOKUP('Link table'!D5,'Progression - Gold rate'!$B$4:$EN$5,2,FALSE),0),"")</f>
        <v>26</v>
      </c>
      <c r="F10" s="45">
        <f>_xlfn.IFNA(ROUND(HLOOKUP('Link table'!E5,'Progression - Gold rate'!$B$4:$EN$5,2,FALSE),0),"")</f>
        <v>26</v>
      </c>
      <c r="G10" s="45">
        <f>_xlfn.IFNA(ROUND(HLOOKUP('Link table'!F5,'Progression - Gold rate'!$B$4:$EN$5,2,FALSE),0),"")</f>
        <v>26</v>
      </c>
      <c r="H10" s="45">
        <f>_xlfn.IFNA(ROUND(HLOOKUP('Link table'!G5,'Progression - Gold rate'!$B$4:$EN$5,2,FALSE),0),"")</f>
        <v>27</v>
      </c>
      <c r="I10" s="45">
        <f>_xlfn.IFNA(ROUND(HLOOKUP('Link table'!H5,'Progression - Gold rate'!$B$4:$EN$5,2,FALSE),0),"")</f>
        <v>27</v>
      </c>
      <c r="J10" s="45">
        <f>_xlfn.IFNA(ROUND(HLOOKUP('Link table'!I5,'Progression - Gold rate'!$B$4:$EN$5,2,FALSE),0),"")</f>
        <v>28</v>
      </c>
      <c r="K10" s="45">
        <f>_xlfn.IFNA(ROUND(HLOOKUP('Link table'!J5,'Progression - Gold rate'!$B$4:$EN$5,2,FALSE),0),"")</f>
        <v>28</v>
      </c>
      <c r="L10" s="45">
        <f>_xlfn.IFNA(ROUND(HLOOKUP('Link table'!K5,'Progression - Gold rate'!$B$4:$EN$5,2,FALSE),0),"")</f>
        <v>28</v>
      </c>
      <c r="M10" s="45" t="str">
        <f>_xlfn.IFNA(ROUND(HLOOKUP('Link table'!L5,'Progression - Gold rate'!$B$4:$EN$5,2,FALSE),0),"")</f>
        <v/>
      </c>
      <c r="N10" s="45" t="str">
        <f>_xlfn.IFNA(ROUND(HLOOKUP('Link table'!M5,'Progression - Gold rate'!$B$4:$EN$5,2,FALSE),0),"")</f>
        <v/>
      </c>
      <c r="O10" s="45" t="str">
        <f>_xlfn.IFNA(ROUND(HLOOKUP('Link table'!N5,'Progression - Gold rate'!$B$4:$EN$5,2,FALSE),0),"")</f>
        <v/>
      </c>
      <c r="P10" s="45" t="str">
        <f>_xlfn.IFNA(ROUND(HLOOKUP('Link table'!O5,'Progression - Gold rate'!$B$4:$EN$5,2,FALSE),0),"")</f>
        <v/>
      </c>
      <c r="Q10" s="45" t="str">
        <f>_xlfn.IFNA(ROUND(HLOOKUP('Link table'!P5,'Progression - Gold rate'!$B$4:$EN$5,2,FALSE),0),"")</f>
        <v/>
      </c>
      <c r="R10" s="45" t="str">
        <f>_xlfn.IFNA(ROUND(HLOOKUP('Link table'!Q5,'Progression - Gold rate'!$B$4:$EN$5,2,FALSE),0),"")</f>
        <v/>
      </c>
      <c r="S10" s="45" t="str">
        <f>_xlfn.IFNA(ROUND(HLOOKUP('Link table'!R5,'Progression - Gold rate'!$B$4:$EN$5,2,FALSE),0),"")</f>
        <v/>
      </c>
      <c r="T10" s="45" t="str">
        <f>_xlfn.IFNA(ROUND(HLOOKUP('Link table'!S5,'Progression - Gold rate'!$B$4:$EN$5,2,FALSE),0),"")</f>
        <v/>
      </c>
      <c r="U10" s="45" t="str">
        <f>_xlfn.IFNA(ROUND(HLOOKUP('Link table'!T5,'Progression - Gold rate'!$B$4:$EN$5,2,FALSE),0),"")</f>
        <v/>
      </c>
      <c r="V10" s="45" t="str">
        <f>_xlfn.IFNA(ROUND(HLOOKUP('Link table'!U5,'Progression - Gold rate'!$B$4:$EN$5,2,FALSE),0),"")</f>
        <v/>
      </c>
      <c r="X10" s="45">
        <v>50</v>
      </c>
      <c r="Y10" s="45">
        <f>ROUND(AVERAGE(Table10[[#This Row],[1]:[20]]),1)</f>
        <v>26.6</v>
      </c>
    </row>
    <row r="11" spans="1:144" x14ac:dyDescent="0.25">
      <c r="A11" s="36">
        <v>3</v>
      </c>
      <c r="B11" s="62">
        <f>HLOOKUP(Table10[[#This Row],[Dragon ID / Level]],Table86[],2,FALSE)</f>
        <v>10</v>
      </c>
      <c r="C11" s="45">
        <f>_xlfn.IFNA(ROUND(HLOOKUP('Link table'!B6,'Progression - Gold rate'!$B$4:$EN$5,2,FALSE),0),"")</f>
        <v>29</v>
      </c>
      <c r="D11" s="45">
        <f>_xlfn.IFNA(ROUND(HLOOKUP('Link table'!C6,'Progression - Gold rate'!$B$4:$EN$5,2,FALSE),0),"")</f>
        <v>29</v>
      </c>
      <c r="E11" s="45">
        <f>_xlfn.IFNA(ROUND(HLOOKUP('Link table'!D6,'Progression - Gold rate'!$B$4:$EN$5,2,FALSE),0),"")</f>
        <v>29</v>
      </c>
      <c r="F11" s="45">
        <f>_xlfn.IFNA(ROUND(HLOOKUP('Link table'!E6,'Progression - Gold rate'!$B$4:$EN$5,2,FALSE),0),"")</f>
        <v>30</v>
      </c>
      <c r="G11" s="45">
        <f>_xlfn.IFNA(ROUND(HLOOKUP('Link table'!F6,'Progression - Gold rate'!$B$4:$EN$5,2,FALSE),0),"")</f>
        <v>30</v>
      </c>
      <c r="H11" s="45">
        <f>_xlfn.IFNA(ROUND(HLOOKUP('Link table'!G6,'Progression - Gold rate'!$B$4:$EN$5,2,FALSE),0),"")</f>
        <v>31</v>
      </c>
      <c r="I11" s="45">
        <f>_xlfn.IFNA(ROUND(HLOOKUP('Link table'!H6,'Progression - Gold rate'!$B$4:$EN$5,2,FALSE),0),"")</f>
        <v>31</v>
      </c>
      <c r="J11" s="45">
        <f>_xlfn.IFNA(ROUND(HLOOKUP('Link table'!I6,'Progression - Gold rate'!$B$4:$EN$5,2,FALSE),0),"")</f>
        <v>31</v>
      </c>
      <c r="K11" s="45">
        <f>_xlfn.IFNA(ROUND(HLOOKUP('Link table'!J6,'Progression - Gold rate'!$B$4:$EN$5,2,FALSE),0),"")</f>
        <v>32</v>
      </c>
      <c r="L11" s="45">
        <f>_xlfn.IFNA(ROUND(HLOOKUP('Link table'!K6,'Progression - Gold rate'!$B$4:$EN$5,2,FALSE),0),"")</f>
        <v>32</v>
      </c>
      <c r="M11" s="45" t="str">
        <f>_xlfn.IFNA(ROUND(HLOOKUP('Link table'!L6,'Progression - Gold rate'!$B$4:$EN$5,2,FALSE),0),"")</f>
        <v/>
      </c>
      <c r="N11" s="45" t="str">
        <f>_xlfn.IFNA(ROUND(HLOOKUP('Link table'!M6,'Progression - Gold rate'!$B$4:$EN$5,2,FALSE),0),"")</f>
        <v/>
      </c>
      <c r="O11" s="45" t="str">
        <f>_xlfn.IFNA(ROUND(HLOOKUP('Link table'!N6,'Progression - Gold rate'!$B$4:$EN$5,2,FALSE),0),"")</f>
        <v/>
      </c>
      <c r="P11" s="45" t="str">
        <f>_xlfn.IFNA(ROUND(HLOOKUP('Link table'!O6,'Progression - Gold rate'!$B$4:$EN$5,2,FALSE),0),"")</f>
        <v/>
      </c>
      <c r="Q11" s="45" t="str">
        <f>_xlfn.IFNA(ROUND(HLOOKUP('Link table'!P6,'Progression - Gold rate'!$B$4:$EN$5,2,FALSE),0),"")</f>
        <v/>
      </c>
      <c r="R11" s="45" t="str">
        <f>_xlfn.IFNA(ROUND(HLOOKUP('Link table'!Q6,'Progression - Gold rate'!$B$4:$EN$5,2,FALSE),0),"")</f>
        <v/>
      </c>
      <c r="S11" s="45" t="str">
        <f>_xlfn.IFNA(ROUND(HLOOKUP('Link table'!R6,'Progression - Gold rate'!$B$4:$EN$5,2,FALSE),0),"")</f>
        <v/>
      </c>
      <c r="T11" s="45" t="str">
        <f>_xlfn.IFNA(ROUND(HLOOKUP('Link table'!S6,'Progression - Gold rate'!$B$4:$EN$5,2,FALSE),0),"")</f>
        <v/>
      </c>
      <c r="U11" s="45" t="str">
        <f>_xlfn.IFNA(ROUND(HLOOKUP('Link table'!T6,'Progression - Gold rate'!$B$4:$EN$5,2,FALSE),0),"")</f>
        <v/>
      </c>
      <c r="V11" s="45" t="str">
        <f>_xlfn.IFNA(ROUND(HLOOKUP('Link table'!U6,'Progression - Gold rate'!$B$4:$EN$5,2,FALSE),0),"")</f>
        <v/>
      </c>
      <c r="X11" s="45">
        <v>100</v>
      </c>
      <c r="Y11" s="45">
        <f>ROUND(AVERAGE(Table10[[#This Row],[1]:[20]]),1)</f>
        <v>30.4</v>
      </c>
    </row>
    <row r="12" spans="1:144" x14ac:dyDescent="0.25">
      <c r="A12" s="36">
        <v>4</v>
      </c>
      <c r="B12" s="62">
        <f>HLOOKUP(Table10[[#This Row],[Dragon ID / Level]],Table86[],2,FALSE)</f>
        <v>10</v>
      </c>
      <c r="C12" s="45">
        <f>_xlfn.IFNA(ROUND(HLOOKUP('Link table'!B7,'Progression - Gold rate'!$B$4:$EN$5,2,FALSE),0),"")</f>
        <v>32</v>
      </c>
      <c r="D12" s="45">
        <f>_xlfn.IFNA(ROUND(HLOOKUP('Link table'!C7,'Progression - Gold rate'!$B$4:$EN$5,2,FALSE),0),"")</f>
        <v>33</v>
      </c>
      <c r="E12" s="45">
        <f>_xlfn.IFNA(ROUND(HLOOKUP('Link table'!D7,'Progression - Gold rate'!$B$4:$EN$5,2,FALSE),0),"")</f>
        <v>33</v>
      </c>
      <c r="F12" s="45">
        <f>_xlfn.IFNA(ROUND(HLOOKUP('Link table'!E7,'Progression - Gold rate'!$B$4:$EN$5,2,FALSE),0),"")</f>
        <v>34</v>
      </c>
      <c r="G12" s="45">
        <f>_xlfn.IFNA(ROUND(HLOOKUP('Link table'!F7,'Progression - Gold rate'!$B$4:$EN$5,2,FALSE),0),"")</f>
        <v>34</v>
      </c>
      <c r="H12" s="45">
        <f>_xlfn.IFNA(ROUND(HLOOKUP('Link table'!G7,'Progression - Gold rate'!$B$4:$EN$5,2,FALSE),0),"")</f>
        <v>34</v>
      </c>
      <c r="I12" s="45">
        <f>_xlfn.IFNA(ROUND(HLOOKUP('Link table'!H7,'Progression - Gold rate'!$B$4:$EN$5,2,FALSE),0),"")</f>
        <v>35</v>
      </c>
      <c r="J12" s="45">
        <f>_xlfn.IFNA(ROUND(HLOOKUP('Link table'!I7,'Progression - Gold rate'!$B$4:$EN$5,2,FALSE),0),"")</f>
        <v>35</v>
      </c>
      <c r="K12" s="45">
        <f>_xlfn.IFNA(ROUND(HLOOKUP('Link table'!J7,'Progression - Gold rate'!$B$4:$EN$5,2,FALSE),0),"")</f>
        <v>35</v>
      </c>
      <c r="L12" s="45">
        <f>_xlfn.IFNA(ROUND(HLOOKUP('Link table'!K7,'Progression - Gold rate'!$B$4:$EN$5,2,FALSE),0),"")</f>
        <v>36</v>
      </c>
      <c r="M12" s="45" t="str">
        <f>_xlfn.IFNA(ROUND(HLOOKUP('Link table'!L7,'Progression - Gold rate'!$B$4:$EN$5,2,FALSE),0),"")</f>
        <v/>
      </c>
      <c r="N12" s="45" t="str">
        <f>_xlfn.IFNA(ROUND(HLOOKUP('Link table'!M7,'Progression - Gold rate'!$B$4:$EN$5,2,FALSE),0),"")</f>
        <v/>
      </c>
      <c r="O12" s="45" t="str">
        <f>_xlfn.IFNA(ROUND(HLOOKUP('Link table'!N7,'Progression - Gold rate'!$B$4:$EN$5,2,FALSE),0),"")</f>
        <v/>
      </c>
      <c r="P12" s="45" t="str">
        <f>_xlfn.IFNA(ROUND(HLOOKUP('Link table'!O7,'Progression - Gold rate'!$B$4:$EN$5,2,FALSE),0),"")</f>
        <v/>
      </c>
      <c r="Q12" s="45" t="str">
        <f>_xlfn.IFNA(ROUND(HLOOKUP('Link table'!P7,'Progression - Gold rate'!$B$4:$EN$5,2,FALSE),0),"")</f>
        <v/>
      </c>
      <c r="R12" s="45" t="str">
        <f>_xlfn.IFNA(ROUND(HLOOKUP('Link table'!Q7,'Progression - Gold rate'!$B$4:$EN$5,2,FALSE),0),"")</f>
        <v/>
      </c>
      <c r="S12" s="45" t="str">
        <f>_xlfn.IFNA(ROUND(HLOOKUP('Link table'!R7,'Progression - Gold rate'!$B$4:$EN$5,2,FALSE),0),"")</f>
        <v/>
      </c>
      <c r="T12" s="45" t="str">
        <f>_xlfn.IFNA(ROUND(HLOOKUP('Link table'!S7,'Progression - Gold rate'!$B$4:$EN$5,2,FALSE),0),"")</f>
        <v/>
      </c>
      <c r="U12" s="45" t="str">
        <f>_xlfn.IFNA(ROUND(HLOOKUP('Link table'!T7,'Progression - Gold rate'!$B$4:$EN$5,2,FALSE),0),"")</f>
        <v/>
      </c>
      <c r="V12" s="45" t="str">
        <f>_xlfn.IFNA(ROUND(HLOOKUP('Link table'!U7,'Progression - Gold rate'!$B$4:$EN$5,2,FALSE),0),"")</f>
        <v/>
      </c>
      <c r="X12" s="45">
        <v>150</v>
      </c>
      <c r="Y12" s="45">
        <f>ROUND(AVERAGE(Table10[[#This Row],[1]:[20]]),1)</f>
        <v>34.1</v>
      </c>
    </row>
    <row r="13" spans="1:144" x14ac:dyDescent="0.25">
      <c r="A13" s="40">
        <v>5</v>
      </c>
      <c r="B13" s="63">
        <f>HLOOKUP(Table10[[#This Row],[Dragon ID / Level]],Table86[],2,FALSE)</f>
        <v>15</v>
      </c>
      <c r="C13" s="45">
        <f>_xlfn.IFNA(ROUND(HLOOKUP('Link table'!B8,'Progression - Gold rate'!$B$4:$EN$5,2,FALSE),0),"")</f>
        <v>36</v>
      </c>
      <c r="D13" s="45">
        <f>_xlfn.IFNA(ROUND(HLOOKUP('Link table'!C8,'Progression - Gold rate'!$B$4:$EN$5,2,FALSE),0),"")</f>
        <v>37</v>
      </c>
      <c r="E13" s="45">
        <f>_xlfn.IFNA(ROUND(HLOOKUP('Link table'!D8,'Progression - Gold rate'!$B$4:$EN$5,2,FALSE),0),"")</f>
        <v>37</v>
      </c>
      <c r="F13" s="45">
        <f>_xlfn.IFNA(ROUND(HLOOKUP('Link table'!E8,'Progression - Gold rate'!$B$4:$EN$5,2,FALSE),0),"")</f>
        <v>37</v>
      </c>
      <c r="G13" s="45">
        <f>_xlfn.IFNA(ROUND(HLOOKUP('Link table'!F8,'Progression - Gold rate'!$B$4:$EN$5,2,FALSE),0),"")</f>
        <v>38</v>
      </c>
      <c r="H13" s="45">
        <f>_xlfn.IFNA(ROUND(HLOOKUP('Link table'!G8,'Progression - Gold rate'!$B$4:$EN$5,2,FALSE),0),"")</f>
        <v>38</v>
      </c>
      <c r="I13" s="45">
        <f>_xlfn.IFNA(ROUND(HLOOKUP('Link table'!H8,'Progression - Gold rate'!$B$4:$EN$5,2,FALSE),0),"")</f>
        <v>38</v>
      </c>
      <c r="J13" s="45">
        <f>_xlfn.IFNA(ROUND(HLOOKUP('Link table'!I8,'Progression - Gold rate'!$B$4:$EN$5,2,FALSE),0),"")</f>
        <v>39</v>
      </c>
      <c r="K13" s="45">
        <f>_xlfn.IFNA(ROUND(HLOOKUP('Link table'!J8,'Progression - Gold rate'!$B$4:$EN$5,2,FALSE),0),"")</f>
        <v>39</v>
      </c>
      <c r="L13" s="45">
        <f>_xlfn.IFNA(ROUND(HLOOKUP('Link table'!K8,'Progression - Gold rate'!$B$4:$EN$5,2,FALSE),0),"")</f>
        <v>40</v>
      </c>
      <c r="M13" s="45">
        <f>_xlfn.IFNA(ROUND(HLOOKUP('Link table'!L8,'Progression - Gold rate'!$B$4:$EN$5,2,FALSE),0),"")</f>
        <v>40</v>
      </c>
      <c r="N13" s="45">
        <f>_xlfn.IFNA(ROUND(HLOOKUP('Link table'!M8,'Progression - Gold rate'!$B$4:$EN$5,2,FALSE),0),"")</f>
        <v>40</v>
      </c>
      <c r="O13" s="45">
        <f>_xlfn.IFNA(ROUND(HLOOKUP('Link table'!N8,'Progression - Gold rate'!$B$4:$EN$5,2,FALSE),0),"")</f>
        <v>41</v>
      </c>
      <c r="P13" s="45">
        <f>_xlfn.IFNA(ROUND(HLOOKUP('Link table'!O8,'Progression - Gold rate'!$B$4:$EN$5,2,FALSE),0),"")</f>
        <v>41</v>
      </c>
      <c r="Q13" s="45">
        <f>_xlfn.IFNA(ROUND(HLOOKUP('Link table'!P8,'Progression - Gold rate'!$B$4:$EN$5,2,FALSE),0),"")</f>
        <v>41</v>
      </c>
      <c r="R13" s="45" t="str">
        <f>_xlfn.IFNA(ROUND(HLOOKUP('Link table'!Q8,'Progression - Gold rate'!$B$4:$EN$5,2,FALSE),0),"")</f>
        <v/>
      </c>
      <c r="S13" s="45" t="str">
        <f>_xlfn.IFNA(ROUND(HLOOKUP('Link table'!R8,'Progression - Gold rate'!$B$4:$EN$5,2,FALSE),0),"")</f>
        <v/>
      </c>
      <c r="T13" s="45" t="str">
        <f>_xlfn.IFNA(ROUND(HLOOKUP('Link table'!S8,'Progression - Gold rate'!$B$4:$EN$5,2,FALSE),0),"")</f>
        <v/>
      </c>
      <c r="U13" s="45" t="str">
        <f>_xlfn.IFNA(ROUND(HLOOKUP('Link table'!T8,'Progression - Gold rate'!$B$4:$EN$5,2,FALSE),0),"")</f>
        <v/>
      </c>
      <c r="V13" s="45" t="str">
        <f>_xlfn.IFNA(ROUND(HLOOKUP('Link table'!U8,'Progression - Gold rate'!$B$4:$EN$5,2,FALSE),0),"")</f>
        <v/>
      </c>
      <c r="X13" s="45">
        <v>200</v>
      </c>
      <c r="Y13" s="45">
        <f>ROUND(AVERAGE(Table10[[#This Row],[1]:[20]]),1)</f>
        <v>38.799999999999997</v>
      </c>
    </row>
    <row r="14" spans="1:144" x14ac:dyDescent="0.25">
      <c r="A14" s="40">
        <v>6</v>
      </c>
      <c r="B14" s="63">
        <f>HLOOKUP(Table10[[#This Row],[Dragon ID / Level]],Table86[],2,FALSE)</f>
        <v>15</v>
      </c>
      <c r="C14" s="45">
        <f>_xlfn.IFNA(ROUND(HLOOKUP('Link table'!B9,'Progression - Gold rate'!$B$4:$EN$5,2,FALSE),0),"")</f>
        <v>42</v>
      </c>
      <c r="D14" s="45">
        <f>_xlfn.IFNA(ROUND(HLOOKUP('Link table'!C9,'Progression - Gold rate'!$B$4:$EN$5,2,FALSE),0),"")</f>
        <v>42</v>
      </c>
      <c r="E14" s="45">
        <f>_xlfn.IFNA(ROUND(HLOOKUP('Link table'!D9,'Progression - Gold rate'!$B$4:$EN$5,2,FALSE),0),"")</f>
        <v>43</v>
      </c>
      <c r="F14" s="45">
        <f>_xlfn.IFNA(ROUND(HLOOKUP('Link table'!E9,'Progression - Gold rate'!$B$4:$EN$5,2,FALSE),0),"")</f>
        <v>43</v>
      </c>
      <c r="G14" s="45">
        <f>_xlfn.IFNA(ROUND(HLOOKUP('Link table'!F9,'Progression - Gold rate'!$B$4:$EN$5,2,FALSE),0),"")</f>
        <v>43</v>
      </c>
      <c r="H14" s="45">
        <f>_xlfn.IFNA(ROUND(HLOOKUP('Link table'!G9,'Progression - Gold rate'!$B$4:$EN$5,2,FALSE),0),"")</f>
        <v>44</v>
      </c>
      <c r="I14" s="45">
        <f>_xlfn.IFNA(ROUND(HLOOKUP('Link table'!H9,'Progression - Gold rate'!$B$4:$EN$5,2,FALSE),0),"")</f>
        <v>44</v>
      </c>
      <c r="J14" s="45">
        <f>_xlfn.IFNA(ROUND(HLOOKUP('Link table'!I9,'Progression - Gold rate'!$B$4:$EN$5,2,FALSE),0),"")</f>
        <v>44</v>
      </c>
      <c r="K14" s="45">
        <f>_xlfn.IFNA(ROUND(HLOOKUP('Link table'!J9,'Progression - Gold rate'!$B$4:$EN$5,2,FALSE),0),"")</f>
        <v>45</v>
      </c>
      <c r="L14" s="45">
        <f>_xlfn.IFNA(ROUND(HLOOKUP('Link table'!K9,'Progression - Gold rate'!$B$4:$EN$5,2,FALSE),0),"")</f>
        <v>45</v>
      </c>
      <c r="M14" s="45">
        <f>_xlfn.IFNA(ROUND(HLOOKUP('Link table'!L9,'Progression - Gold rate'!$B$4:$EN$5,2,FALSE),0),"")</f>
        <v>46</v>
      </c>
      <c r="N14" s="45">
        <f>_xlfn.IFNA(ROUND(HLOOKUP('Link table'!M9,'Progression - Gold rate'!$B$4:$EN$5,2,FALSE),0),"")</f>
        <v>46</v>
      </c>
      <c r="O14" s="45">
        <f>_xlfn.IFNA(ROUND(HLOOKUP('Link table'!N9,'Progression - Gold rate'!$B$4:$EN$5,2,FALSE),0),"")</f>
        <v>46</v>
      </c>
      <c r="P14" s="45">
        <f>_xlfn.IFNA(ROUND(HLOOKUP('Link table'!O9,'Progression - Gold rate'!$B$4:$EN$5,2,FALSE),0),"")</f>
        <v>47</v>
      </c>
      <c r="Q14" s="45">
        <f>_xlfn.IFNA(ROUND(HLOOKUP('Link table'!P9,'Progression - Gold rate'!$B$4:$EN$5,2,FALSE),0),"")</f>
        <v>47</v>
      </c>
      <c r="R14" s="45" t="str">
        <f>_xlfn.IFNA(ROUND(HLOOKUP('Link table'!Q9,'Progression - Gold rate'!$B$4:$EN$5,2,FALSE),0),"")</f>
        <v/>
      </c>
      <c r="S14" s="45" t="str">
        <f>_xlfn.IFNA(ROUND(HLOOKUP('Link table'!R9,'Progression - Gold rate'!$B$4:$EN$5,2,FALSE),0),"")</f>
        <v/>
      </c>
      <c r="T14" s="45" t="str">
        <f>_xlfn.IFNA(ROUND(HLOOKUP('Link table'!S9,'Progression - Gold rate'!$B$4:$EN$5,2,FALSE),0),"")</f>
        <v/>
      </c>
      <c r="U14" s="45" t="str">
        <f>_xlfn.IFNA(ROUND(HLOOKUP('Link table'!T9,'Progression - Gold rate'!$B$4:$EN$5,2,FALSE),0),"")</f>
        <v/>
      </c>
      <c r="V14" s="45" t="str">
        <f>_xlfn.IFNA(ROUND(HLOOKUP('Link table'!U9,'Progression - Gold rate'!$B$4:$EN$5,2,FALSE),0),"")</f>
        <v/>
      </c>
      <c r="X14" s="45">
        <v>250</v>
      </c>
      <c r="Y14" s="45">
        <f>ROUND(AVERAGE(Table10[[#This Row],[1]:[20]]),1)</f>
        <v>44.5</v>
      </c>
    </row>
    <row r="15" spans="1:144" x14ac:dyDescent="0.25">
      <c r="A15" s="38">
        <v>7</v>
      </c>
      <c r="B15" s="64">
        <f>HLOOKUP(Table10[[#This Row],[Dragon ID / Level]],Table86[],2,FALSE)</f>
        <v>15</v>
      </c>
      <c r="C15" s="45">
        <f>_xlfn.IFNA(ROUND(HLOOKUP('Link table'!B10,'Progression - Gold rate'!$B$4:$EN$5,2,FALSE),0),"")</f>
        <v>47</v>
      </c>
      <c r="D15" s="45">
        <f>_xlfn.IFNA(ROUND(HLOOKUP('Link table'!C10,'Progression - Gold rate'!$B$4:$EN$5,2,FALSE),0),"")</f>
        <v>48</v>
      </c>
      <c r="E15" s="45">
        <f>_xlfn.IFNA(ROUND(HLOOKUP('Link table'!D10,'Progression - Gold rate'!$B$4:$EN$5,2,FALSE),0),"")</f>
        <v>48</v>
      </c>
      <c r="F15" s="45">
        <f>_xlfn.IFNA(ROUND(HLOOKUP('Link table'!E10,'Progression - Gold rate'!$B$4:$EN$5,2,FALSE),0),"")</f>
        <v>49</v>
      </c>
      <c r="G15" s="45">
        <f>_xlfn.IFNA(ROUND(HLOOKUP('Link table'!F10,'Progression - Gold rate'!$B$4:$EN$5,2,FALSE),0),"")</f>
        <v>49</v>
      </c>
      <c r="H15" s="45">
        <f>_xlfn.IFNA(ROUND(HLOOKUP('Link table'!G10,'Progression - Gold rate'!$B$4:$EN$5,2,FALSE),0),"")</f>
        <v>49</v>
      </c>
      <c r="I15" s="45">
        <f>_xlfn.IFNA(ROUND(HLOOKUP('Link table'!H10,'Progression - Gold rate'!$B$4:$EN$5,2,FALSE),0),"")</f>
        <v>50</v>
      </c>
      <c r="J15" s="45">
        <f>_xlfn.IFNA(ROUND(HLOOKUP('Link table'!I10,'Progression - Gold rate'!$B$4:$EN$5,2,FALSE),0),"")</f>
        <v>50</v>
      </c>
      <c r="K15" s="45">
        <f>_xlfn.IFNA(ROUND(HLOOKUP('Link table'!J10,'Progression - Gold rate'!$B$4:$EN$5,2,FALSE),0),"")</f>
        <v>50</v>
      </c>
      <c r="L15" s="45">
        <f>_xlfn.IFNA(ROUND(HLOOKUP('Link table'!K10,'Progression - Gold rate'!$B$4:$EN$5,2,FALSE),0),"")</f>
        <v>51</v>
      </c>
      <c r="M15" s="45">
        <f>_xlfn.IFNA(ROUND(HLOOKUP('Link table'!L10,'Progression - Gold rate'!$B$4:$EN$5,2,FALSE),0),"")</f>
        <v>51</v>
      </c>
      <c r="N15" s="45">
        <f>_xlfn.IFNA(ROUND(HLOOKUP('Link table'!M10,'Progression - Gold rate'!$B$4:$EN$5,2,FALSE),0),"")</f>
        <v>51</v>
      </c>
      <c r="O15" s="45">
        <f>_xlfn.IFNA(ROUND(HLOOKUP('Link table'!N10,'Progression - Gold rate'!$B$4:$EN$5,2,FALSE),0),"")</f>
        <v>52</v>
      </c>
      <c r="P15" s="45">
        <f>_xlfn.IFNA(ROUND(HLOOKUP('Link table'!O10,'Progression - Gold rate'!$B$4:$EN$5,2,FALSE),0),"")</f>
        <v>52</v>
      </c>
      <c r="Q15" s="45">
        <f>_xlfn.IFNA(ROUND(HLOOKUP('Link table'!P10,'Progression - Gold rate'!$B$4:$EN$5,2,FALSE),0),"")</f>
        <v>53</v>
      </c>
      <c r="R15" s="45" t="str">
        <f>_xlfn.IFNA(ROUND(HLOOKUP('Link table'!Q10,'Progression - Gold rate'!$B$4:$EN$5,2,FALSE),0),"")</f>
        <v/>
      </c>
      <c r="S15" s="45" t="str">
        <f>_xlfn.IFNA(ROUND(HLOOKUP('Link table'!R10,'Progression - Gold rate'!$B$4:$EN$5,2,FALSE),0),"")</f>
        <v/>
      </c>
      <c r="T15" s="45" t="str">
        <f>_xlfn.IFNA(ROUND(HLOOKUP('Link table'!S10,'Progression - Gold rate'!$B$4:$EN$5,2,FALSE),0),"")</f>
        <v/>
      </c>
      <c r="U15" s="45" t="str">
        <f>_xlfn.IFNA(ROUND(HLOOKUP('Link table'!T10,'Progression - Gold rate'!$B$4:$EN$5,2,FALSE),0),"")</f>
        <v/>
      </c>
      <c r="V15" s="45" t="str">
        <f>_xlfn.IFNA(ROUND(HLOOKUP('Link table'!U10,'Progression - Gold rate'!$B$4:$EN$5,2,FALSE),0),"")</f>
        <v/>
      </c>
      <c r="X15" s="45">
        <v>300</v>
      </c>
      <c r="Y15" s="45">
        <f>ROUND(AVERAGE(Table10[[#This Row],[1]:[20]]),1)</f>
        <v>50</v>
      </c>
    </row>
    <row r="16" spans="1:144" x14ac:dyDescent="0.25">
      <c r="A16" s="38">
        <v>8</v>
      </c>
      <c r="B16" s="64">
        <f>HLOOKUP(Table10[[#This Row],[Dragon ID / Level]],Table86[],2,FALSE)</f>
        <v>20</v>
      </c>
      <c r="C16" s="45">
        <f>_xlfn.IFNA(ROUND(HLOOKUP('Link table'!B11,'Progression - Gold rate'!$B$4:$EN$5,2,FALSE),0),"")</f>
        <v>53</v>
      </c>
      <c r="D16" s="45">
        <f>_xlfn.IFNA(ROUND(HLOOKUP('Link table'!C11,'Progression - Gold rate'!$B$4:$EN$5,2,FALSE),0),"")</f>
        <v>53</v>
      </c>
      <c r="E16" s="45">
        <f>_xlfn.IFNA(ROUND(HLOOKUP('Link table'!D11,'Progression - Gold rate'!$B$4:$EN$5,2,FALSE),0),"")</f>
        <v>54</v>
      </c>
      <c r="F16" s="45">
        <f>_xlfn.IFNA(ROUND(HLOOKUP('Link table'!E11,'Progression - Gold rate'!$B$4:$EN$5,2,FALSE),0),"")</f>
        <v>54</v>
      </c>
      <c r="G16" s="45">
        <f>_xlfn.IFNA(ROUND(HLOOKUP('Link table'!F11,'Progression - Gold rate'!$B$4:$EN$5,2,FALSE),0),"")</f>
        <v>54</v>
      </c>
      <c r="H16" s="45">
        <f>_xlfn.IFNA(ROUND(HLOOKUP('Link table'!G11,'Progression - Gold rate'!$B$4:$EN$5,2,FALSE),0),"")</f>
        <v>55</v>
      </c>
      <c r="I16" s="45">
        <f>_xlfn.IFNA(ROUND(HLOOKUP('Link table'!H11,'Progression - Gold rate'!$B$4:$EN$5,2,FALSE),0),"")</f>
        <v>55</v>
      </c>
      <c r="J16" s="45">
        <f>_xlfn.IFNA(ROUND(HLOOKUP('Link table'!I11,'Progression - Gold rate'!$B$4:$EN$5,2,FALSE),0),"")</f>
        <v>56</v>
      </c>
      <c r="K16" s="45">
        <f>_xlfn.IFNA(ROUND(HLOOKUP('Link table'!J11,'Progression - Gold rate'!$B$4:$EN$5,2,FALSE),0),"")</f>
        <v>56</v>
      </c>
      <c r="L16" s="45">
        <f>_xlfn.IFNA(ROUND(HLOOKUP('Link table'!K11,'Progression - Gold rate'!$B$4:$EN$5,2,FALSE),0),"")</f>
        <v>56</v>
      </c>
      <c r="M16" s="45">
        <f>_xlfn.IFNA(ROUND(HLOOKUP('Link table'!L11,'Progression - Gold rate'!$B$4:$EN$5,2,FALSE),0),"")</f>
        <v>57</v>
      </c>
      <c r="N16" s="45">
        <f>_xlfn.IFNA(ROUND(HLOOKUP('Link table'!M11,'Progression - Gold rate'!$B$4:$EN$5,2,FALSE),0),"")</f>
        <v>57</v>
      </c>
      <c r="O16" s="45">
        <f>_xlfn.IFNA(ROUND(HLOOKUP('Link table'!N11,'Progression - Gold rate'!$B$4:$EN$5,2,FALSE),0),"")</f>
        <v>57</v>
      </c>
      <c r="P16" s="45">
        <f>_xlfn.IFNA(ROUND(HLOOKUP('Link table'!O11,'Progression - Gold rate'!$B$4:$EN$5,2,FALSE),0),"")</f>
        <v>58</v>
      </c>
      <c r="Q16" s="45">
        <f>_xlfn.IFNA(ROUND(HLOOKUP('Link table'!P11,'Progression - Gold rate'!$B$4:$EN$5,2,FALSE),0),"")</f>
        <v>58</v>
      </c>
      <c r="R16" s="45">
        <f>_xlfn.IFNA(ROUND(HLOOKUP('Link table'!Q11,'Progression - Gold rate'!$B$4:$EN$5,2,FALSE),0),"")</f>
        <v>59</v>
      </c>
      <c r="S16" s="45">
        <f>_xlfn.IFNA(ROUND(HLOOKUP('Link table'!R11,'Progression - Gold rate'!$B$4:$EN$5,2,FALSE),0),"")</f>
        <v>59</v>
      </c>
      <c r="T16" s="45">
        <f>_xlfn.IFNA(ROUND(HLOOKUP('Link table'!S11,'Progression - Gold rate'!$B$4:$EN$5,2,FALSE),0),"")</f>
        <v>59</v>
      </c>
      <c r="U16" s="45">
        <f>_xlfn.IFNA(ROUND(HLOOKUP('Link table'!T11,'Progression - Gold rate'!$B$4:$EN$5,2,FALSE),0),"")</f>
        <v>60</v>
      </c>
      <c r="V16" s="45">
        <f>_xlfn.IFNA(ROUND(HLOOKUP('Link table'!U11,'Progression - Gold rate'!$B$4:$EN$5,2,FALSE),0),"")</f>
        <v>60</v>
      </c>
      <c r="X16" s="45">
        <v>400</v>
      </c>
      <c r="Y16" s="45">
        <f>ROUND(AVERAGE(Table10[[#This Row],[1]:[20]]),1)</f>
        <v>56.5</v>
      </c>
    </row>
    <row r="17" spans="1:25" x14ac:dyDescent="0.25">
      <c r="A17" s="42">
        <v>9</v>
      </c>
      <c r="B17" s="65">
        <f>HLOOKUP(Table10[[#This Row],[Dragon ID / Level]],Table86[],2,FALSE)</f>
        <v>20</v>
      </c>
      <c r="C17" s="45">
        <f>_xlfn.IFNA(ROUND(HLOOKUP('Link table'!B12,'Progression - Gold rate'!$B$4:$EN$5,2,FALSE),0),"")</f>
        <v>60</v>
      </c>
      <c r="D17" s="45">
        <f>_xlfn.IFNA(ROUND(HLOOKUP('Link table'!C12,'Progression - Gold rate'!$B$4:$EN$5,2,FALSE),0),"")</f>
        <v>61</v>
      </c>
      <c r="E17" s="45">
        <f>_xlfn.IFNA(ROUND(HLOOKUP('Link table'!D12,'Progression - Gold rate'!$B$4:$EN$5,2,FALSE),0),"")</f>
        <v>61</v>
      </c>
      <c r="F17" s="45">
        <f>_xlfn.IFNA(ROUND(HLOOKUP('Link table'!E12,'Progression - Gold rate'!$B$4:$EN$5,2,FALSE),0),"")</f>
        <v>62</v>
      </c>
      <c r="G17" s="45">
        <f>_xlfn.IFNA(ROUND(HLOOKUP('Link table'!F12,'Progression - Gold rate'!$B$4:$EN$5,2,FALSE),0),"")</f>
        <v>62</v>
      </c>
      <c r="H17" s="45">
        <f>_xlfn.IFNA(ROUND(HLOOKUP('Link table'!G12,'Progression - Gold rate'!$B$4:$EN$5,2,FALSE),0),"")</f>
        <v>62</v>
      </c>
      <c r="I17" s="45">
        <f>_xlfn.IFNA(ROUND(HLOOKUP('Link table'!H12,'Progression - Gold rate'!$B$4:$EN$5,2,FALSE),0),"")</f>
        <v>63</v>
      </c>
      <c r="J17" s="45">
        <f>_xlfn.IFNA(ROUND(HLOOKUP('Link table'!I12,'Progression - Gold rate'!$B$4:$EN$5,2,FALSE),0),"")</f>
        <v>63</v>
      </c>
      <c r="K17" s="45">
        <f>_xlfn.IFNA(ROUND(HLOOKUP('Link table'!J12,'Progression - Gold rate'!$B$4:$EN$5,2,FALSE),0),"")</f>
        <v>63</v>
      </c>
      <c r="L17" s="45">
        <f>_xlfn.IFNA(ROUND(HLOOKUP('Link table'!K12,'Progression - Gold rate'!$B$4:$EN$5,2,FALSE),0),"")</f>
        <v>64</v>
      </c>
      <c r="M17" s="45">
        <f>_xlfn.IFNA(ROUND(HLOOKUP('Link table'!L12,'Progression - Gold rate'!$B$4:$EN$5,2,FALSE),0),"")</f>
        <v>64</v>
      </c>
      <c r="N17" s="45">
        <f>_xlfn.IFNA(ROUND(HLOOKUP('Link table'!M12,'Progression - Gold rate'!$B$4:$EN$5,2,FALSE),0),"")</f>
        <v>65</v>
      </c>
      <c r="O17" s="45">
        <f>_xlfn.IFNA(ROUND(HLOOKUP('Link table'!N12,'Progression - Gold rate'!$B$4:$EN$5,2,FALSE),0),"")</f>
        <v>65</v>
      </c>
      <c r="P17" s="45">
        <f>_xlfn.IFNA(ROUND(HLOOKUP('Link table'!O12,'Progression - Gold rate'!$B$4:$EN$5,2,FALSE),0),"")</f>
        <v>65</v>
      </c>
      <c r="Q17" s="45">
        <f>_xlfn.IFNA(ROUND(HLOOKUP('Link table'!P12,'Progression - Gold rate'!$B$4:$EN$5,2,FALSE),0),"")</f>
        <v>66</v>
      </c>
      <c r="R17" s="45">
        <f>_xlfn.IFNA(ROUND(HLOOKUP('Link table'!Q12,'Progression - Gold rate'!$B$4:$EN$5,2,FALSE),0),"")</f>
        <v>66</v>
      </c>
      <c r="S17" s="45">
        <f>_xlfn.IFNA(ROUND(HLOOKUP('Link table'!R12,'Progression - Gold rate'!$B$4:$EN$5,2,FALSE),0),"")</f>
        <v>66</v>
      </c>
      <c r="T17" s="45">
        <f>_xlfn.IFNA(ROUND(HLOOKUP('Link table'!S12,'Progression - Gold rate'!$B$4:$EN$5,2,FALSE),0),"")</f>
        <v>67</v>
      </c>
      <c r="U17" s="45">
        <f>_xlfn.IFNA(ROUND(HLOOKUP('Link table'!T12,'Progression - Gold rate'!$B$4:$EN$5,2,FALSE),0),"")</f>
        <v>67</v>
      </c>
      <c r="V17" s="45">
        <f>_xlfn.IFNA(ROUND(HLOOKUP('Link table'!U12,'Progression - Gold rate'!$B$4:$EN$5,2,FALSE),0),"")</f>
        <v>68</v>
      </c>
      <c r="X17" s="45">
        <v>500</v>
      </c>
      <c r="Y17" s="45">
        <f>ROUND(AVERAGE(Table10[[#This Row],[1]:[20]]),1)</f>
        <v>64</v>
      </c>
    </row>
    <row r="18" spans="1:25" x14ac:dyDescent="0.25">
      <c r="A18" s="42">
        <v>10</v>
      </c>
      <c r="B18" s="65">
        <f>HLOOKUP(Table10[[#This Row],[Dragon ID / Level]],Table86[],2,FALSE)</f>
        <v>20</v>
      </c>
      <c r="C18" s="45">
        <f>_xlfn.IFNA(ROUND(HLOOKUP('Link table'!B13,'Progression - Gold rate'!$B$4:$EN$5,2,FALSE),0),"")</f>
        <v>68</v>
      </c>
      <c r="D18" s="45">
        <f>_xlfn.IFNA(ROUND(HLOOKUP('Link table'!C13,'Progression - Gold rate'!$B$4:$EN$5,2,FALSE),0),"")</f>
        <v>68</v>
      </c>
      <c r="E18" s="45">
        <f>_xlfn.IFNA(ROUND(HLOOKUP('Link table'!D13,'Progression - Gold rate'!$B$4:$EN$5,2,FALSE),0),"")</f>
        <v>69</v>
      </c>
      <c r="F18" s="45">
        <f>_xlfn.IFNA(ROUND(HLOOKUP('Link table'!E13,'Progression - Gold rate'!$B$4:$EN$5,2,FALSE),0),"")</f>
        <v>69</v>
      </c>
      <c r="G18" s="45">
        <f>_xlfn.IFNA(ROUND(HLOOKUP('Link table'!F13,'Progression - Gold rate'!$B$4:$EN$5,2,FALSE),0),"")</f>
        <v>69</v>
      </c>
      <c r="H18" s="45">
        <f>_xlfn.IFNA(ROUND(HLOOKUP('Link table'!G13,'Progression - Gold rate'!$B$4:$EN$5,2,FALSE),0),"")</f>
        <v>70</v>
      </c>
      <c r="I18" s="45">
        <f>_xlfn.IFNA(ROUND(HLOOKUP('Link table'!H13,'Progression - Gold rate'!$B$4:$EN$5,2,FALSE),0),"")</f>
        <v>70</v>
      </c>
      <c r="J18" s="45">
        <f>_xlfn.IFNA(ROUND(HLOOKUP('Link table'!I13,'Progression - Gold rate'!$B$4:$EN$5,2,FALSE),0),"")</f>
        <v>71</v>
      </c>
      <c r="K18" s="45">
        <f>_xlfn.IFNA(ROUND(HLOOKUP('Link table'!J13,'Progression - Gold rate'!$B$4:$EN$5,2,FALSE),0),"")</f>
        <v>71</v>
      </c>
      <c r="L18" s="45">
        <f>_xlfn.IFNA(ROUND(HLOOKUP('Link table'!K13,'Progression - Gold rate'!$B$4:$EN$5,2,FALSE),0),"")</f>
        <v>71</v>
      </c>
      <c r="M18" s="45">
        <f>_xlfn.IFNA(ROUND(HLOOKUP('Link table'!L13,'Progression - Gold rate'!$B$4:$EN$5,2,FALSE),0),"")</f>
        <v>72</v>
      </c>
      <c r="N18" s="45">
        <f>_xlfn.IFNA(ROUND(HLOOKUP('Link table'!M13,'Progression - Gold rate'!$B$4:$EN$5,2,FALSE),0),"")</f>
        <v>72</v>
      </c>
      <c r="O18" s="45">
        <f>_xlfn.IFNA(ROUND(HLOOKUP('Link table'!N13,'Progression - Gold rate'!$B$4:$EN$5,2,FALSE),0),"")</f>
        <v>72</v>
      </c>
      <c r="P18" s="45">
        <f>_xlfn.IFNA(ROUND(HLOOKUP('Link table'!O13,'Progression - Gold rate'!$B$4:$EN$5,2,FALSE),0),"")</f>
        <v>73</v>
      </c>
      <c r="Q18" s="45">
        <f>_xlfn.IFNA(ROUND(HLOOKUP('Link table'!P13,'Progression - Gold rate'!$B$4:$EN$5,2,FALSE),0),"")</f>
        <v>73</v>
      </c>
      <c r="R18" s="45">
        <f>_xlfn.IFNA(ROUND(HLOOKUP('Link table'!Q13,'Progression - Gold rate'!$B$4:$EN$5,2,FALSE),0),"")</f>
        <v>74</v>
      </c>
      <c r="S18" s="45">
        <f>_xlfn.IFNA(ROUND(HLOOKUP('Link table'!R13,'Progression - Gold rate'!$B$4:$EN$5,2,FALSE),0),"")</f>
        <v>74</v>
      </c>
      <c r="T18" s="45">
        <f>_xlfn.IFNA(ROUND(HLOOKUP('Link table'!S13,'Progression - Gold rate'!$B$4:$EN$5,2,FALSE),0),"")</f>
        <v>74</v>
      </c>
      <c r="U18" s="45">
        <f>_xlfn.IFNA(ROUND(HLOOKUP('Link table'!T13,'Progression - Gold rate'!$B$4:$EN$5,2,FALSE),0),"")</f>
        <v>75</v>
      </c>
      <c r="V18" s="45">
        <f>_xlfn.IFNA(ROUND(HLOOKUP('Link table'!U13,'Progression - Gold rate'!$B$4:$EN$5,2,FALSE),0),"")</f>
        <v>75</v>
      </c>
      <c r="X18" s="45">
        <v>600</v>
      </c>
      <c r="Y18" s="45">
        <f>ROUND(AVERAGE(Table10[[#This Row],[1]:[20]]),1)</f>
        <v>71.5</v>
      </c>
    </row>
    <row r="20" spans="1:25" ht="16.5" thickBot="1" x14ac:dyDescent="0.3">
      <c r="A20" s="28" t="s">
        <v>166</v>
      </c>
      <c r="B20" s="28"/>
    </row>
    <row r="21" spans="1:25" ht="15.75" thickTop="1" x14ac:dyDescent="0.25">
      <c r="A21" s="12" t="s">
        <v>98</v>
      </c>
      <c r="B21" s="1" t="s">
        <v>102</v>
      </c>
      <c r="C21" s="59" t="s">
        <v>77</v>
      </c>
      <c r="D21" s="59" t="s">
        <v>78</v>
      </c>
      <c r="E21" s="1" t="s">
        <v>79</v>
      </c>
      <c r="F21" s="1" t="s">
        <v>80</v>
      </c>
      <c r="G21" s="1" t="s">
        <v>81</v>
      </c>
      <c r="H21" s="1" t="s">
        <v>82</v>
      </c>
      <c r="I21" s="1" t="s">
        <v>83</v>
      </c>
      <c r="J21" s="1" t="s">
        <v>84</v>
      </c>
      <c r="K21" s="1" t="s">
        <v>85</v>
      </c>
      <c r="L21" s="1" t="s">
        <v>86</v>
      </c>
      <c r="M21" s="1" t="s">
        <v>87</v>
      </c>
      <c r="N21" s="1" t="s">
        <v>88</v>
      </c>
      <c r="O21" s="1" t="s">
        <v>89</v>
      </c>
      <c r="P21" s="1" t="s">
        <v>90</v>
      </c>
      <c r="Q21" s="1" t="s">
        <v>91</v>
      </c>
      <c r="R21" s="1" t="s">
        <v>92</v>
      </c>
      <c r="S21" s="1" t="s">
        <v>93</v>
      </c>
      <c r="T21" s="1" t="s">
        <v>94</v>
      </c>
      <c r="U21" s="1" t="s">
        <v>95</v>
      </c>
      <c r="V21" s="1" t="s">
        <v>96</v>
      </c>
    </row>
    <row r="22" spans="1:25" x14ac:dyDescent="0.25">
      <c r="A22" s="33">
        <v>1</v>
      </c>
      <c r="B22" s="60">
        <f>HLOOKUP(Table1016[[#This Row],[Dragon ID / Level]],Table86[],2,FALSE)</f>
        <v>8</v>
      </c>
      <c r="C22" s="66">
        <f>IFERROR(C9*'Progression - Growth rate'!E20,"")</f>
        <v>22</v>
      </c>
      <c r="D22" s="66">
        <f>IFERROR(D9*'Progression - Growth rate'!F20,"")</f>
        <v>44</v>
      </c>
      <c r="E22" s="35">
        <f>IFERROR(E9*'Progression - Growth rate'!G20,"")</f>
        <v>69.000000000000014</v>
      </c>
      <c r="F22" s="35">
        <f>IFERROR(F9*'Progression - Growth rate'!H20,"")</f>
        <v>92</v>
      </c>
      <c r="G22" s="35">
        <f>IFERROR(G9*'Progression - Growth rate'!I20,"")</f>
        <v>115</v>
      </c>
      <c r="H22" s="35" t="str">
        <f>IFERROR(H9*'Progression - Growth rate'!J20,"")</f>
        <v/>
      </c>
      <c r="I22" s="35" t="str">
        <f>IFERROR(I9*'Progression - Growth rate'!K20,"")</f>
        <v/>
      </c>
      <c r="J22" s="35" t="str">
        <f>IFERROR(J9*'Progression - Growth rate'!L20,"")</f>
        <v/>
      </c>
      <c r="K22" s="35" t="str">
        <f>IFERROR(K9*'Progression - Growth rate'!M20,"")</f>
        <v/>
      </c>
      <c r="L22" s="35" t="str">
        <f>IFERROR(L9*'Progression - Growth rate'!N20,"")</f>
        <v/>
      </c>
      <c r="M22" s="35" t="str">
        <f>IFERROR(M9*'Progression - Growth rate'!O20,"")</f>
        <v/>
      </c>
      <c r="N22" s="35" t="str">
        <f>IFERROR(N9*'Progression - Growth rate'!P20,"")</f>
        <v/>
      </c>
      <c r="O22" s="35" t="str">
        <f>IFERROR(O9*'Progression - Growth rate'!Q20,"")</f>
        <v/>
      </c>
      <c r="P22" s="35" t="str">
        <f>IFERROR(P9*'Progression - Growth rate'!R20,"")</f>
        <v/>
      </c>
      <c r="Q22" s="35" t="str">
        <f>IFERROR(Q9*'Progression - Growth rate'!S20,"")</f>
        <v/>
      </c>
      <c r="R22" s="35" t="str">
        <f>IFERROR(R9*'Progression - Growth rate'!T20,"")</f>
        <v/>
      </c>
      <c r="S22" s="35" t="str">
        <f>IFERROR(S9*'Progression - Growth rate'!U20,"")</f>
        <v/>
      </c>
      <c r="T22" s="35" t="str">
        <f>IFERROR(T9*'Progression - Growth rate'!V20,"")</f>
        <v/>
      </c>
      <c r="U22" s="35" t="str">
        <f>IFERROR(U9*'Progression - Growth rate'!W20,"")</f>
        <v/>
      </c>
      <c r="V22" s="35" t="str">
        <f>IFERROR(V9*'Progression - Growth rate'!X20,"")</f>
        <v/>
      </c>
    </row>
    <row r="23" spans="1:25" x14ac:dyDescent="0.25">
      <c r="A23" s="32">
        <v>2</v>
      </c>
      <c r="B23" s="61">
        <f>HLOOKUP(Table1016[[#This Row],[Dragon ID / Level]],Table86[],2,FALSE)</f>
        <v>10</v>
      </c>
      <c r="C23" s="67">
        <f>IFERROR(C10*'Progression - Growth rate'!E21,"")</f>
        <v>13.636363636363635</v>
      </c>
      <c r="D23" s="67">
        <f>IFERROR(D10*'Progression - Growth rate'!F21,"")</f>
        <v>27.27272727272727</v>
      </c>
      <c r="E23" s="34">
        <f>IFERROR(E10*'Progression - Growth rate'!G21,"")</f>
        <v>42.54545454545454</v>
      </c>
      <c r="F23" s="34">
        <f>IFERROR(F10*'Progression - Growth rate'!H21,"")</f>
        <v>56.72727272727272</v>
      </c>
      <c r="G23" s="34">
        <f>IFERROR(G10*'Progression - Growth rate'!I21,"")</f>
        <v>70.909090909090921</v>
      </c>
      <c r="H23" s="34">
        <f>IFERROR(H10*'Progression - Growth rate'!J21,"")</f>
        <v>88.36363636363636</v>
      </c>
      <c r="I23" s="34">
        <f>IFERROR(I10*'Progression - Growth rate'!K21,"")</f>
        <v>103.09090909090911</v>
      </c>
      <c r="J23" s="34">
        <f>IFERROR(J10*'Progression - Growth rate'!L21,"")</f>
        <v>122.18181818181817</v>
      </c>
      <c r="K23" s="34">
        <f>IFERROR(K10*'Progression - Growth rate'!M21,"")</f>
        <v>137.45454545454544</v>
      </c>
      <c r="L23" s="34">
        <f>IFERROR(L10*'Progression - Growth rate'!N21,"")</f>
        <v>152.72727272727275</v>
      </c>
      <c r="M23" s="34" t="str">
        <f>IFERROR(M10*'Progression - Growth rate'!O21,"")</f>
        <v/>
      </c>
      <c r="N23" s="34" t="str">
        <f>IFERROR(N10*'Progression - Growth rate'!P21,"")</f>
        <v/>
      </c>
      <c r="O23" s="34" t="str">
        <f>IFERROR(O10*'Progression - Growth rate'!Q21,"")</f>
        <v/>
      </c>
      <c r="P23" s="34" t="str">
        <f>IFERROR(P10*'Progression - Growth rate'!R21,"")</f>
        <v/>
      </c>
      <c r="Q23" s="34" t="str">
        <f>IFERROR(Q10*'Progression - Growth rate'!S21,"")</f>
        <v/>
      </c>
      <c r="R23" s="34" t="str">
        <f>IFERROR(R10*'Progression - Growth rate'!T21,"")</f>
        <v/>
      </c>
      <c r="S23" s="34" t="str">
        <f>IFERROR(S10*'Progression - Growth rate'!U21,"")</f>
        <v/>
      </c>
      <c r="T23" s="34" t="str">
        <f>IFERROR(T10*'Progression - Growth rate'!V21,"")</f>
        <v/>
      </c>
      <c r="U23" s="34" t="str">
        <f>IFERROR(U10*'Progression - Growth rate'!W21,"")</f>
        <v/>
      </c>
      <c r="V23" s="34" t="str">
        <f>IFERROR(V10*'Progression - Growth rate'!X21,"")</f>
        <v/>
      </c>
    </row>
    <row r="24" spans="1:25" x14ac:dyDescent="0.25">
      <c r="A24" s="36">
        <v>3</v>
      </c>
      <c r="B24" s="62">
        <f>HLOOKUP(Table1016[[#This Row],[Dragon ID / Level]],Table86[],2,FALSE)</f>
        <v>10</v>
      </c>
      <c r="C24" s="68">
        <f>IFERROR(C11*'Progression - Growth rate'!E22,"")</f>
        <v>31.636363636363633</v>
      </c>
      <c r="D24" s="68">
        <f>IFERROR(D11*'Progression - Growth rate'!F22,"")</f>
        <v>63.272727272727266</v>
      </c>
      <c r="E24" s="37">
        <f>IFERROR(E11*'Progression - Growth rate'!G22,"")</f>
        <v>94.909090909090907</v>
      </c>
      <c r="F24" s="37">
        <f>IFERROR(F11*'Progression - Growth rate'!H22,"")</f>
        <v>130.90909090909091</v>
      </c>
      <c r="G24" s="37">
        <f>IFERROR(G11*'Progression - Growth rate'!I22,"")</f>
        <v>163.63636363636363</v>
      </c>
      <c r="H24" s="37">
        <f>IFERROR(H11*'Progression - Growth rate'!J22,"")</f>
        <v>202.90909090909091</v>
      </c>
      <c r="I24" s="37">
        <f>IFERROR(I11*'Progression - Growth rate'!K22,"")</f>
        <v>236.72727272727272</v>
      </c>
      <c r="J24" s="37">
        <f>IFERROR(J11*'Progression - Growth rate'!L22,"")</f>
        <v>270.5454545454545</v>
      </c>
      <c r="K24" s="37">
        <f>IFERROR(K11*'Progression - Growth rate'!M22,"")</f>
        <v>314.18181818181813</v>
      </c>
      <c r="L24" s="37">
        <f>IFERROR(L11*'Progression - Growth rate'!N22,"")</f>
        <v>349.09090909090907</v>
      </c>
      <c r="M24" s="37" t="str">
        <f>IFERROR(M11*'Progression - Growth rate'!O22,"")</f>
        <v/>
      </c>
      <c r="N24" s="37" t="str">
        <f>IFERROR(N11*'Progression - Growth rate'!P22,"")</f>
        <v/>
      </c>
      <c r="O24" s="37" t="str">
        <f>IFERROR(O11*'Progression - Growth rate'!Q22,"")</f>
        <v/>
      </c>
      <c r="P24" s="37" t="str">
        <f>IFERROR(P11*'Progression - Growth rate'!R22,"")</f>
        <v/>
      </c>
      <c r="Q24" s="37" t="str">
        <f>IFERROR(Q11*'Progression - Growth rate'!S22,"")</f>
        <v/>
      </c>
      <c r="R24" s="37" t="str">
        <f>IFERROR(R11*'Progression - Growth rate'!T22,"")</f>
        <v/>
      </c>
      <c r="S24" s="37" t="str">
        <f>IFERROR(S11*'Progression - Growth rate'!U22,"")</f>
        <v/>
      </c>
      <c r="T24" s="37" t="str">
        <f>IFERROR(T11*'Progression - Growth rate'!V22,"")</f>
        <v/>
      </c>
      <c r="U24" s="37" t="str">
        <f>IFERROR(U11*'Progression - Growth rate'!W22,"")</f>
        <v/>
      </c>
      <c r="V24" s="37" t="str">
        <f>IFERROR(V11*'Progression - Growth rate'!X22,"")</f>
        <v/>
      </c>
    </row>
    <row r="25" spans="1:25" x14ac:dyDescent="0.25">
      <c r="A25" s="36">
        <v>4</v>
      </c>
      <c r="B25" s="62">
        <f>HLOOKUP(Table1016[[#This Row],[Dragon ID / Level]],Table86[],2,FALSE)</f>
        <v>10</v>
      </c>
      <c r="C25" s="68">
        <f>IFERROR(C12*'Progression - Growth rate'!E23,"")</f>
        <v>34.909090909090907</v>
      </c>
      <c r="D25" s="68">
        <f>IFERROR(D12*'Progression - Growth rate'!F23,"")</f>
        <v>72</v>
      </c>
      <c r="E25" s="37">
        <f>IFERROR(E12*'Progression - Growth rate'!G23,"")</f>
        <v>107.99999999999999</v>
      </c>
      <c r="F25" s="37">
        <f>IFERROR(F12*'Progression - Growth rate'!H23,"")</f>
        <v>148.36363636363635</v>
      </c>
      <c r="G25" s="37">
        <f>IFERROR(G12*'Progression - Growth rate'!I23,"")</f>
        <v>185.45454545454547</v>
      </c>
      <c r="H25" s="37">
        <f>IFERROR(H12*'Progression - Growth rate'!J23,"")</f>
        <v>222.54545454545453</v>
      </c>
      <c r="I25" s="37">
        <f>IFERROR(I12*'Progression - Growth rate'!K23,"")</f>
        <v>267.27272727272725</v>
      </c>
      <c r="J25" s="37">
        <f>IFERROR(J12*'Progression - Growth rate'!L23,"")</f>
        <v>305.45454545454544</v>
      </c>
      <c r="K25" s="37">
        <f>IFERROR(K12*'Progression - Growth rate'!M23,"")</f>
        <v>343.63636363636363</v>
      </c>
      <c r="L25" s="37">
        <f>IFERROR(L12*'Progression - Growth rate'!N23,"")</f>
        <v>392.72727272727275</v>
      </c>
      <c r="M25" s="37" t="str">
        <f>IFERROR(M12*'Progression - Growth rate'!O23,"")</f>
        <v/>
      </c>
      <c r="N25" s="37" t="str">
        <f>IFERROR(N12*'Progression - Growth rate'!P23,"")</f>
        <v/>
      </c>
      <c r="O25" s="37" t="str">
        <f>IFERROR(O12*'Progression - Growth rate'!Q23,"")</f>
        <v/>
      </c>
      <c r="P25" s="37" t="str">
        <f>IFERROR(P12*'Progression - Growth rate'!R23,"")</f>
        <v/>
      </c>
      <c r="Q25" s="37" t="str">
        <f>IFERROR(Q12*'Progression - Growth rate'!S23,"")</f>
        <v/>
      </c>
      <c r="R25" s="37" t="str">
        <f>IFERROR(R12*'Progression - Growth rate'!T23,"")</f>
        <v/>
      </c>
      <c r="S25" s="37" t="str">
        <f>IFERROR(S12*'Progression - Growth rate'!U23,"")</f>
        <v/>
      </c>
      <c r="T25" s="37" t="str">
        <f>IFERROR(T12*'Progression - Growth rate'!V23,"")</f>
        <v/>
      </c>
      <c r="U25" s="37" t="str">
        <f>IFERROR(U12*'Progression - Growth rate'!W23,"")</f>
        <v/>
      </c>
      <c r="V25" s="37" t="str">
        <f>IFERROR(V12*'Progression - Growth rate'!X23,"")</f>
        <v/>
      </c>
    </row>
    <row r="26" spans="1:25" x14ac:dyDescent="0.25">
      <c r="A26" s="40">
        <v>5</v>
      </c>
      <c r="B26" s="63">
        <f>HLOOKUP(Table1016[[#This Row],[Dragon ID / Level]],Table86[],2,FALSE)</f>
        <v>15</v>
      </c>
      <c r="C26" s="69">
        <f>IFERROR(C13*'Progression - Growth rate'!E24,"")</f>
        <v>36</v>
      </c>
      <c r="D26" s="69">
        <f>IFERROR(D13*'Progression - Growth rate'!F24,"")</f>
        <v>74</v>
      </c>
      <c r="E26" s="41">
        <f>IFERROR(E13*'Progression - Growth rate'!G24,"")</f>
        <v>110.99999999999999</v>
      </c>
      <c r="F26" s="41">
        <f>IFERROR(F13*'Progression - Growth rate'!H24,"")</f>
        <v>148</v>
      </c>
      <c r="G26" s="41">
        <f>IFERROR(G13*'Progression - Growth rate'!I24,"")</f>
        <v>190</v>
      </c>
      <c r="H26" s="41">
        <f>IFERROR(H13*'Progression - Growth rate'!J24,"")</f>
        <v>227.99999999999997</v>
      </c>
      <c r="I26" s="41">
        <f>IFERROR(I13*'Progression - Growth rate'!K24,"")</f>
        <v>266</v>
      </c>
      <c r="J26" s="41">
        <f>IFERROR(J13*'Progression - Growth rate'!L24,"")</f>
        <v>312</v>
      </c>
      <c r="K26" s="41">
        <f>IFERROR(K13*'Progression - Growth rate'!M24,"")</f>
        <v>351</v>
      </c>
      <c r="L26" s="41">
        <f>IFERROR(L13*'Progression - Growth rate'!N24,"")</f>
        <v>400</v>
      </c>
      <c r="M26" s="41">
        <f>IFERROR(M13*'Progression - Growth rate'!O24,"")</f>
        <v>440</v>
      </c>
      <c r="N26" s="41">
        <f>IFERROR(N13*'Progression - Growth rate'!P24,"")</f>
        <v>479.99999999999994</v>
      </c>
      <c r="O26" s="41">
        <f>IFERROR(O13*'Progression - Growth rate'!Q24,"")</f>
        <v>533</v>
      </c>
      <c r="P26" s="41">
        <f>IFERROR(P13*'Progression - Growth rate'!R24,"")</f>
        <v>574</v>
      </c>
      <c r="Q26" s="41">
        <f>IFERROR(Q13*'Progression - Growth rate'!S24,"")</f>
        <v>615</v>
      </c>
      <c r="R26" s="41" t="str">
        <f>IFERROR(R13*'Progression - Growth rate'!T24,"")</f>
        <v/>
      </c>
      <c r="S26" s="41" t="str">
        <f>IFERROR(S13*'Progression - Growth rate'!U24,"")</f>
        <v/>
      </c>
      <c r="T26" s="41" t="str">
        <f>IFERROR(T13*'Progression - Growth rate'!V24,"")</f>
        <v/>
      </c>
      <c r="U26" s="41" t="str">
        <f>IFERROR(U13*'Progression - Growth rate'!W24,"")</f>
        <v/>
      </c>
      <c r="V26" s="41" t="str">
        <f>IFERROR(V13*'Progression - Growth rate'!X24,"")</f>
        <v/>
      </c>
    </row>
    <row r="27" spans="1:25" x14ac:dyDescent="0.25">
      <c r="A27" s="40">
        <v>6</v>
      </c>
      <c r="B27" s="63">
        <f>HLOOKUP(Table1016[[#This Row],[Dragon ID / Level]],Table86[],2,FALSE)</f>
        <v>15</v>
      </c>
      <c r="C27" s="69">
        <f>IFERROR(C14*'Progression - Growth rate'!E25,"")</f>
        <v>84</v>
      </c>
      <c r="D27" s="69">
        <f>IFERROR(D14*'Progression - Growth rate'!F25,"")</f>
        <v>168</v>
      </c>
      <c r="E27" s="41">
        <f>IFERROR(E14*'Progression - Growth rate'!G25,"")</f>
        <v>257.99999999999994</v>
      </c>
      <c r="F27" s="41">
        <f>IFERROR(F14*'Progression - Growth rate'!H25,"")</f>
        <v>344</v>
      </c>
      <c r="G27" s="41">
        <f>IFERROR(G14*'Progression - Growth rate'!I25,"")</f>
        <v>430</v>
      </c>
      <c r="H27" s="41">
        <f>IFERROR(H14*'Progression - Growth rate'!J25,"")</f>
        <v>527.99999999999989</v>
      </c>
      <c r="I27" s="41">
        <f>IFERROR(I14*'Progression - Growth rate'!K25,"")</f>
        <v>615.99999999999989</v>
      </c>
      <c r="J27" s="41">
        <f>IFERROR(J14*'Progression - Growth rate'!L25,"")</f>
        <v>704</v>
      </c>
      <c r="K27" s="41">
        <f>IFERROR(K14*'Progression - Growth rate'!M25,"")</f>
        <v>810</v>
      </c>
      <c r="L27" s="41">
        <f>IFERROR(L14*'Progression - Growth rate'!N25,"")</f>
        <v>900</v>
      </c>
      <c r="M27" s="41">
        <f>IFERROR(M14*'Progression - Growth rate'!O25,"")</f>
        <v>1012</v>
      </c>
      <c r="N27" s="41">
        <f>IFERROR(N14*'Progression - Growth rate'!P25,"")</f>
        <v>1103.9999999999998</v>
      </c>
      <c r="O27" s="41">
        <f>IFERROR(O14*'Progression - Growth rate'!Q25,"")</f>
        <v>1195.9999999999998</v>
      </c>
      <c r="P27" s="41">
        <f>IFERROR(P14*'Progression - Growth rate'!R25,"")</f>
        <v>1315.9999999999998</v>
      </c>
      <c r="Q27" s="41">
        <f>IFERROR(Q14*'Progression - Growth rate'!S25,"")</f>
        <v>1410</v>
      </c>
      <c r="R27" s="41" t="str">
        <f>IFERROR(R14*'Progression - Growth rate'!T25,"")</f>
        <v/>
      </c>
      <c r="S27" s="41" t="str">
        <f>IFERROR(S14*'Progression - Growth rate'!U25,"")</f>
        <v/>
      </c>
      <c r="T27" s="41" t="str">
        <f>IFERROR(T14*'Progression - Growth rate'!V25,"")</f>
        <v/>
      </c>
      <c r="U27" s="41" t="str">
        <f>IFERROR(U14*'Progression - Growth rate'!W25,"")</f>
        <v/>
      </c>
      <c r="V27" s="41" t="str">
        <f>IFERROR(V14*'Progression - Growth rate'!X25,"")</f>
        <v/>
      </c>
    </row>
    <row r="28" spans="1:25" x14ac:dyDescent="0.25">
      <c r="A28" s="38">
        <v>7</v>
      </c>
      <c r="B28" s="64">
        <f>HLOOKUP(Table1016[[#This Row],[Dragon ID / Level]],Table86[],2,FALSE)</f>
        <v>15</v>
      </c>
      <c r="C28" s="70">
        <f>IFERROR(C15*'Progression - Growth rate'!E26,"")</f>
        <v>188</v>
      </c>
      <c r="D28" s="70">
        <f>IFERROR(D15*'Progression - Growth rate'!F26,"")</f>
        <v>384</v>
      </c>
      <c r="E28" s="39">
        <f>IFERROR(E15*'Progression - Growth rate'!G26,"")</f>
        <v>576</v>
      </c>
      <c r="F28" s="39">
        <f>IFERROR(F15*'Progression - Growth rate'!H26,"")</f>
        <v>784</v>
      </c>
      <c r="G28" s="39">
        <f>IFERROR(G15*'Progression - Growth rate'!I26,"")</f>
        <v>979.99999999999977</v>
      </c>
      <c r="H28" s="39">
        <f>IFERROR(H15*'Progression - Growth rate'!J26,"")</f>
        <v>1176</v>
      </c>
      <c r="I28" s="39">
        <f>IFERROR(I15*'Progression - Growth rate'!K26,"")</f>
        <v>1399.9999999999998</v>
      </c>
      <c r="J28" s="39">
        <f>IFERROR(J15*'Progression - Growth rate'!L26,"")</f>
        <v>1600</v>
      </c>
      <c r="K28" s="39">
        <f>IFERROR(K15*'Progression - Growth rate'!M26,"")</f>
        <v>1800</v>
      </c>
      <c r="L28" s="39">
        <f>IFERROR(L15*'Progression - Growth rate'!N26,"")</f>
        <v>2039.9999999999995</v>
      </c>
      <c r="M28" s="39">
        <f>IFERROR(M15*'Progression - Growth rate'!O26,"")</f>
        <v>2244</v>
      </c>
      <c r="N28" s="39">
        <f>IFERROR(N15*'Progression - Growth rate'!P26,"")</f>
        <v>2448</v>
      </c>
      <c r="O28" s="39">
        <f>IFERROR(O15*'Progression - Growth rate'!Q26,"")</f>
        <v>2703.9999999999995</v>
      </c>
      <c r="P28" s="39">
        <f>IFERROR(P15*'Progression - Growth rate'!R26,"")</f>
        <v>2911.9999999999995</v>
      </c>
      <c r="Q28" s="39">
        <f>IFERROR(Q15*'Progression - Growth rate'!S26,"")</f>
        <v>3179.9999999999995</v>
      </c>
      <c r="R28" s="39" t="str">
        <f>IFERROR(R15*'Progression - Growth rate'!T26,"")</f>
        <v/>
      </c>
      <c r="S28" s="39" t="str">
        <f>IFERROR(S15*'Progression - Growth rate'!U26,"")</f>
        <v/>
      </c>
      <c r="T28" s="39" t="str">
        <f>IFERROR(T15*'Progression - Growth rate'!V26,"")</f>
        <v/>
      </c>
      <c r="U28" s="39" t="str">
        <f>IFERROR(U15*'Progression - Growth rate'!W26,"")</f>
        <v/>
      </c>
      <c r="V28" s="39" t="str">
        <f>IFERROR(V15*'Progression - Growth rate'!X26,"")</f>
        <v/>
      </c>
    </row>
    <row r="29" spans="1:25" x14ac:dyDescent="0.25">
      <c r="A29" s="38">
        <v>8</v>
      </c>
      <c r="B29" s="64">
        <f>HLOOKUP(Table1016[[#This Row],[Dragon ID / Level]],Table86[],2,FALSE)</f>
        <v>20</v>
      </c>
      <c r="C29" s="70">
        <f>IFERROR(C16*'Progression - Growth rate'!E27,"")</f>
        <v>121.14285714285715</v>
      </c>
      <c r="D29" s="70">
        <f>IFERROR(D16*'Progression - Growth rate'!F27,"")</f>
        <v>242.28571428571431</v>
      </c>
      <c r="E29" s="39">
        <f>IFERROR(E16*'Progression - Growth rate'!G27,"")</f>
        <v>370.28571428571433</v>
      </c>
      <c r="F29" s="39">
        <f>IFERROR(F16*'Progression - Growth rate'!H27,"")</f>
        <v>493.71428571428578</v>
      </c>
      <c r="G29" s="39">
        <f>IFERROR(G16*'Progression - Growth rate'!I27,"")</f>
        <v>617.14285714285711</v>
      </c>
      <c r="H29" s="39">
        <f>IFERROR(H16*'Progression - Growth rate'!J27,"")</f>
        <v>754.28571428571433</v>
      </c>
      <c r="I29" s="39">
        <f>IFERROR(I16*'Progression - Growth rate'!K27,"")</f>
        <v>880</v>
      </c>
      <c r="J29" s="39">
        <f>IFERROR(J16*'Progression - Growth rate'!L27,"")</f>
        <v>1024.0000000000002</v>
      </c>
      <c r="K29" s="39">
        <f>IFERROR(K16*'Progression - Growth rate'!M27,"")</f>
        <v>1152</v>
      </c>
      <c r="L29" s="39">
        <f>IFERROR(L16*'Progression - Growth rate'!N27,"")</f>
        <v>1279.9999999999998</v>
      </c>
      <c r="M29" s="39">
        <f>IFERROR(M16*'Progression - Growth rate'!O27,"")</f>
        <v>1433.1428571428571</v>
      </c>
      <c r="N29" s="39">
        <f>IFERROR(N16*'Progression - Growth rate'!P27,"")</f>
        <v>1563.4285714285716</v>
      </c>
      <c r="O29" s="39">
        <f>IFERROR(O16*'Progression - Growth rate'!Q27,"")</f>
        <v>1693.714285714286</v>
      </c>
      <c r="P29" s="39">
        <f>IFERROR(P16*'Progression - Growth rate'!R27,"")</f>
        <v>1856</v>
      </c>
      <c r="Q29" s="39">
        <f>IFERROR(Q16*'Progression - Growth rate'!S27,"")</f>
        <v>1988.5714285714284</v>
      </c>
      <c r="R29" s="39">
        <f>IFERROR(R16*'Progression - Growth rate'!T27,"")</f>
        <v>2157.7142857142862</v>
      </c>
      <c r="S29" s="39">
        <f>IFERROR(S16*'Progression - Growth rate'!U27,"")</f>
        <v>2292.5714285714289</v>
      </c>
      <c r="T29" s="39">
        <f>IFERROR(T16*'Progression - Growth rate'!V27,"")</f>
        <v>2427.4285714285716</v>
      </c>
      <c r="U29" s="39">
        <f>IFERROR(U16*'Progression - Growth rate'!W27,"")</f>
        <v>2605.7142857142858</v>
      </c>
      <c r="V29" s="39">
        <f>IFERROR(V16*'Progression - Growth rate'!X27,"")</f>
        <v>2742.8571428571427</v>
      </c>
    </row>
    <row r="30" spans="1:25" x14ac:dyDescent="0.25">
      <c r="A30" s="42">
        <v>9</v>
      </c>
      <c r="B30" s="65">
        <f>HLOOKUP(Table1016[[#This Row],[Dragon ID / Level]],Table86[],2,FALSE)</f>
        <v>20</v>
      </c>
      <c r="C30" s="71">
        <f>IFERROR(C17*'Progression - Growth rate'!E28,"")</f>
        <v>274.28571428571433</v>
      </c>
      <c r="D30" s="71">
        <f>IFERROR(D17*'Progression - Growth rate'!F28,"")</f>
        <v>557.71428571428578</v>
      </c>
      <c r="E30" s="43">
        <f>IFERROR(E17*'Progression - Growth rate'!G28,"")</f>
        <v>836.57142857142856</v>
      </c>
      <c r="F30" s="43">
        <f>IFERROR(F17*'Progression - Growth rate'!H28,"")</f>
        <v>1133.7142857142858</v>
      </c>
      <c r="G30" s="43">
        <f>IFERROR(G17*'Progression - Growth rate'!I28,"")</f>
        <v>1417.1428571428569</v>
      </c>
      <c r="H30" s="43">
        <f>IFERROR(H17*'Progression - Growth rate'!J28,"")</f>
        <v>1700.5714285714284</v>
      </c>
      <c r="I30" s="43">
        <f>IFERROR(I17*'Progression - Growth rate'!K28,"")</f>
        <v>2016</v>
      </c>
      <c r="J30" s="43">
        <f>IFERROR(J17*'Progression - Growth rate'!L28,"")</f>
        <v>2304.0000000000005</v>
      </c>
      <c r="K30" s="43">
        <f>IFERROR(K17*'Progression - Growth rate'!M28,"")</f>
        <v>2592</v>
      </c>
      <c r="L30" s="43">
        <f>IFERROR(L17*'Progression - Growth rate'!N28,"")</f>
        <v>2925.7142857142853</v>
      </c>
      <c r="M30" s="43">
        <f>IFERROR(M17*'Progression - Growth rate'!O28,"")</f>
        <v>3218.2857142857142</v>
      </c>
      <c r="N30" s="43">
        <f>IFERROR(N17*'Progression - Growth rate'!P28,"")</f>
        <v>3565.7142857142853</v>
      </c>
      <c r="O30" s="43">
        <f>IFERROR(O17*'Progression - Growth rate'!Q28,"")</f>
        <v>3862.8571428571431</v>
      </c>
      <c r="P30" s="43">
        <f>IFERROR(P17*'Progression - Growth rate'!R28,"")</f>
        <v>4160</v>
      </c>
      <c r="Q30" s="43">
        <f>IFERROR(Q17*'Progression - Growth rate'!S28,"")</f>
        <v>4525.7142857142853</v>
      </c>
      <c r="R30" s="43">
        <f>IFERROR(R17*'Progression - Growth rate'!T28,"")</f>
        <v>4827.4285714285725</v>
      </c>
      <c r="S30" s="43">
        <f>IFERROR(S17*'Progression - Growth rate'!U28,"")</f>
        <v>5129.1428571428578</v>
      </c>
      <c r="T30" s="43">
        <f>IFERROR(T17*'Progression - Growth rate'!V28,"")</f>
        <v>5513.1428571428578</v>
      </c>
      <c r="U30" s="43">
        <f>IFERROR(U17*'Progression - Growth rate'!W28,"")</f>
        <v>5819.4285714285716</v>
      </c>
      <c r="V30" s="43">
        <f>IFERROR(V17*'Progression - Growth rate'!X28,"")</f>
        <v>6217.142857142856</v>
      </c>
    </row>
    <row r="31" spans="1:25" x14ac:dyDescent="0.25">
      <c r="A31" s="42">
        <v>10</v>
      </c>
      <c r="B31" s="65">
        <f>HLOOKUP(Table1016[[#This Row],[Dragon ID / Level]],Table86[],2,FALSE)</f>
        <v>20</v>
      </c>
      <c r="C31" s="71">
        <f>IFERROR(C18*'Progression - Growth rate'!E29,"")</f>
        <v>310.85714285714283</v>
      </c>
      <c r="D31" s="71">
        <f>IFERROR(D18*'Progression - Growth rate'!F29,"")</f>
        <v>621.71428571428567</v>
      </c>
      <c r="E31" s="43">
        <f>IFERROR(E18*'Progression - Growth rate'!G29,"")</f>
        <v>946.28571428571422</v>
      </c>
      <c r="F31" s="43">
        <f>IFERROR(F18*'Progression - Growth rate'!H29,"")</f>
        <v>1261.7142857142856</v>
      </c>
      <c r="G31" s="43">
        <f>IFERROR(G18*'Progression - Growth rate'!I29,"")</f>
        <v>1577.1428571428569</v>
      </c>
      <c r="H31" s="43">
        <f>IFERROR(H18*'Progression - Growth rate'!J29,"")</f>
        <v>1920</v>
      </c>
      <c r="I31" s="43">
        <f>IFERROR(I18*'Progression - Growth rate'!K29,"")</f>
        <v>2240</v>
      </c>
      <c r="J31" s="43">
        <f>IFERROR(J18*'Progression - Growth rate'!L29,"")</f>
        <v>2596.5714285714284</v>
      </c>
      <c r="K31" s="43">
        <f>IFERROR(K18*'Progression - Growth rate'!M29,"")</f>
        <v>2921.1428571428569</v>
      </c>
      <c r="L31" s="43">
        <f>IFERROR(L18*'Progression - Growth rate'!N29,"")</f>
        <v>3245.7142857142853</v>
      </c>
      <c r="M31" s="43">
        <f>IFERROR(M18*'Progression - Growth rate'!O29,"")</f>
        <v>3620.5714285714284</v>
      </c>
      <c r="N31" s="43">
        <f>IFERROR(N18*'Progression - Growth rate'!P29,"")</f>
        <v>3949.7142857142853</v>
      </c>
      <c r="O31" s="43">
        <f>IFERROR(O18*'Progression - Growth rate'!Q29,"")</f>
        <v>4278.8571428571422</v>
      </c>
      <c r="P31" s="43">
        <f>IFERROR(P18*'Progression - Growth rate'!R29,"")</f>
        <v>4672</v>
      </c>
      <c r="Q31" s="43">
        <f>IFERROR(Q18*'Progression - Growth rate'!S29,"")</f>
        <v>5005.7142857142853</v>
      </c>
      <c r="R31" s="43">
        <f>IFERROR(R18*'Progression - Growth rate'!T29,"")</f>
        <v>5412.5714285714284</v>
      </c>
      <c r="S31" s="43">
        <f>IFERROR(S18*'Progression - Growth rate'!U29,"")</f>
        <v>5750.8571428571431</v>
      </c>
      <c r="T31" s="43">
        <f>IFERROR(T18*'Progression - Growth rate'!V29,"")</f>
        <v>6089.1428571428569</v>
      </c>
      <c r="U31" s="43">
        <f>IFERROR(U18*'Progression - Growth rate'!W29,"")</f>
        <v>6514.2857142857147</v>
      </c>
      <c r="V31" s="43">
        <f>IFERROR(V18*'Progression - Growth rate'!X29,"")</f>
        <v>6857.142857142856</v>
      </c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>
    <tabColor theme="5"/>
  </sheetPr>
  <dimension ref="A1:L53"/>
  <sheetViews>
    <sheetView workbookViewId="0"/>
  </sheetViews>
  <sheetFormatPr defaultRowHeight="15" x14ac:dyDescent="0.25"/>
  <cols>
    <col min="1" max="1" width="34.140625" bestFit="1" customWidth="1"/>
    <col min="2" max="2" width="16.5703125" bestFit="1" customWidth="1"/>
    <col min="3" max="10" width="13.28515625" bestFit="1" customWidth="1"/>
    <col min="11" max="11" width="14.28515625" bestFit="1" customWidth="1"/>
    <col min="12" max="12" width="7.5703125" bestFit="1" customWidth="1"/>
  </cols>
  <sheetData>
    <row r="1" spans="1:12" ht="18.75" x14ac:dyDescent="0.3">
      <c r="A1" s="30" t="s">
        <v>423</v>
      </c>
      <c r="B1" s="29"/>
      <c r="C1" s="29"/>
      <c r="D1" s="29"/>
    </row>
    <row r="2" spans="1:12" ht="15" customHeight="1" x14ac:dyDescent="0.25">
      <c r="A2" s="262" t="s">
        <v>424</v>
      </c>
      <c r="B2" s="262"/>
      <c r="C2" s="262"/>
      <c r="D2" s="262"/>
    </row>
    <row r="3" spans="1:12" x14ac:dyDescent="0.25">
      <c r="A3" s="262"/>
      <c r="B3" s="262"/>
      <c r="C3" s="262"/>
      <c r="D3" s="262"/>
    </row>
    <row r="4" spans="1:12" x14ac:dyDescent="0.25">
      <c r="A4" s="262"/>
      <c r="B4" s="262"/>
      <c r="C4" s="262"/>
      <c r="D4" s="262"/>
    </row>
    <row r="5" spans="1:12" x14ac:dyDescent="0.25">
      <c r="A5" s="262"/>
      <c r="B5" s="262"/>
      <c r="C5" s="262"/>
      <c r="D5" s="262"/>
    </row>
    <row r="6" spans="1:12" x14ac:dyDescent="0.25">
      <c r="A6" s="197"/>
      <c r="B6" s="197"/>
      <c r="C6" s="197"/>
      <c r="D6" s="197"/>
    </row>
    <row r="7" spans="1:12" x14ac:dyDescent="0.25">
      <c r="A7" s="197"/>
      <c r="B7" s="198" t="s">
        <v>164</v>
      </c>
      <c r="C7" s="197"/>
      <c r="D7" s="197"/>
    </row>
    <row r="8" spans="1:12" x14ac:dyDescent="0.25">
      <c r="A8" s="197"/>
      <c r="B8" s="200">
        <v>0.1</v>
      </c>
      <c r="C8" s="197"/>
      <c r="D8" s="197"/>
    </row>
    <row r="9" spans="1:12" x14ac:dyDescent="0.25">
      <c r="B9" s="199">
        <v>0.2</v>
      </c>
      <c r="C9" s="263" t="s">
        <v>427</v>
      </c>
      <c r="D9" s="263"/>
      <c r="E9" s="263"/>
      <c r="F9" s="263"/>
      <c r="G9" s="263"/>
      <c r="H9" s="263"/>
      <c r="I9" s="263"/>
      <c r="J9" s="263"/>
      <c r="K9" s="263"/>
      <c r="L9" s="263"/>
    </row>
    <row r="10" spans="1:12" x14ac:dyDescent="0.25">
      <c r="A10" s="1" t="s">
        <v>425</v>
      </c>
      <c r="B10" s="1" t="s">
        <v>426</v>
      </c>
      <c r="C10" s="1" t="s">
        <v>77</v>
      </c>
      <c r="D10" s="1" t="s">
        <v>78</v>
      </c>
      <c r="E10" s="1" t="s">
        <v>79</v>
      </c>
      <c r="F10" s="1" t="s">
        <v>80</v>
      </c>
      <c r="G10" s="1" t="s">
        <v>81</v>
      </c>
      <c r="H10" s="1" t="s">
        <v>82</v>
      </c>
      <c r="I10" s="1" t="s">
        <v>83</v>
      </c>
      <c r="J10" s="1" t="s">
        <v>84</v>
      </c>
      <c r="K10" s="1" t="s">
        <v>85</v>
      </c>
      <c r="L10" s="1" t="s">
        <v>86</v>
      </c>
    </row>
    <row r="11" spans="1:12" x14ac:dyDescent="0.25">
      <c r="A11" s="1">
        <v>1</v>
      </c>
      <c r="B11" s="3">
        <f>$B$8/POWER(Table61[[#This Row],[Time Survived]],$B$9)</f>
        <v>0.1</v>
      </c>
      <c r="C11" s="1">
        <f>ROUND(INDEX('Progression - Gold rate'!$X$9:$X$18,C$10)*INDEX(RunDuration[Expected AVG time (mn)],C$10)*$B11,0)</f>
        <v>7</v>
      </c>
      <c r="D11" s="1">
        <f>ROUND(INDEX('Progression - Gold rate'!$X$9:$X$18,D$10)*INDEX(RunDuration[Dragon ID / Level],D$10)*$B11,0)</f>
        <v>10</v>
      </c>
      <c r="E11" s="1">
        <f>ROUND(INDEX('Progression - Gold rate'!$X$9:$X$18,E$10)*INDEX(RunDuration[Max level],E$10)*$B11,0)</f>
        <v>100</v>
      </c>
      <c r="F11" s="1">
        <f>ROUND(INDEX('Progression - Gold rate'!$X$9:$X$18,F$10)*INDEX(RunDuration[Expected AVG time (mn)],F$10)*$B11,0)</f>
        <v>70</v>
      </c>
      <c r="G11" s="1">
        <f>ROUND(INDEX('Progression - Gold rate'!$X$9:$X$18,G$10)*INDEX(RunDuration[Dragon ID / Level],G$10)*$B11,0)</f>
        <v>100</v>
      </c>
      <c r="H11" s="1">
        <f>ROUND(INDEX('Progression - Gold rate'!$X$9:$X$18,H$10)*INDEX(RunDuration[Max level],H$10)*$B11,0)</f>
        <v>375</v>
      </c>
      <c r="I11" s="1">
        <f>ROUND(INDEX('Progression - Gold rate'!$X$9:$X$18,I$10)*INDEX(RunDuration[Expected AVG time (mn)],I$10)*$B11,0)</f>
        <v>188</v>
      </c>
      <c r="J11" s="1">
        <f>ROUND(INDEX('Progression - Gold rate'!$X$9:$X$18,J$10)*INDEX(RunDuration[Dragon ID / Level],J$10)*$B11,0)</f>
        <v>320</v>
      </c>
      <c r="K11" s="1">
        <f>ROUND(INDEX('Progression - Gold rate'!$X$9:$X$18,K$10)*INDEX(RunDuration[Max level],K$10)*$B11,0)</f>
        <v>1000</v>
      </c>
      <c r="L11" s="1">
        <f>ROUND(INDEX('Progression - Gold rate'!$X$9:$X$18,L$10)*INDEX(RunDuration[Expected AVG time (mn)],L$10)*$B11,0)</f>
        <v>475</v>
      </c>
    </row>
    <row r="12" spans="1:12" x14ac:dyDescent="0.25">
      <c r="A12" s="1">
        <v>2</v>
      </c>
      <c r="B12" s="3">
        <f>$B$8/POWER(Table61[[#This Row],[Time Survived]],$B$9)</f>
        <v>8.7055056329612412E-2</v>
      </c>
      <c r="C12" s="1">
        <f>ROUND(INDEX('Progression - Gold rate'!$X$9:$X$18,C$10)*INDEX(RunDuration[Expected AVG time (mn)],C$10)*$B12,0)</f>
        <v>6</v>
      </c>
      <c r="D12" s="1">
        <f>ROUND(INDEX('Progression - Gold rate'!$X$9:$X$18,D$10)*INDEX(RunDuration[Dragon ID / Level],D$10)*$B12,0)</f>
        <v>9</v>
      </c>
      <c r="E12" s="1">
        <f>ROUND(INDEX('Progression - Gold rate'!$X$9:$X$18,E$10)*INDEX(RunDuration[Max level],E$10)*$B12,0)</f>
        <v>87</v>
      </c>
      <c r="F12" s="1">
        <f>ROUND(INDEX('Progression - Gold rate'!$X$9:$X$18,F$10)*INDEX(RunDuration[Expected AVG time (mn)],F$10)*$B12,0)</f>
        <v>61</v>
      </c>
      <c r="G12" s="1">
        <f>ROUND(INDEX('Progression - Gold rate'!$X$9:$X$18,G$10)*INDEX(RunDuration[Dragon ID / Level],G$10)*$B12,0)</f>
        <v>87</v>
      </c>
      <c r="H12" s="1">
        <f>ROUND(INDEX('Progression - Gold rate'!$X$9:$X$18,H$10)*INDEX(RunDuration[Max level],H$10)*$B12,0)</f>
        <v>326</v>
      </c>
      <c r="I12" s="1">
        <f>ROUND(INDEX('Progression - Gold rate'!$X$9:$X$18,I$10)*INDEX(RunDuration[Expected AVG time (mn)],I$10)*$B12,0)</f>
        <v>164</v>
      </c>
      <c r="J12" s="1">
        <f>ROUND(INDEX('Progression - Gold rate'!$X$9:$X$18,J$10)*INDEX(RunDuration[Dragon ID / Level],J$10)*$B12,0)</f>
        <v>279</v>
      </c>
      <c r="K12" s="1">
        <f>ROUND(INDEX('Progression - Gold rate'!$X$9:$X$18,K$10)*INDEX(RunDuration[Max level],K$10)*$B12,0)</f>
        <v>871</v>
      </c>
      <c r="L12" s="1">
        <f>ROUND(INDEX('Progression - Gold rate'!$X$9:$X$18,L$10)*INDEX(RunDuration[Expected AVG time (mn)],L$10)*$B12,0)</f>
        <v>413</v>
      </c>
    </row>
    <row r="13" spans="1:12" x14ac:dyDescent="0.25">
      <c r="A13" s="1">
        <v>3</v>
      </c>
      <c r="B13" s="3">
        <f>$B$8/POWER(Table61[[#This Row],[Time Survived]],$B$9)</f>
        <v>8.027415617602307E-2</v>
      </c>
      <c r="C13" s="1">
        <f>ROUND(INDEX('Progression - Gold rate'!$X$9:$X$18,C$10)*INDEX(RunDuration[Expected AVG time (mn)],C$10)*$B13,0)</f>
        <v>6</v>
      </c>
      <c r="D13" s="1">
        <f>ROUND(INDEX('Progression - Gold rate'!$X$9:$X$18,D$10)*INDEX(RunDuration[Dragon ID / Level],D$10)*$B13,0)</f>
        <v>8</v>
      </c>
      <c r="E13" s="1">
        <f>ROUND(INDEX('Progression - Gold rate'!$X$9:$X$18,E$10)*INDEX(RunDuration[Max level],E$10)*$B13,0)</f>
        <v>80</v>
      </c>
      <c r="F13" s="1">
        <f>ROUND(INDEX('Progression - Gold rate'!$X$9:$X$18,F$10)*INDEX(RunDuration[Expected AVG time (mn)],F$10)*$B13,0)</f>
        <v>56</v>
      </c>
      <c r="G13" s="1">
        <f>ROUND(INDEX('Progression - Gold rate'!$X$9:$X$18,G$10)*INDEX(RunDuration[Dragon ID / Level],G$10)*$B13,0)</f>
        <v>80</v>
      </c>
      <c r="H13" s="1">
        <f>ROUND(INDEX('Progression - Gold rate'!$X$9:$X$18,H$10)*INDEX(RunDuration[Max level],H$10)*$B13,0)</f>
        <v>301</v>
      </c>
      <c r="I13" s="1">
        <f>ROUND(INDEX('Progression - Gold rate'!$X$9:$X$18,I$10)*INDEX(RunDuration[Expected AVG time (mn)],I$10)*$B13,0)</f>
        <v>151</v>
      </c>
      <c r="J13" s="1">
        <f>ROUND(INDEX('Progression - Gold rate'!$X$9:$X$18,J$10)*INDEX(RunDuration[Dragon ID / Level],J$10)*$B13,0)</f>
        <v>257</v>
      </c>
      <c r="K13" s="1">
        <f>ROUND(INDEX('Progression - Gold rate'!$X$9:$X$18,K$10)*INDEX(RunDuration[Max level],K$10)*$B13,0)</f>
        <v>803</v>
      </c>
      <c r="L13" s="1">
        <f>ROUND(INDEX('Progression - Gold rate'!$X$9:$X$18,L$10)*INDEX(RunDuration[Expected AVG time (mn)],L$10)*$B13,0)</f>
        <v>381</v>
      </c>
    </row>
    <row r="14" spans="1:12" x14ac:dyDescent="0.25">
      <c r="A14" s="1">
        <v>4</v>
      </c>
      <c r="B14" s="3">
        <f>$B$8/POWER(Table61[[#This Row],[Time Survived]],$B$9)</f>
        <v>7.5785828325519916E-2</v>
      </c>
      <c r="C14" s="1">
        <f>ROUND(INDEX('Progression - Gold rate'!$X$9:$X$18,C$10)*INDEX(RunDuration[Expected AVG time (mn)],C$10)*$B14,0)</f>
        <v>5</v>
      </c>
      <c r="D14" s="1">
        <f>ROUND(INDEX('Progression - Gold rate'!$X$9:$X$18,D$10)*INDEX(RunDuration[Dragon ID / Level],D$10)*$B14,0)</f>
        <v>8</v>
      </c>
      <c r="E14" s="1">
        <f>ROUND(INDEX('Progression - Gold rate'!$X$9:$X$18,E$10)*INDEX(RunDuration[Max level],E$10)*$B14,0)</f>
        <v>76</v>
      </c>
      <c r="F14" s="1">
        <f>ROUND(INDEX('Progression - Gold rate'!$X$9:$X$18,F$10)*INDEX(RunDuration[Expected AVG time (mn)],F$10)*$B14,0)</f>
        <v>53</v>
      </c>
      <c r="G14" s="1">
        <f>ROUND(INDEX('Progression - Gold rate'!$X$9:$X$18,G$10)*INDEX(RunDuration[Dragon ID / Level],G$10)*$B14,0)</f>
        <v>76</v>
      </c>
      <c r="H14" s="1">
        <f>ROUND(INDEX('Progression - Gold rate'!$X$9:$X$18,H$10)*INDEX(RunDuration[Max level],H$10)*$B14,0)</f>
        <v>284</v>
      </c>
      <c r="I14" s="1">
        <f>ROUND(INDEX('Progression - Gold rate'!$X$9:$X$18,I$10)*INDEX(RunDuration[Expected AVG time (mn)],I$10)*$B14,0)</f>
        <v>143</v>
      </c>
      <c r="J14" s="1">
        <f>ROUND(INDEX('Progression - Gold rate'!$X$9:$X$18,J$10)*INDEX(RunDuration[Dragon ID / Level],J$10)*$B14,0)</f>
        <v>243</v>
      </c>
      <c r="K14" s="1">
        <f>ROUND(INDEX('Progression - Gold rate'!$X$9:$X$18,K$10)*INDEX(RunDuration[Max level],K$10)*$B14,0)</f>
        <v>758</v>
      </c>
      <c r="L14" s="1">
        <f>ROUND(INDEX('Progression - Gold rate'!$X$9:$X$18,L$10)*INDEX(RunDuration[Expected AVG time (mn)],L$10)*$B14,0)</f>
        <v>360</v>
      </c>
    </row>
    <row r="15" spans="1:12" x14ac:dyDescent="0.25">
      <c r="A15" s="1">
        <v>5</v>
      </c>
      <c r="B15" s="3">
        <f>$B$8/POWER(Table61[[#This Row],[Time Survived]],$B$9)</f>
        <v>7.2477966367769556E-2</v>
      </c>
      <c r="C15" s="1">
        <f>ROUND(INDEX('Progression - Gold rate'!$X$9:$X$18,C$10)*INDEX(RunDuration[Expected AVG time (mn)],C$10)*$B15,0)</f>
        <v>5</v>
      </c>
      <c r="D15" s="1">
        <f>ROUND(INDEX('Progression - Gold rate'!$X$9:$X$18,D$10)*INDEX(RunDuration[Dragon ID / Level],D$10)*$B15,0)</f>
        <v>7</v>
      </c>
      <c r="E15" s="1">
        <f>ROUND(INDEX('Progression - Gold rate'!$X$9:$X$18,E$10)*INDEX(RunDuration[Max level],E$10)*$B15,0)</f>
        <v>72</v>
      </c>
      <c r="F15" s="1">
        <f>ROUND(INDEX('Progression - Gold rate'!$X$9:$X$18,F$10)*INDEX(RunDuration[Expected AVG time (mn)],F$10)*$B15,0)</f>
        <v>50</v>
      </c>
      <c r="G15" s="1">
        <f>ROUND(INDEX('Progression - Gold rate'!$X$9:$X$18,G$10)*INDEX(RunDuration[Dragon ID / Level],G$10)*$B15,0)</f>
        <v>72</v>
      </c>
      <c r="H15" s="1">
        <f>ROUND(INDEX('Progression - Gold rate'!$X$9:$X$18,H$10)*INDEX(RunDuration[Max level],H$10)*$B15,0)</f>
        <v>272</v>
      </c>
      <c r="I15" s="1">
        <f>ROUND(INDEX('Progression - Gold rate'!$X$9:$X$18,I$10)*INDEX(RunDuration[Expected AVG time (mn)],I$10)*$B15,0)</f>
        <v>136</v>
      </c>
      <c r="J15" s="1">
        <f>ROUND(INDEX('Progression - Gold rate'!$X$9:$X$18,J$10)*INDEX(RunDuration[Dragon ID / Level],J$10)*$B15,0)</f>
        <v>232</v>
      </c>
      <c r="K15" s="1">
        <f>ROUND(INDEX('Progression - Gold rate'!$X$9:$X$18,K$10)*INDEX(RunDuration[Max level],K$10)*$B15,0)</f>
        <v>725</v>
      </c>
      <c r="L15" s="1">
        <f>ROUND(INDEX('Progression - Gold rate'!$X$9:$X$18,L$10)*INDEX(RunDuration[Expected AVG time (mn)],L$10)*$B15,0)</f>
        <v>344</v>
      </c>
    </row>
    <row r="16" spans="1:12" x14ac:dyDescent="0.25">
      <c r="A16" s="1">
        <v>6</v>
      </c>
      <c r="B16" s="3">
        <f>$B$8/POWER(Table61[[#This Row],[Time Survived]],$B$9)</f>
        <v>6.988271187715793E-2</v>
      </c>
      <c r="C16" s="1">
        <f>ROUND(INDEX('Progression - Gold rate'!$X$9:$X$18,C$10)*INDEX(RunDuration[Expected AVG time (mn)],C$10)*$B16,0)</f>
        <v>5</v>
      </c>
      <c r="D16" s="1">
        <f>ROUND(INDEX('Progression - Gold rate'!$X$9:$X$18,D$10)*INDEX(RunDuration[Dragon ID / Level],D$10)*$B16,0)</f>
        <v>7</v>
      </c>
      <c r="E16" s="1">
        <f>ROUND(INDEX('Progression - Gold rate'!$X$9:$X$18,E$10)*INDEX(RunDuration[Max level],E$10)*$B16,0)</f>
        <v>70</v>
      </c>
      <c r="F16" s="1">
        <f>ROUND(INDEX('Progression - Gold rate'!$X$9:$X$18,F$10)*INDEX(RunDuration[Expected AVG time (mn)],F$10)*$B16,0)</f>
        <v>49</v>
      </c>
      <c r="G16" s="1">
        <f>ROUND(INDEX('Progression - Gold rate'!$X$9:$X$18,G$10)*INDEX(RunDuration[Dragon ID / Level],G$10)*$B16,0)</f>
        <v>70</v>
      </c>
      <c r="H16" s="1">
        <f>ROUND(INDEX('Progression - Gold rate'!$X$9:$X$18,H$10)*INDEX(RunDuration[Max level],H$10)*$B16,0)</f>
        <v>262</v>
      </c>
      <c r="I16" s="1">
        <f>ROUND(INDEX('Progression - Gold rate'!$X$9:$X$18,I$10)*INDEX(RunDuration[Expected AVG time (mn)],I$10)*$B16,0)</f>
        <v>132</v>
      </c>
      <c r="J16" s="1">
        <f>ROUND(INDEX('Progression - Gold rate'!$X$9:$X$18,J$10)*INDEX(RunDuration[Dragon ID / Level],J$10)*$B16,0)</f>
        <v>224</v>
      </c>
      <c r="K16" s="1">
        <f>ROUND(INDEX('Progression - Gold rate'!$X$9:$X$18,K$10)*INDEX(RunDuration[Max level],K$10)*$B16,0)</f>
        <v>699</v>
      </c>
      <c r="L16" s="1">
        <f>ROUND(INDEX('Progression - Gold rate'!$X$9:$X$18,L$10)*INDEX(RunDuration[Expected AVG time (mn)],L$10)*$B16,0)</f>
        <v>332</v>
      </c>
    </row>
    <row r="17" spans="1:12" x14ac:dyDescent="0.25">
      <c r="A17" s="1">
        <v>7</v>
      </c>
      <c r="B17" s="3">
        <f>$B$8/POWER(Table61[[#This Row],[Time Survived]],$B$9)</f>
        <v>6.776109134004811E-2</v>
      </c>
      <c r="C17" s="1">
        <f>ROUND(INDEX('Progression - Gold rate'!$X$9:$X$18,C$10)*INDEX(RunDuration[Expected AVG time (mn)],C$10)*$B17,0)</f>
        <v>5</v>
      </c>
      <c r="D17" s="1">
        <f>ROUND(INDEX('Progression - Gold rate'!$X$9:$X$18,D$10)*INDEX(RunDuration[Dragon ID / Level],D$10)*$B17,0)</f>
        <v>7</v>
      </c>
      <c r="E17" s="1">
        <f>ROUND(INDEX('Progression - Gold rate'!$X$9:$X$18,E$10)*INDEX(RunDuration[Max level],E$10)*$B17,0)</f>
        <v>68</v>
      </c>
      <c r="F17" s="1">
        <f>ROUND(INDEX('Progression - Gold rate'!$X$9:$X$18,F$10)*INDEX(RunDuration[Expected AVG time (mn)],F$10)*$B17,0)</f>
        <v>47</v>
      </c>
      <c r="G17" s="1">
        <f>ROUND(INDEX('Progression - Gold rate'!$X$9:$X$18,G$10)*INDEX(RunDuration[Dragon ID / Level],G$10)*$B17,0)</f>
        <v>68</v>
      </c>
      <c r="H17" s="1">
        <f>ROUND(INDEX('Progression - Gold rate'!$X$9:$X$18,H$10)*INDEX(RunDuration[Max level],H$10)*$B17,0)</f>
        <v>254</v>
      </c>
      <c r="I17" s="1">
        <f>ROUND(INDEX('Progression - Gold rate'!$X$9:$X$18,I$10)*INDEX(RunDuration[Expected AVG time (mn)],I$10)*$B17,0)</f>
        <v>128</v>
      </c>
      <c r="J17" s="1">
        <f>ROUND(INDEX('Progression - Gold rate'!$X$9:$X$18,J$10)*INDEX(RunDuration[Dragon ID / Level],J$10)*$B17,0)</f>
        <v>217</v>
      </c>
      <c r="K17" s="1">
        <f>ROUND(INDEX('Progression - Gold rate'!$X$9:$X$18,K$10)*INDEX(RunDuration[Max level],K$10)*$B17,0)</f>
        <v>678</v>
      </c>
      <c r="L17" s="1">
        <f>ROUND(INDEX('Progression - Gold rate'!$X$9:$X$18,L$10)*INDEX(RunDuration[Expected AVG time (mn)],L$10)*$B17,0)</f>
        <v>322</v>
      </c>
    </row>
    <row r="18" spans="1:12" x14ac:dyDescent="0.25">
      <c r="A18" s="1">
        <v>8</v>
      </c>
      <c r="B18" s="3">
        <f>$B$8/POWER(Table61[[#This Row],[Time Survived]],$B$9)</f>
        <v>6.5975395538644718E-2</v>
      </c>
      <c r="C18" s="1">
        <f>ROUND(INDEX('Progression - Gold rate'!$X$9:$X$18,C$10)*INDEX(RunDuration[Expected AVG time (mn)],C$10)*$B18,0)</f>
        <v>5</v>
      </c>
      <c r="D18" s="1">
        <f>ROUND(INDEX('Progression - Gold rate'!$X$9:$X$18,D$10)*INDEX(RunDuration[Dragon ID / Level],D$10)*$B18,0)</f>
        <v>7</v>
      </c>
      <c r="E18" s="1">
        <f>ROUND(INDEX('Progression - Gold rate'!$X$9:$X$18,E$10)*INDEX(RunDuration[Max level],E$10)*$B18,0)</f>
        <v>66</v>
      </c>
      <c r="F18" s="1">
        <f>ROUND(INDEX('Progression - Gold rate'!$X$9:$X$18,F$10)*INDEX(RunDuration[Expected AVG time (mn)],F$10)*$B18,0)</f>
        <v>46</v>
      </c>
      <c r="G18" s="1">
        <f>ROUND(INDEX('Progression - Gold rate'!$X$9:$X$18,G$10)*INDEX(RunDuration[Dragon ID / Level],G$10)*$B18,0)</f>
        <v>66</v>
      </c>
      <c r="H18" s="1">
        <f>ROUND(INDEX('Progression - Gold rate'!$X$9:$X$18,H$10)*INDEX(RunDuration[Max level],H$10)*$B18,0)</f>
        <v>247</v>
      </c>
      <c r="I18" s="1">
        <f>ROUND(INDEX('Progression - Gold rate'!$X$9:$X$18,I$10)*INDEX(RunDuration[Expected AVG time (mn)],I$10)*$B18,0)</f>
        <v>124</v>
      </c>
      <c r="J18" s="1">
        <f>ROUND(INDEX('Progression - Gold rate'!$X$9:$X$18,J$10)*INDEX(RunDuration[Dragon ID / Level],J$10)*$B18,0)</f>
        <v>211</v>
      </c>
      <c r="K18" s="1">
        <f>ROUND(INDEX('Progression - Gold rate'!$X$9:$X$18,K$10)*INDEX(RunDuration[Max level],K$10)*$B18,0)</f>
        <v>660</v>
      </c>
      <c r="L18" s="1">
        <f>ROUND(INDEX('Progression - Gold rate'!$X$9:$X$18,L$10)*INDEX(RunDuration[Expected AVG time (mn)],L$10)*$B18,0)</f>
        <v>313</v>
      </c>
    </row>
    <row r="19" spans="1:12" x14ac:dyDescent="0.25">
      <c r="A19" s="1">
        <v>9</v>
      </c>
      <c r="B19" s="3">
        <f>$B$8/POWER(Table61[[#This Row],[Time Survived]],$B$9)</f>
        <v>6.4439401497725424E-2</v>
      </c>
      <c r="C19" s="1">
        <f>ROUND(INDEX('Progression - Gold rate'!$X$9:$X$18,C$10)*INDEX(RunDuration[Expected AVG time (mn)],C$10)*$B19,0)</f>
        <v>5</v>
      </c>
      <c r="D19" s="1">
        <f>ROUND(INDEX('Progression - Gold rate'!$X$9:$X$18,D$10)*INDEX(RunDuration[Dragon ID / Level],D$10)*$B19,0)</f>
        <v>6</v>
      </c>
      <c r="E19" s="1">
        <f>ROUND(INDEX('Progression - Gold rate'!$X$9:$X$18,E$10)*INDEX(RunDuration[Max level],E$10)*$B19,0)</f>
        <v>64</v>
      </c>
      <c r="F19" s="1">
        <f>ROUND(INDEX('Progression - Gold rate'!$X$9:$X$18,F$10)*INDEX(RunDuration[Expected AVG time (mn)],F$10)*$B19,0)</f>
        <v>45</v>
      </c>
      <c r="G19" s="1">
        <f>ROUND(INDEX('Progression - Gold rate'!$X$9:$X$18,G$10)*INDEX(RunDuration[Dragon ID / Level],G$10)*$B19,0)</f>
        <v>64</v>
      </c>
      <c r="H19" s="1">
        <f>ROUND(INDEX('Progression - Gold rate'!$X$9:$X$18,H$10)*INDEX(RunDuration[Max level],H$10)*$B19,0)</f>
        <v>242</v>
      </c>
      <c r="I19" s="1">
        <f>ROUND(INDEX('Progression - Gold rate'!$X$9:$X$18,I$10)*INDEX(RunDuration[Expected AVG time (mn)],I$10)*$B19,0)</f>
        <v>121</v>
      </c>
      <c r="J19" s="1">
        <f>ROUND(INDEX('Progression - Gold rate'!$X$9:$X$18,J$10)*INDEX(RunDuration[Dragon ID / Level],J$10)*$B19,0)</f>
        <v>206</v>
      </c>
      <c r="K19" s="1">
        <f>ROUND(INDEX('Progression - Gold rate'!$X$9:$X$18,K$10)*INDEX(RunDuration[Max level],K$10)*$B19,0)</f>
        <v>644</v>
      </c>
      <c r="L19" s="1">
        <f>ROUND(INDEX('Progression - Gold rate'!$X$9:$X$18,L$10)*INDEX(RunDuration[Expected AVG time (mn)],L$10)*$B19,0)</f>
        <v>306</v>
      </c>
    </row>
    <row r="20" spans="1:12" x14ac:dyDescent="0.25">
      <c r="A20" s="1">
        <v>10</v>
      </c>
      <c r="B20" s="3">
        <f>$B$8/POWER(Table61[[#This Row],[Time Survived]],$B$9)</f>
        <v>6.3095734448019331E-2</v>
      </c>
      <c r="C20" s="1">
        <f>ROUND(INDEX('Progression - Gold rate'!$X$9:$X$18,C$10)*INDEX(RunDuration[Expected AVG time (mn)],C$10)*$B20,0)</f>
        <v>4</v>
      </c>
      <c r="D20" s="1">
        <f>ROUND(INDEX('Progression - Gold rate'!$X$9:$X$18,D$10)*INDEX(RunDuration[Dragon ID / Level],D$10)*$B20,0)</f>
        <v>6</v>
      </c>
      <c r="E20" s="1">
        <f>ROUND(INDEX('Progression - Gold rate'!$X$9:$X$18,E$10)*INDEX(RunDuration[Max level],E$10)*$B20,0)</f>
        <v>63</v>
      </c>
      <c r="F20" s="1">
        <f>ROUND(INDEX('Progression - Gold rate'!$X$9:$X$18,F$10)*INDEX(RunDuration[Expected AVG time (mn)],F$10)*$B20,0)</f>
        <v>44</v>
      </c>
      <c r="G20" s="1">
        <f>ROUND(INDEX('Progression - Gold rate'!$X$9:$X$18,G$10)*INDEX(RunDuration[Dragon ID / Level],G$10)*$B20,0)</f>
        <v>63</v>
      </c>
      <c r="H20" s="1">
        <f>ROUND(INDEX('Progression - Gold rate'!$X$9:$X$18,H$10)*INDEX(RunDuration[Max level],H$10)*$B20,0)</f>
        <v>237</v>
      </c>
      <c r="I20" s="1">
        <f>ROUND(INDEX('Progression - Gold rate'!$X$9:$X$18,I$10)*INDEX(RunDuration[Expected AVG time (mn)],I$10)*$B20,0)</f>
        <v>119</v>
      </c>
      <c r="J20" s="1">
        <f>ROUND(INDEX('Progression - Gold rate'!$X$9:$X$18,J$10)*INDEX(RunDuration[Dragon ID / Level],J$10)*$B20,0)</f>
        <v>202</v>
      </c>
      <c r="K20" s="1">
        <f>ROUND(INDEX('Progression - Gold rate'!$X$9:$X$18,K$10)*INDEX(RunDuration[Max level],K$10)*$B20,0)</f>
        <v>631</v>
      </c>
      <c r="L20" s="1">
        <f>ROUND(INDEX('Progression - Gold rate'!$X$9:$X$18,L$10)*INDEX(RunDuration[Expected AVG time (mn)],L$10)*$B20,0)</f>
        <v>299</v>
      </c>
    </row>
    <row r="21" spans="1:12" x14ac:dyDescent="0.25">
      <c r="A21" s="1">
        <v>11</v>
      </c>
      <c r="B21" s="3">
        <f>$B$8/POWER(Table61[[#This Row],[Time Survived]],$B$9)</f>
        <v>6.1904392068384557E-2</v>
      </c>
      <c r="C21" s="1">
        <f>ROUND(INDEX('Progression - Gold rate'!$X$9:$X$18,C$10)*INDEX(RunDuration[Expected AVG time (mn)],C$10)*$B21,0)</f>
        <v>4</v>
      </c>
      <c r="D21" s="1">
        <f>ROUND(INDEX('Progression - Gold rate'!$X$9:$X$18,D$10)*INDEX(RunDuration[Dragon ID / Level],D$10)*$B21,0)</f>
        <v>6</v>
      </c>
      <c r="E21" s="1">
        <f>ROUND(INDEX('Progression - Gold rate'!$X$9:$X$18,E$10)*INDEX(RunDuration[Max level],E$10)*$B21,0)</f>
        <v>62</v>
      </c>
      <c r="F21" s="1">
        <f>ROUND(INDEX('Progression - Gold rate'!$X$9:$X$18,F$10)*INDEX(RunDuration[Expected AVG time (mn)],F$10)*$B21,0)</f>
        <v>43</v>
      </c>
      <c r="G21" s="1">
        <f>ROUND(INDEX('Progression - Gold rate'!$X$9:$X$18,G$10)*INDEX(RunDuration[Dragon ID / Level],G$10)*$B21,0)</f>
        <v>62</v>
      </c>
      <c r="H21" s="1">
        <f>ROUND(INDEX('Progression - Gold rate'!$X$9:$X$18,H$10)*INDEX(RunDuration[Max level],H$10)*$B21,0)</f>
        <v>232</v>
      </c>
      <c r="I21" s="1">
        <f>ROUND(INDEX('Progression - Gold rate'!$X$9:$X$18,I$10)*INDEX(RunDuration[Expected AVG time (mn)],I$10)*$B21,0)</f>
        <v>116</v>
      </c>
      <c r="J21" s="1">
        <f>ROUND(INDEX('Progression - Gold rate'!$X$9:$X$18,J$10)*INDEX(RunDuration[Dragon ID / Level],J$10)*$B21,0)</f>
        <v>198</v>
      </c>
      <c r="K21" s="1">
        <f>ROUND(INDEX('Progression - Gold rate'!$X$9:$X$18,K$10)*INDEX(RunDuration[Max level],K$10)*$B21,0)</f>
        <v>619</v>
      </c>
      <c r="L21" s="1">
        <f>ROUND(INDEX('Progression - Gold rate'!$X$9:$X$18,L$10)*INDEX(RunDuration[Expected AVG time (mn)],L$10)*$B21,0)</f>
        <v>294</v>
      </c>
    </row>
    <row r="22" spans="1:12" x14ac:dyDescent="0.25">
      <c r="A22" s="1">
        <v>12</v>
      </c>
      <c r="B22" s="3">
        <f>$B$8/POWER(Table61[[#This Row],[Time Survived]],$B$9)</f>
        <v>6.0836434189320582E-2</v>
      </c>
      <c r="C22" s="1">
        <f>ROUND(INDEX('Progression - Gold rate'!$X$9:$X$18,C$10)*INDEX(RunDuration[Expected AVG time (mn)],C$10)*$B22,0)</f>
        <v>4</v>
      </c>
      <c r="D22" s="1">
        <f>ROUND(INDEX('Progression - Gold rate'!$X$9:$X$18,D$10)*INDEX(RunDuration[Dragon ID / Level],D$10)*$B22,0)</f>
        <v>6</v>
      </c>
      <c r="E22" s="1">
        <f>ROUND(INDEX('Progression - Gold rate'!$X$9:$X$18,E$10)*INDEX(RunDuration[Max level],E$10)*$B22,0)</f>
        <v>61</v>
      </c>
      <c r="F22" s="1">
        <f>ROUND(INDEX('Progression - Gold rate'!$X$9:$X$18,F$10)*INDEX(RunDuration[Expected AVG time (mn)],F$10)*$B22,0)</f>
        <v>42</v>
      </c>
      <c r="G22" s="1">
        <f>ROUND(INDEX('Progression - Gold rate'!$X$9:$X$18,G$10)*INDEX(RunDuration[Dragon ID / Level],G$10)*$B22,0)</f>
        <v>61</v>
      </c>
      <c r="H22" s="1">
        <f>ROUND(INDEX('Progression - Gold rate'!$X$9:$X$18,H$10)*INDEX(RunDuration[Max level],H$10)*$B22,0)</f>
        <v>228</v>
      </c>
      <c r="I22" s="1">
        <f>ROUND(INDEX('Progression - Gold rate'!$X$9:$X$18,I$10)*INDEX(RunDuration[Expected AVG time (mn)],I$10)*$B22,0)</f>
        <v>114</v>
      </c>
      <c r="J22" s="1">
        <f>ROUND(INDEX('Progression - Gold rate'!$X$9:$X$18,J$10)*INDEX(RunDuration[Dragon ID / Level],J$10)*$B22,0)</f>
        <v>195</v>
      </c>
      <c r="K22" s="1">
        <f>ROUND(INDEX('Progression - Gold rate'!$X$9:$X$18,K$10)*INDEX(RunDuration[Max level],K$10)*$B22,0)</f>
        <v>608</v>
      </c>
      <c r="L22" s="1">
        <f>ROUND(INDEX('Progression - Gold rate'!$X$9:$X$18,L$10)*INDEX(RunDuration[Expected AVG time (mn)],L$10)*$B22,0)</f>
        <v>289</v>
      </c>
    </row>
    <row r="23" spans="1:12" x14ac:dyDescent="0.25">
      <c r="A23" s="1">
        <v>13</v>
      </c>
      <c r="B23" s="3">
        <f>$B$8/POWER(Table61[[#This Row],[Time Survived]],$B$9)</f>
        <v>5.9870285554149777E-2</v>
      </c>
      <c r="C23" s="1">
        <f>ROUND(INDEX('Progression - Gold rate'!$X$9:$X$18,C$10)*INDEX(RunDuration[Expected AVG time (mn)],C$10)*$B23,0)</f>
        <v>4</v>
      </c>
      <c r="D23" s="1">
        <f>ROUND(INDEX('Progression - Gold rate'!$X$9:$X$18,D$10)*INDEX(RunDuration[Dragon ID / Level],D$10)*$B23,0)</f>
        <v>6</v>
      </c>
      <c r="E23" s="1">
        <f>ROUND(INDEX('Progression - Gold rate'!$X$9:$X$18,E$10)*INDEX(RunDuration[Max level],E$10)*$B23,0)</f>
        <v>60</v>
      </c>
      <c r="F23" s="1">
        <f>ROUND(INDEX('Progression - Gold rate'!$X$9:$X$18,F$10)*INDEX(RunDuration[Expected AVG time (mn)],F$10)*$B23,0)</f>
        <v>42</v>
      </c>
      <c r="G23" s="1">
        <f>ROUND(INDEX('Progression - Gold rate'!$X$9:$X$18,G$10)*INDEX(RunDuration[Dragon ID / Level],G$10)*$B23,0)</f>
        <v>60</v>
      </c>
      <c r="H23" s="1">
        <f>ROUND(INDEX('Progression - Gold rate'!$X$9:$X$18,H$10)*INDEX(RunDuration[Max level],H$10)*$B23,0)</f>
        <v>225</v>
      </c>
      <c r="I23" s="1">
        <f>ROUND(INDEX('Progression - Gold rate'!$X$9:$X$18,I$10)*INDEX(RunDuration[Expected AVG time (mn)],I$10)*$B23,0)</f>
        <v>113</v>
      </c>
      <c r="J23" s="1">
        <f>ROUND(INDEX('Progression - Gold rate'!$X$9:$X$18,J$10)*INDEX(RunDuration[Dragon ID / Level],J$10)*$B23,0)</f>
        <v>192</v>
      </c>
      <c r="K23" s="1">
        <f>ROUND(INDEX('Progression - Gold rate'!$X$9:$X$18,K$10)*INDEX(RunDuration[Max level],K$10)*$B23,0)</f>
        <v>599</v>
      </c>
      <c r="L23" s="1">
        <f>ROUND(INDEX('Progression - Gold rate'!$X$9:$X$18,L$10)*INDEX(RunDuration[Expected AVG time (mn)],L$10)*$B23,0)</f>
        <v>284</v>
      </c>
    </row>
    <row r="24" spans="1:12" x14ac:dyDescent="0.25">
      <c r="A24" s="1">
        <v>14</v>
      </c>
      <c r="B24" s="3">
        <f>$B$8/POWER(Table61[[#This Row],[Time Survived]],$B$9)</f>
        <v>5.898945623563899E-2</v>
      </c>
      <c r="C24" s="1">
        <f>ROUND(INDEX('Progression - Gold rate'!$X$9:$X$18,C$10)*INDEX(RunDuration[Expected AVG time (mn)],C$10)*$B24,0)</f>
        <v>4</v>
      </c>
      <c r="D24" s="1">
        <f>ROUND(INDEX('Progression - Gold rate'!$X$9:$X$18,D$10)*INDEX(RunDuration[Dragon ID / Level],D$10)*$B24,0)</f>
        <v>6</v>
      </c>
      <c r="E24" s="1">
        <f>ROUND(INDEX('Progression - Gold rate'!$X$9:$X$18,E$10)*INDEX(RunDuration[Max level],E$10)*$B24,0)</f>
        <v>59</v>
      </c>
      <c r="F24" s="1">
        <f>ROUND(INDEX('Progression - Gold rate'!$X$9:$X$18,F$10)*INDEX(RunDuration[Expected AVG time (mn)],F$10)*$B24,0)</f>
        <v>41</v>
      </c>
      <c r="G24" s="1">
        <f>ROUND(INDEX('Progression - Gold rate'!$X$9:$X$18,G$10)*INDEX(RunDuration[Dragon ID / Level],G$10)*$B24,0)</f>
        <v>59</v>
      </c>
      <c r="H24" s="1">
        <f>ROUND(INDEX('Progression - Gold rate'!$X$9:$X$18,H$10)*INDEX(RunDuration[Max level],H$10)*$B24,0)</f>
        <v>221</v>
      </c>
      <c r="I24" s="1">
        <f>ROUND(INDEX('Progression - Gold rate'!$X$9:$X$18,I$10)*INDEX(RunDuration[Expected AVG time (mn)],I$10)*$B24,0)</f>
        <v>111</v>
      </c>
      <c r="J24" s="1">
        <f>ROUND(INDEX('Progression - Gold rate'!$X$9:$X$18,J$10)*INDEX(RunDuration[Dragon ID / Level],J$10)*$B24,0)</f>
        <v>189</v>
      </c>
      <c r="K24" s="1">
        <f>ROUND(INDEX('Progression - Gold rate'!$X$9:$X$18,K$10)*INDEX(RunDuration[Max level],K$10)*$B24,0)</f>
        <v>590</v>
      </c>
      <c r="L24" s="1">
        <f>ROUND(INDEX('Progression - Gold rate'!$X$9:$X$18,L$10)*INDEX(RunDuration[Expected AVG time (mn)],L$10)*$B24,0)</f>
        <v>280</v>
      </c>
    </row>
    <row r="25" spans="1:12" x14ac:dyDescent="0.25">
      <c r="A25" s="1">
        <v>15</v>
      </c>
      <c r="B25" s="3">
        <f>$B$8/POWER(Table61[[#This Row],[Time Survived]],$B$9)</f>
        <v>5.8181075915268804E-2</v>
      </c>
      <c r="C25" s="1">
        <f>ROUND(INDEX('Progression - Gold rate'!$X$9:$X$18,C$10)*INDEX(RunDuration[Expected AVG time (mn)],C$10)*$B25,0)</f>
        <v>4</v>
      </c>
      <c r="D25" s="1">
        <f>ROUND(INDEX('Progression - Gold rate'!$X$9:$X$18,D$10)*INDEX(RunDuration[Dragon ID / Level],D$10)*$B25,0)</f>
        <v>6</v>
      </c>
      <c r="E25" s="1">
        <f>ROUND(INDEX('Progression - Gold rate'!$X$9:$X$18,E$10)*INDEX(RunDuration[Max level],E$10)*$B25,0)</f>
        <v>58</v>
      </c>
      <c r="F25" s="1">
        <f>ROUND(INDEX('Progression - Gold rate'!$X$9:$X$18,F$10)*INDEX(RunDuration[Expected AVG time (mn)],F$10)*$B25,0)</f>
        <v>40</v>
      </c>
      <c r="G25" s="1">
        <f>ROUND(INDEX('Progression - Gold rate'!$X$9:$X$18,G$10)*INDEX(RunDuration[Dragon ID / Level],G$10)*$B25,0)</f>
        <v>58</v>
      </c>
      <c r="H25" s="1">
        <f>ROUND(INDEX('Progression - Gold rate'!$X$9:$X$18,H$10)*INDEX(RunDuration[Max level],H$10)*$B25,0)</f>
        <v>218</v>
      </c>
      <c r="I25" s="1">
        <f>ROUND(INDEX('Progression - Gold rate'!$X$9:$X$18,I$10)*INDEX(RunDuration[Expected AVG time (mn)],I$10)*$B25,0)</f>
        <v>109</v>
      </c>
      <c r="J25" s="1">
        <f>ROUND(INDEX('Progression - Gold rate'!$X$9:$X$18,J$10)*INDEX(RunDuration[Dragon ID / Level],J$10)*$B25,0)</f>
        <v>186</v>
      </c>
      <c r="K25" s="1">
        <f>ROUND(INDEX('Progression - Gold rate'!$X$9:$X$18,K$10)*INDEX(RunDuration[Max level],K$10)*$B25,0)</f>
        <v>582</v>
      </c>
      <c r="L25" s="1">
        <f>ROUND(INDEX('Progression - Gold rate'!$X$9:$X$18,L$10)*INDEX(RunDuration[Expected AVG time (mn)],L$10)*$B25,0)</f>
        <v>276</v>
      </c>
    </row>
    <row r="26" spans="1:12" x14ac:dyDescent="0.25">
      <c r="A26" s="1">
        <v>16</v>
      </c>
      <c r="B26" s="3">
        <f>$B$8/POWER(Table61[[#This Row],[Time Survived]],$B$9)</f>
        <v>5.7434917749851752E-2</v>
      </c>
      <c r="C26" s="1">
        <f>ROUND(INDEX('Progression - Gold rate'!$X$9:$X$18,C$10)*INDEX(RunDuration[Expected AVG time (mn)],C$10)*$B26,0)</f>
        <v>4</v>
      </c>
      <c r="D26" s="1">
        <f>ROUND(INDEX('Progression - Gold rate'!$X$9:$X$18,D$10)*INDEX(RunDuration[Dragon ID / Level],D$10)*$B26,0)</f>
        <v>6</v>
      </c>
      <c r="E26" s="1">
        <f>ROUND(INDEX('Progression - Gold rate'!$X$9:$X$18,E$10)*INDEX(RunDuration[Max level],E$10)*$B26,0)</f>
        <v>57</v>
      </c>
      <c r="F26" s="1">
        <f>ROUND(INDEX('Progression - Gold rate'!$X$9:$X$18,F$10)*INDEX(RunDuration[Expected AVG time (mn)],F$10)*$B26,0)</f>
        <v>40</v>
      </c>
      <c r="G26" s="1">
        <f>ROUND(INDEX('Progression - Gold rate'!$X$9:$X$18,G$10)*INDEX(RunDuration[Dragon ID / Level],G$10)*$B26,0)</f>
        <v>57</v>
      </c>
      <c r="H26" s="1">
        <f>ROUND(INDEX('Progression - Gold rate'!$X$9:$X$18,H$10)*INDEX(RunDuration[Max level],H$10)*$B26,0)</f>
        <v>215</v>
      </c>
      <c r="I26" s="1">
        <f>ROUND(INDEX('Progression - Gold rate'!$X$9:$X$18,I$10)*INDEX(RunDuration[Expected AVG time (mn)],I$10)*$B26,0)</f>
        <v>108</v>
      </c>
      <c r="J26" s="1">
        <f>ROUND(INDEX('Progression - Gold rate'!$X$9:$X$18,J$10)*INDEX(RunDuration[Dragon ID / Level],J$10)*$B26,0)</f>
        <v>184</v>
      </c>
      <c r="K26" s="1">
        <f>ROUND(INDEX('Progression - Gold rate'!$X$9:$X$18,K$10)*INDEX(RunDuration[Max level],K$10)*$B26,0)</f>
        <v>574</v>
      </c>
      <c r="L26" s="1">
        <f>ROUND(INDEX('Progression - Gold rate'!$X$9:$X$18,L$10)*INDEX(RunDuration[Expected AVG time (mn)],L$10)*$B26,0)</f>
        <v>273</v>
      </c>
    </row>
    <row r="27" spans="1:12" x14ac:dyDescent="0.25">
      <c r="A27" s="1">
        <v>17</v>
      </c>
      <c r="B27" s="3">
        <f>$B$8/POWER(Table61[[#This Row],[Time Survived]],$B$9)</f>
        <v>5.6742728567158007E-2</v>
      </c>
      <c r="C27" s="1">
        <f>ROUND(INDEX('Progression - Gold rate'!$X$9:$X$18,C$10)*INDEX(RunDuration[Expected AVG time (mn)],C$10)*$B27,0)</f>
        <v>4</v>
      </c>
      <c r="D27" s="1">
        <f>ROUND(INDEX('Progression - Gold rate'!$X$9:$X$18,D$10)*INDEX(RunDuration[Dragon ID / Level],D$10)*$B27,0)</f>
        <v>6</v>
      </c>
      <c r="E27" s="1">
        <f>ROUND(INDEX('Progression - Gold rate'!$X$9:$X$18,E$10)*INDEX(RunDuration[Max level],E$10)*$B27,0)</f>
        <v>57</v>
      </c>
      <c r="F27" s="1">
        <f>ROUND(INDEX('Progression - Gold rate'!$X$9:$X$18,F$10)*INDEX(RunDuration[Expected AVG time (mn)],F$10)*$B27,0)</f>
        <v>39</v>
      </c>
      <c r="G27" s="1">
        <f>ROUND(INDEX('Progression - Gold rate'!$X$9:$X$18,G$10)*INDEX(RunDuration[Dragon ID / Level],G$10)*$B27,0)</f>
        <v>57</v>
      </c>
      <c r="H27" s="1">
        <f>ROUND(INDEX('Progression - Gold rate'!$X$9:$X$18,H$10)*INDEX(RunDuration[Max level],H$10)*$B27,0)</f>
        <v>213</v>
      </c>
      <c r="I27" s="1">
        <f>ROUND(INDEX('Progression - Gold rate'!$X$9:$X$18,I$10)*INDEX(RunDuration[Expected AVG time (mn)],I$10)*$B27,0)</f>
        <v>107</v>
      </c>
      <c r="J27" s="1">
        <f>ROUND(INDEX('Progression - Gold rate'!$X$9:$X$18,J$10)*INDEX(RunDuration[Dragon ID / Level],J$10)*$B27,0)</f>
        <v>182</v>
      </c>
      <c r="K27" s="1">
        <f>ROUND(INDEX('Progression - Gold rate'!$X$9:$X$18,K$10)*INDEX(RunDuration[Max level],K$10)*$B27,0)</f>
        <v>567</v>
      </c>
      <c r="L27" s="1">
        <f>ROUND(INDEX('Progression - Gold rate'!$X$9:$X$18,L$10)*INDEX(RunDuration[Expected AVG time (mn)],L$10)*$B27,0)</f>
        <v>269</v>
      </c>
    </row>
    <row r="28" spans="1:12" x14ac:dyDescent="0.25">
      <c r="A28" s="1">
        <v>18</v>
      </c>
      <c r="B28" s="3">
        <f>$B$8/POWER(Table61[[#This Row],[Time Survived]],$B$9)</f>
        <v>5.6097757272309978E-2</v>
      </c>
      <c r="C28" s="1">
        <f>ROUND(INDEX('Progression - Gold rate'!$X$9:$X$18,C$10)*INDEX(RunDuration[Expected AVG time (mn)],C$10)*$B28,0)</f>
        <v>4</v>
      </c>
      <c r="D28" s="1">
        <f>ROUND(INDEX('Progression - Gold rate'!$X$9:$X$18,D$10)*INDEX(RunDuration[Dragon ID / Level],D$10)*$B28,0)</f>
        <v>6</v>
      </c>
      <c r="E28" s="1">
        <f>ROUND(INDEX('Progression - Gold rate'!$X$9:$X$18,E$10)*INDEX(RunDuration[Max level],E$10)*$B28,0)</f>
        <v>56</v>
      </c>
      <c r="F28" s="1">
        <f>ROUND(INDEX('Progression - Gold rate'!$X$9:$X$18,F$10)*INDEX(RunDuration[Expected AVG time (mn)],F$10)*$B28,0)</f>
        <v>39</v>
      </c>
      <c r="G28" s="1">
        <f>ROUND(INDEX('Progression - Gold rate'!$X$9:$X$18,G$10)*INDEX(RunDuration[Dragon ID / Level],G$10)*$B28,0)</f>
        <v>56</v>
      </c>
      <c r="H28" s="1">
        <f>ROUND(INDEX('Progression - Gold rate'!$X$9:$X$18,H$10)*INDEX(RunDuration[Max level],H$10)*$B28,0)</f>
        <v>210</v>
      </c>
      <c r="I28" s="1">
        <f>ROUND(INDEX('Progression - Gold rate'!$X$9:$X$18,I$10)*INDEX(RunDuration[Expected AVG time (mn)],I$10)*$B28,0)</f>
        <v>106</v>
      </c>
      <c r="J28" s="1">
        <f>ROUND(INDEX('Progression - Gold rate'!$X$9:$X$18,J$10)*INDEX(RunDuration[Dragon ID / Level],J$10)*$B28,0)</f>
        <v>180</v>
      </c>
      <c r="K28" s="1">
        <f>ROUND(INDEX('Progression - Gold rate'!$X$9:$X$18,K$10)*INDEX(RunDuration[Max level],K$10)*$B28,0)</f>
        <v>561</v>
      </c>
      <c r="L28" s="1">
        <f>ROUND(INDEX('Progression - Gold rate'!$X$9:$X$18,L$10)*INDEX(RunDuration[Expected AVG time (mn)],L$10)*$B28,0)</f>
        <v>266</v>
      </c>
    </row>
    <row r="29" spans="1:12" x14ac:dyDescent="0.25">
      <c r="A29" s="1">
        <v>19</v>
      </c>
      <c r="B29" s="3">
        <f>$B$8/POWER(Table61[[#This Row],[Time Survived]],$B$9)</f>
        <v>5.5494415282835434E-2</v>
      </c>
      <c r="C29" s="1">
        <f>ROUND(INDEX('Progression - Gold rate'!$X$9:$X$18,C$10)*INDEX(RunDuration[Expected AVG time (mn)],C$10)*$B29,0)</f>
        <v>4</v>
      </c>
      <c r="D29" s="1">
        <f>ROUND(INDEX('Progression - Gold rate'!$X$9:$X$18,D$10)*INDEX(RunDuration[Dragon ID / Level],D$10)*$B29,0)</f>
        <v>6</v>
      </c>
      <c r="E29" s="1">
        <f>ROUND(INDEX('Progression - Gold rate'!$X$9:$X$18,E$10)*INDEX(RunDuration[Max level],E$10)*$B29,0)</f>
        <v>55</v>
      </c>
      <c r="F29" s="1">
        <f>ROUND(INDEX('Progression - Gold rate'!$X$9:$X$18,F$10)*INDEX(RunDuration[Expected AVG time (mn)],F$10)*$B29,0)</f>
        <v>39</v>
      </c>
      <c r="G29" s="1">
        <f>ROUND(INDEX('Progression - Gold rate'!$X$9:$X$18,G$10)*INDEX(RunDuration[Dragon ID / Level],G$10)*$B29,0)</f>
        <v>55</v>
      </c>
      <c r="H29" s="1">
        <f>ROUND(INDEX('Progression - Gold rate'!$X$9:$X$18,H$10)*INDEX(RunDuration[Max level],H$10)*$B29,0)</f>
        <v>208</v>
      </c>
      <c r="I29" s="1">
        <f>ROUND(INDEX('Progression - Gold rate'!$X$9:$X$18,I$10)*INDEX(RunDuration[Expected AVG time (mn)],I$10)*$B29,0)</f>
        <v>104</v>
      </c>
      <c r="J29" s="1">
        <f>ROUND(INDEX('Progression - Gold rate'!$X$9:$X$18,J$10)*INDEX(RunDuration[Dragon ID / Level],J$10)*$B29,0)</f>
        <v>178</v>
      </c>
      <c r="K29" s="1">
        <f>ROUND(INDEX('Progression - Gold rate'!$X$9:$X$18,K$10)*INDEX(RunDuration[Max level],K$10)*$B29,0)</f>
        <v>555</v>
      </c>
      <c r="L29" s="1">
        <f>ROUND(INDEX('Progression - Gold rate'!$X$9:$X$18,L$10)*INDEX(RunDuration[Expected AVG time (mn)],L$10)*$B29,0)</f>
        <v>263</v>
      </c>
    </row>
    <row r="30" spans="1:12" x14ac:dyDescent="0.25">
      <c r="A30" s="1">
        <v>20</v>
      </c>
      <c r="B30" s="3">
        <f>$B$8/POWER(Table61[[#This Row],[Time Survived]],$B$9)</f>
        <v>5.4928027165305891E-2</v>
      </c>
      <c r="C30" s="1">
        <f>ROUND(INDEX('Progression - Gold rate'!$X$9:$X$18,C$10)*INDEX(RunDuration[Expected AVG time (mn)],C$10)*$B30,0)</f>
        <v>4</v>
      </c>
      <c r="D30" s="1">
        <f>ROUND(INDEX('Progression - Gold rate'!$X$9:$X$18,D$10)*INDEX(RunDuration[Dragon ID / Level],D$10)*$B30,0)</f>
        <v>5</v>
      </c>
      <c r="E30" s="1">
        <f>ROUND(INDEX('Progression - Gold rate'!$X$9:$X$18,E$10)*INDEX(RunDuration[Max level],E$10)*$B30,0)</f>
        <v>55</v>
      </c>
      <c r="F30" s="1">
        <f>ROUND(INDEX('Progression - Gold rate'!$X$9:$X$18,F$10)*INDEX(RunDuration[Expected AVG time (mn)],F$10)*$B30,0)</f>
        <v>38</v>
      </c>
      <c r="G30" s="1">
        <f>ROUND(INDEX('Progression - Gold rate'!$X$9:$X$18,G$10)*INDEX(RunDuration[Dragon ID / Level],G$10)*$B30,0)</f>
        <v>55</v>
      </c>
      <c r="H30" s="1">
        <f>ROUND(INDEX('Progression - Gold rate'!$X$9:$X$18,H$10)*INDEX(RunDuration[Max level],H$10)*$B30,0)</f>
        <v>206</v>
      </c>
      <c r="I30" s="1">
        <f>ROUND(INDEX('Progression - Gold rate'!$X$9:$X$18,I$10)*INDEX(RunDuration[Expected AVG time (mn)],I$10)*$B30,0)</f>
        <v>103</v>
      </c>
      <c r="J30" s="1">
        <f>ROUND(INDEX('Progression - Gold rate'!$X$9:$X$18,J$10)*INDEX(RunDuration[Dragon ID / Level],J$10)*$B30,0)</f>
        <v>176</v>
      </c>
      <c r="K30" s="1">
        <f>ROUND(INDEX('Progression - Gold rate'!$X$9:$X$18,K$10)*INDEX(RunDuration[Max level],K$10)*$B30,0)</f>
        <v>549</v>
      </c>
      <c r="L30" s="1">
        <f>ROUND(INDEX('Progression - Gold rate'!$X$9:$X$18,L$10)*INDEX(RunDuration[Expected AVG time (mn)],L$10)*$B30,0)</f>
        <v>261</v>
      </c>
    </row>
    <row r="32" spans="1:12" x14ac:dyDescent="0.25">
      <c r="B32" s="264" t="s">
        <v>428</v>
      </c>
      <c r="C32" s="264"/>
      <c r="D32" s="264"/>
      <c r="E32" s="264"/>
      <c r="F32" s="264"/>
      <c r="G32" s="264"/>
      <c r="H32" s="264"/>
      <c r="I32" s="264"/>
      <c r="J32" s="264"/>
      <c r="K32" s="264"/>
    </row>
    <row r="33" spans="1:11" x14ac:dyDescent="0.25">
      <c r="A33" s="12" t="s">
        <v>425</v>
      </c>
      <c r="B33" s="1" t="s">
        <v>6</v>
      </c>
      <c r="C33" s="1" t="s">
        <v>7</v>
      </c>
      <c r="D33" s="1" t="s">
        <v>8</v>
      </c>
      <c r="E33" s="1" t="s">
        <v>9</v>
      </c>
      <c r="F33" s="1" t="s">
        <v>10</v>
      </c>
      <c r="G33" s="1" t="s">
        <v>11</v>
      </c>
      <c r="H33" s="1" t="s">
        <v>12</v>
      </c>
      <c r="I33" s="1" t="s">
        <v>13</v>
      </c>
      <c r="J33" s="1" t="s">
        <v>14</v>
      </c>
      <c r="K33" s="1" t="s">
        <v>15</v>
      </c>
    </row>
    <row r="34" spans="1:11" x14ac:dyDescent="0.25">
      <c r="A34" s="5">
        <v>1</v>
      </c>
      <c r="B34" s="1">
        <f>C11*$A34</f>
        <v>7</v>
      </c>
      <c r="C34" s="1">
        <f t="shared" ref="C34:K34" si="0">D11*$A34</f>
        <v>10</v>
      </c>
      <c r="D34" s="1">
        <f t="shared" si="0"/>
        <v>100</v>
      </c>
      <c r="E34" s="1">
        <f t="shared" si="0"/>
        <v>70</v>
      </c>
      <c r="F34" s="1">
        <f t="shared" si="0"/>
        <v>100</v>
      </c>
      <c r="G34" s="1">
        <f t="shared" si="0"/>
        <v>375</v>
      </c>
      <c r="H34" s="1">
        <f t="shared" si="0"/>
        <v>188</v>
      </c>
      <c r="I34" s="1">
        <f t="shared" si="0"/>
        <v>320</v>
      </c>
      <c r="J34" s="1">
        <f t="shared" si="0"/>
        <v>1000</v>
      </c>
      <c r="K34" s="1">
        <f t="shared" si="0"/>
        <v>475</v>
      </c>
    </row>
    <row r="35" spans="1:11" x14ac:dyDescent="0.25">
      <c r="A35" s="13">
        <v>2</v>
      </c>
      <c r="B35" s="1">
        <f t="shared" ref="B35:K53" si="1">C12*$A35</f>
        <v>12</v>
      </c>
      <c r="C35" s="1">
        <f t="shared" si="1"/>
        <v>18</v>
      </c>
      <c r="D35" s="1">
        <f t="shared" si="1"/>
        <v>174</v>
      </c>
      <c r="E35" s="1">
        <f t="shared" si="1"/>
        <v>122</v>
      </c>
      <c r="F35" s="1">
        <f t="shared" si="1"/>
        <v>174</v>
      </c>
      <c r="G35" s="1">
        <f t="shared" si="1"/>
        <v>652</v>
      </c>
      <c r="H35" s="1">
        <f t="shared" si="1"/>
        <v>328</v>
      </c>
      <c r="I35" s="1">
        <f t="shared" si="1"/>
        <v>558</v>
      </c>
      <c r="J35" s="1">
        <f t="shared" si="1"/>
        <v>1742</v>
      </c>
      <c r="K35" s="1">
        <f t="shared" si="1"/>
        <v>826</v>
      </c>
    </row>
    <row r="36" spans="1:11" x14ac:dyDescent="0.25">
      <c r="A36" s="5">
        <v>3</v>
      </c>
      <c r="B36" s="1">
        <f t="shared" si="1"/>
        <v>18</v>
      </c>
      <c r="C36" s="1">
        <f t="shared" si="1"/>
        <v>24</v>
      </c>
      <c r="D36" s="1">
        <f t="shared" si="1"/>
        <v>240</v>
      </c>
      <c r="E36" s="1">
        <f t="shared" si="1"/>
        <v>168</v>
      </c>
      <c r="F36" s="1">
        <f t="shared" si="1"/>
        <v>240</v>
      </c>
      <c r="G36" s="1">
        <f t="shared" si="1"/>
        <v>903</v>
      </c>
      <c r="H36" s="1">
        <f t="shared" si="1"/>
        <v>453</v>
      </c>
      <c r="I36" s="1">
        <f t="shared" si="1"/>
        <v>771</v>
      </c>
      <c r="J36" s="1">
        <f t="shared" si="1"/>
        <v>2409</v>
      </c>
      <c r="K36" s="1">
        <f t="shared" si="1"/>
        <v>1143</v>
      </c>
    </row>
    <row r="37" spans="1:11" x14ac:dyDescent="0.25">
      <c r="A37" s="13">
        <v>4</v>
      </c>
      <c r="B37" s="1">
        <f t="shared" si="1"/>
        <v>20</v>
      </c>
      <c r="C37" s="1">
        <f t="shared" si="1"/>
        <v>32</v>
      </c>
      <c r="D37" s="1">
        <f t="shared" si="1"/>
        <v>304</v>
      </c>
      <c r="E37" s="1">
        <f t="shared" si="1"/>
        <v>212</v>
      </c>
      <c r="F37" s="1">
        <f t="shared" si="1"/>
        <v>304</v>
      </c>
      <c r="G37" s="1">
        <f t="shared" si="1"/>
        <v>1136</v>
      </c>
      <c r="H37" s="1">
        <f t="shared" si="1"/>
        <v>572</v>
      </c>
      <c r="I37" s="1">
        <f t="shared" si="1"/>
        <v>972</v>
      </c>
      <c r="J37" s="1">
        <f t="shared" si="1"/>
        <v>3032</v>
      </c>
      <c r="K37" s="1">
        <f t="shared" si="1"/>
        <v>1440</v>
      </c>
    </row>
    <row r="38" spans="1:11" x14ac:dyDescent="0.25">
      <c r="A38" s="5">
        <v>5</v>
      </c>
      <c r="B38" s="1">
        <f t="shared" si="1"/>
        <v>25</v>
      </c>
      <c r="C38" s="1">
        <f t="shared" si="1"/>
        <v>35</v>
      </c>
      <c r="D38" s="1">
        <f t="shared" si="1"/>
        <v>360</v>
      </c>
      <c r="E38" s="1">
        <f t="shared" si="1"/>
        <v>250</v>
      </c>
      <c r="F38" s="1">
        <f t="shared" si="1"/>
        <v>360</v>
      </c>
      <c r="G38" s="1">
        <f t="shared" si="1"/>
        <v>1360</v>
      </c>
      <c r="H38" s="1">
        <f t="shared" si="1"/>
        <v>680</v>
      </c>
      <c r="I38" s="1">
        <f t="shared" si="1"/>
        <v>1160</v>
      </c>
      <c r="J38" s="1">
        <f t="shared" si="1"/>
        <v>3625</v>
      </c>
      <c r="K38" s="1">
        <f t="shared" si="1"/>
        <v>1720</v>
      </c>
    </row>
    <row r="39" spans="1:11" x14ac:dyDescent="0.25">
      <c r="A39" s="13">
        <v>6</v>
      </c>
      <c r="B39" s="1">
        <f t="shared" si="1"/>
        <v>30</v>
      </c>
      <c r="C39" s="1">
        <f t="shared" si="1"/>
        <v>42</v>
      </c>
      <c r="D39" s="1">
        <f t="shared" si="1"/>
        <v>420</v>
      </c>
      <c r="E39" s="1">
        <f t="shared" si="1"/>
        <v>294</v>
      </c>
      <c r="F39" s="1">
        <f t="shared" si="1"/>
        <v>420</v>
      </c>
      <c r="G39" s="1">
        <f t="shared" si="1"/>
        <v>1572</v>
      </c>
      <c r="H39" s="1">
        <f t="shared" si="1"/>
        <v>792</v>
      </c>
      <c r="I39" s="1">
        <f t="shared" si="1"/>
        <v>1344</v>
      </c>
      <c r="J39" s="1">
        <f t="shared" si="1"/>
        <v>4194</v>
      </c>
      <c r="K39" s="1">
        <f t="shared" si="1"/>
        <v>1992</v>
      </c>
    </row>
    <row r="40" spans="1:11" x14ac:dyDescent="0.25">
      <c r="A40" s="5">
        <v>7</v>
      </c>
      <c r="B40" s="1">
        <f t="shared" si="1"/>
        <v>35</v>
      </c>
      <c r="C40" s="1">
        <f t="shared" si="1"/>
        <v>49</v>
      </c>
      <c r="D40" s="1">
        <f t="shared" si="1"/>
        <v>476</v>
      </c>
      <c r="E40" s="1">
        <f t="shared" si="1"/>
        <v>329</v>
      </c>
      <c r="F40" s="1">
        <f t="shared" si="1"/>
        <v>476</v>
      </c>
      <c r="G40" s="1">
        <f t="shared" si="1"/>
        <v>1778</v>
      </c>
      <c r="H40" s="1">
        <f t="shared" si="1"/>
        <v>896</v>
      </c>
      <c r="I40" s="1">
        <f t="shared" si="1"/>
        <v>1519</v>
      </c>
      <c r="J40" s="1">
        <f t="shared" si="1"/>
        <v>4746</v>
      </c>
      <c r="K40" s="1">
        <f t="shared" si="1"/>
        <v>2254</v>
      </c>
    </row>
    <row r="41" spans="1:11" x14ac:dyDescent="0.25">
      <c r="A41" s="13">
        <v>8</v>
      </c>
      <c r="B41" s="1">
        <f t="shared" si="1"/>
        <v>40</v>
      </c>
      <c r="C41" s="1">
        <f t="shared" si="1"/>
        <v>56</v>
      </c>
      <c r="D41" s="1">
        <f t="shared" si="1"/>
        <v>528</v>
      </c>
      <c r="E41" s="1">
        <f t="shared" si="1"/>
        <v>368</v>
      </c>
      <c r="F41" s="1">
        <f t="shared" si="1"/>
        <v>528</v>
      </c>
      <c r="G41" s="1">
        <f t="shared" si="1"/>
        <v>1976</v>
      </c>
      <c r="H41" s="1">
        <f t="shared" si="1"/>
        <v>992</v>
      </c>
      <c r="I41" s="1">
        <f t="shared" si="1"/>
        <v>1688</v>
      </c>
      <c r="J41" s="1">
        <f t="shared" si="1"/>
        <v>5280</v>
      </c>
      <c r="K41" s="1">
        <f t="shared" si="1"/>
        <v>2504</v>
      </c>
    </row>
    <row r="42" spans="1:11" x14ac:dyDescent="0.25">
      <c r="A42" s="5">
        <v>9</v>
      </c>
      <c r="B42" s="1">
        <f t="shared" si="1"/>
        <v>45</v>
      </c>
      <c r="C42" s="1">
        <f t="shared" si="1"/>
        <v>54</v>
      </c>
      <c r="D42" s="1">
        <f t="shared" si="1"/>
        <v>576</v>
      </c>
      <c r="E42" s="1">
        <f t="shared" si="1"/>
        <v>405</v>
      </c>
      <c r="F42" s="1">
        <f t="shared" si="1"/>
        <v>576</v>
      </c>
      <c r="G42" s="1">
        <f t="shared" si="1"/>
        <v>2178</v>
      </c>
      <c r="H42" s="1">
        <f t="shared" si="1"/>
        <v>1089</v>
      </c>
      <c r="I42" s="1">
        <f t="shared" si="1"/>
        <v>1854</v>
      </c>
      <c r="J42" s="1">
        <f t="shared" si="1"/>
        <v>5796</v>
      </c>
      <c r="K42" s="1">
        <f t="shared" si="1"/>
        <v>2754</v>
      </c>
    </row>
    <row r="43" spans="1:11" x14ac:dyDescent="0.25">
      <c r="A43" s="13">
        <v>10</v>
      </c>
      <c r="B43" s="1">
        <f t="shared" si="1"/>
        <v>40</v>
      </c>
      <c r="C43" s="1">
        <f t="shared" si="1"/>
        <v>60</v>
      </c>
      <c r="D43" s="1">
        <f t="shared" si="1"/>
        <v>630</v>
      </c>
      <c r="E43" s="1">
        <f t="shared" si="1"/>
        <v>440</v>
      </c>
      <c r="F43" s="1">
        <f t="shared" si="1"/>
        <v>630</v>
      </c>
      <c r="G43" s="1">
        <f t="shared" si="1"/>
        <v>2370</v>
      </c>
      <c r="H43" s="1">
        <f t="shared" si="1"/>
        <v>1190</v>
      </c>
      <c r="I43" s="1">
        <f t="shared" si="1"/>
        <v>2020</v>
      </c>
      <c r="J43" s="1">
        <f t="shared" si="1"/>
        <v>6310</v>
      </c>
      <c r="K43" s="1">
        <f t="shared" si="1"/>
        <v>2990</v>
      </c>
    </row>
    <row r="44" spans="1:11" x14ac:dyDescent="0.25">
      <c r="A44" s="5">
        <v>11</v>
      </c>
      <c r="B44" s="1">
        <f t="shared" si="1"/>
        <v>44</v>
      </c>
      <c r="C44" s="1">
        <f t="shared" si="1"/>
        <v>66</v>
      </c>
      <c r="D44" s="1">
        <f t="shared" si="1"/>
        <v>682</v>
      </c>
      <c r="E44" s="1">
        <f t="shared" si="1"/>
        <v>473</v>
      </c>
      <c r="F44" s="1">
        <f t="shared" si="1"/>
        <v>682</v>
      </c>
      <c r="G44" s="1">
        <f t="shared" si="1"/>
        <v>2552</v>
      </c>
      <c r="H44" s="1">
        <f t="shared" si="1"/>
        <v>1276</v>
      </c>
      <c r="I44" s="1">
        <f t="shared" si="1"/>
        <v>2178</v>
      </c>
      <c r="J44" s="1">
        <f t="shared" si="1"/>
        <v>6809</v>
      </c>
      <c r="K44" s="1">
        <f t="shared" si="1"/>
        <v>3234</v>
      </c>
    </row>
    <row r="45" spans="1:11" x14ac:dyDescent="0.25">
      <c r="A45" s="13">
        <v>12</v>
      </c>
      <c r="B45" s="1">
        <f t="shared" si="1"/>
        <v>48</v>
      </c>
      <c r="C45" s="1">
        <f t="shared" si="1"/>
        <v>72</v>
      </c>
      <c r="D45" s="1">
        <f t="shared" si="1"/>
        <v>732</v>
      </c>
      <c r="E45" s="1">
        <f t="shared" si="1"/>
        <v>504</v>
      </c>
      <c r="F45" s="1">
        <f t="shared" si="1"/>
        <v>732</v>
      </c>
      <c r="G45" s="1">
        <f t="shared" si="1"/>
        <v>2736</v>
      </c>
      <c r="H45" s="1">
        <f t="shared" si="1"/>
        <v>1368</v>
      </c>
      <c r="I45" s="1">
        <f t="shared" si="1"/>
        <v>2340</v>
      </c>
      <c r="J45" s="1">
        <f t="shared" si="1"/>
        <v>7296</v>
      </c>
      <c r="K45" s="1">
        <f t="shared" si="1"/>
        <v>3468</v>
      </c>
    </row>
    <row r="46" spans="1:11" x14ac:dyDescent="0.25">
      <c r="A46" s="5">
        <v>13</v>
      </c>
      <c r="B46" s="1">
        <f t="shared" si="1"/>
        <v>52</v>
      </c>
      <c r="C46" s="1">
        <f t="shared" si="1"/>
        <v>78</v>
      </c>
      <c r="D46" s="1">
        <f t="shared" si="1"/>
        <v>780</v>
      </c>
      <c r="E46" s="1">
        <f t="shared" si="1"/>
        <v>546</v>
      </c>
      <c r="F46" s="1">
        <f t="shared" si="1"/>
        <v>780</v>
      </c>
      <c r="G46" s="1">
        <f t="shared" si="1"/>
        <v>2925</v>
      </c>
      <c r="H46" s="1">
        <f t="shared" si="1"/>
        <v>1469</v>
      </c>
      <c r="I46" s="1">
        <f t="shared" si="1"/>
        <v>2496</v>
      </c>
      <c r="J46" s="1">
        <f t="shared" si="1"/>
        <v>7787</v>
      </c>
      <c r="K46" s="1">
        <f t="shared" si="1"/>
        <v>3692</v>
      </c>
    </row>
    <row r="47" spans="1:11" x14ac:dyDescent="0.25">
      <c r="A47" s="13">
        <v>14</v>
      </c>
      <c r="B47" s="1">
        <f t="shared" si="1"/>
        <v>56</v>
      </c>
      <c r="C47" s="1">
        <f t="shared" si="1"/>
        <v>84</v>
      </c>
      <c r="D47" s="1">
        <f t="shared" si="1"/>
        <v>826</v>
      </c>
      <c r="E47" s="1">
        <f t="shared" si="1"/>
        <v>574</v>
      </c>
      <c r="F47" s="1">
        <f t="shared" si="1"/>
        <v>826</v>
      </c>
      <c r="G47" s="1">
        <f t="shared" si="1"/>
        <v>3094</v>
      </c>
      <c r="H47" s="1">
        <f t="shared" si="1"/>
        <v>1554</v>
      </c>
      <c r="I47" s="1">
        <f t="shared" si="1"/>
        <v>2646</v>
      </c>
      <c r="J47" s="1">
        <f t="shared" si="1"/>
        <v>8260</v>
      </c>
      <c r="K47" s="1">
        <f t="shared" si="1"/>
        <v>3920</v>
      </c>
    </row>
    <row r="48" spans="1:11" x14ac:dyDescent="0.25">
      <c r="A48" s="5">
        <v>15</v>
      </c>
      <c r="B48" s="1">
        <f t="shared" si="1"/>
        <v>60</v>
      </c>
      <c r="C48" s="1">
        <f t="shared" si="1"/>
        <v>90</v>
      </c>
      <c r="D48" s="1">
        <f t="shared" si="1"/>
        <v>870</v>
      </c>
      <c r="E48" s="1">
        <f t="shared" si="1"/>
        <v>600</v>
      </c>
      <c r="F48" s="1">
        <f t="shared" si="1"/>
        <v>870</v>
      </c>
      <c r="G48" s="1">
        <f t="shared" si="1"/>
        <v>3270</v>
      </c>
      <c r="H48" s="1">
        <f t="shared" si="1"/>
        <v>1635</v>
      </c>
      <c r="I48" s="1">
        <f t="shared" si="1"/>
        <v>2790</v>
      </c>
      <c r="J48" s="1">
        <f t="shared" si="1"/>
        <v>8730</v>
      </c>
      <c r="K48" s="1">
        <f t="shared" si="1"/>
        <v>4140</v>
      </c>
    </row>
    <row r="49" spans="1:11" x14ac:dyDescent="0.25">
      <c r="A49" s="13">
        <v>16</v>
      </c>
      <c r="B49" s="1">
        <f t="shared" si="1"/>
        <v>64</v>
      </c>
      <c r="C49" s="1">
        <f t="shared" si="1"/>
        <v>96</v>
      </c>
      <c r="D49" s="1">
        <f t="shared" si="1"/>
        <v>912</v>
      </c>
      <c r="E49" s="1">
        <f t="shared" si="1"/>
        <v>640</v>
      </c>
      <c r="F49" s="1">
        <f t="shared" si="1"/>
        <v>912</v>
      </c>
      <c r="G49" s="1">
        <f t="shared" si="1"/>
        <v>3440</v>
      </c>
      <c r="H49" s="1">
        <f t="shared" si="1"/>
        <v>1728</v>
      </c>
      <c r="I49" s="1">
        <f t="shared" si="1"/>
        <v>2944</v>
      </c>
      <c r="J49" s="1">
        <f t="shared" si="1"/>
        <v>9184</v>
      </c>
      <c r="K49" s="1">
        <f t="shared" si="1"/>
        <v>4368</v>
      </c>
    </row>
    <row r="50" spans="1:11" x14ac:dyDescent="0.25">
      <c r="A50" s="5">
        <v>17</v>
      </c>
      <c r="B50" s="1">
        <f t="shared" si="1"/>
        <v>68</v>
      </c>
      <c r="C50" s="1">
        <f t="shared" si="1"/>
        <v>102</v>
      </c>
      <c r="D50" s="1">
        <f t="shared" si="1"/>
        <v>969</v>
      </c>
      <c r="E50" s="1">
        <f t="shared" si="1"/>
        <v>663</v>
      </c>
      <c r="F50" s="1">
        <f t="shared" si="1"/>
        <v>969</v>
      </c>
      <c r="G50" s="1">
        <f t="shared" si="1"/>
        <v>3621</v>
      </c>
      <c r="H50" s="1">
        <f t="shared" si="1"/>
        <v>1819</v>
      </c>
      <c r="I50" s="1">
        <f t="shared" si="1"/>
        <v>3094</v>
      </c>
      <c r="J50" s="1">
        <f t="shared" si="1"/>
        <v>9639</v>
      </c>
      <c r="K50" s="1">
        <f t="shared" si="1"/>
        <v>4573</v>
      </c>
    </row>
    <row r="51" spans="1:11" x14ac:dyDescent="0.25">
      <c r="A51" s="13">
        <v>18</v>
      </c>
      <c r="B51" s="1">
        <f t="shared" si="1"/>
        <v>72</v>
      </c>
      <c r="C51" s="1">
        <f t="shared" si="1"/>
        <v>108</v>
      </c>
      <c r="D51" s="1">
        <f t="shared" si="1"/>
        <v>1008</v>
      </c>
      <c r="E51" s="1">
        <f t="shared" si="1"/>
        <v>702</v>
      </c>
      <c r="F51" s="1">
        <f t="shared" si="1"/>
        <v>1008</v>
      </c>
      <c r="G51" s="1">
        <f t="shared" si="1"/>
        <v>3780</v>
      </c>
      <c r="H51" s="1">
        <f t="shared" si="1"/>
        <v>1908</v>
      </c>
      <c r="I51" s="1">
        <f t="shared" si="1"/>
        <v>3240</v>
      </c>
      <c r="J51" s="1">
        <f t="shared" si="1"/>
        <v>10098</v>
      </c>
      <c r="K51" s="1">
        <f t="shared" si="1"/>
        <v>4788</v>
      </c>
    </row>
    <row r="52" spans="1:11" x14ac:dyDescent="0.25">
      <c r="A52" s="5">
        <v>19</v>
      </c>
      <c r="B52" s="1">
        <f t="shared" si="1"/>
        <v>76</v>
      </c>
      <c r="C52" s="1">
        <f t="shared" si="1"/>
        <v>114</v>
      </c>
      <c r="D52" s="1">
        <f t="shared" si="1"/>
        <v>1045</v>
      </c>
      <c r="E52" s="1">
        <f t="shared" si="1"/>
        <v>741</v>
      </c>
      <c r="F52" s="1">
        <f t="shared" si="1"/>
        <v>1045</v>
      </c>
      <c r="G52" s="1">
        <f t="shared" si="1"/>
        <v>3952</v>
      </c>
      <c r="H52" s="1">
        <f t="shared" si="1"/>
        <v>1976</v>
      </c>
      <c r="I52" s="1">
        <f t="shared" si="1"/>
        <v>3382</v>
      </c>
      <c r="J52" s="1">
        <f t="shared" si="1"/>
        <v>10545</v>
      </c>
      <c r="K52" s="1">
        <f t="shared" si="1"/>
        <v>4997</v>
      </c>
    </row>
    <row r="53" spans="1:11" x14ac:dyDescent="0.25">
      <c r="A53" s="13">
        <v>20</v>
      </c>
      <c r="B53" s="1">
        <f t="shared" si="1"/>
        <v>80</v>
      </c>
      <c r="C53" s="1">
        <f t="shared" si="1"/>
        <v>100</v>
      </c>
      <c r="D53" s="1">
        <f t="shared" si="1"/>
        <v>1100</v>
      </c>
      <c r="E53" s="1">
        <f t="shared" si="1"/>
        <v>760</v>
      </c>
      <c r="F53" s="1">
        <f t="shared" si="1"/>
        <v>1100</v>
      </c>
      <c r="G53" s="1">
        <f t="shared" si="1"/>
        <v>4120</v>
      </c>
      <c r="H53" s="1">
        <f t="shared" si="1"/>
        <v>2060</v>
      </c>
      <c r="I53" s="1">
        <f t="shared" si="1"/>
        <v>3520</v>
      </c>
      <c r="J53" s="1">
        <f t="shared" si="1"/>
        <v>10980</v>
      </c>
      <c r="K53" s="1">
        <f t="shared" si="1"/>
        <v>5220</v>
      </c>
    </row>
  </sheetData>
  <mergeCells count="3">
    <mergeCell ref="C9:L9"/>
    <mergeCell ref="A2:D5"/>
    <mergeCell ref="B32:K32"/>
  </mergeCell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>
    <tabColor theme="5"/>
  </sheetPr>
  <dimension ref="A1:X33"/>
  <sheetViews>
    <sheetView workbookViewId="0">
      <selection activeCell="D34" sqref="D34"/>
    </sheetView>
  </sheetViews>
  <sheetFormatPr defaultRowHeight="15" x14ac:dyDescent="0.25"/>
  <cols>
    <col min="1" max="1" width="24.5703125" customWidth="1"/>
    <col min="2" max="2" width="20.7109375" bestFit="1" customWidth="1"/>
    <col min="3" max="3" width="14.140625" bestFit="1" customWidth="1"/>
    <col min="4" max="4" width="19.85546875" bestFit="1" customWidth="1"/>
  </cols>
  <sheetData>
    <row r="1" spans="1:21" ht="18.75" x14ac:dyDescent="0.3">
      <c r="A1" s="30" t="s">
        <v>99</v>
      </c>
      <c r="B1" s="30"/>
      <c r="C1" s="30"/>
      <c r="D1" s="30"/>
      <c r="E1" s="30"/>
    </row>
    <row r="3" spans="1:21" ht="15.75" x14ac:dyDescent="0.25">
      <c r="A3" s="29"/>
      <c r="B3" s="31">
        <v>1</v>
      </c>
      <c r="C3" s="31">
        <v>2</v>
      </c>
      <c r="D3" s="31">
        <v>3</v>
      </c>
      <c r="E3" s="31">
        <v>4</v>
      </c>
      <c r="F3" s="31">
        <v>5</v>
      </c>
      <c r="G3" s="31">
        <v>6</v>
      </c>
      <c r="H3" s="31">
        <v>7</v>
      </c>
      <c r="I3" s="31">
        <v>8</v>
      </c>
      <c r="J3" s="31">
        <v>9</v>
      </c>
      <c r="K3" s="31">
        <v>10</v>
      </c>
      <c r="L3" s="31">
        <v>11</v>
      </c>
      <c r="M3" s="31">
        <v>12</v>
      </c>
      <c r="N3" s="31">
        <v>13</v>
      </c>
      <c r="O3" s="31">
        <v>14</v>
      </c>
      <c r="P3" s="31">
        <v>15</v>
      </c>
      <c r="Q3" s="31">
        <v>16</v>
      </c>
      <c r="R3" s="31">
        <v>17</v>
      </c>
      <c r="S3" s="31">
        <v>18</v>
      </c>
      <c r="T3" s="31">
        <v>19</v>
      </c>
      <c r="U3" s="31">
        <v>20</v>
      </c>
    </row>
    <row r="4" spans="1:21" x14ac:dyDescent="0.25">
      <c r="A4" s="5">
        <v>1</v>
      </c>
      <c r="B4" s="5">
        <f>IF(B$3&lt;=$C20,$D20*B$3,"")</f>
        <v>0.2</v>
      </c>
      <c r="C4" s="5">
        <f t="shared" ref="C4:U13" si="0">IF(C$3&lt;=$C20,$D20*C$3,"")</f>
        <v>0.4</v>
      </c>
      <c r="D4" s="5">
        <f t="shared" si="0"/>
        <v>0.60000000000000009</v>
      </c>
      <c r="E4" s="5">
        <f t="shared" si="0"/>
        <v>0.8</v>
      </c>
      <c r="F4" s="5">
        <f t="shared" si="0"/>
        <v>1</v>
      </c>
      <c r="G4" s="5" t="str">
        <f t="shared" si="0"/>
        <v/>
      </c>
      <c r="H4" s="5" t="str">
        <f t="shared" si="0"/>
        <v/>
      </c>
      <c r="I4" s="5" t="str">
        <f t="shared" si="0"/>
        <v/>
      </c>
      <c r="J4" s="5" t="str">
        <f t="shared" si="0"/>
        <v/>
      </c>
      <c r="K4" s="5" t="str">
        <f t="shared" si="0"/>
        <v/>
      </c>
      <c r="L4" s="5" t="str">
        <f t="shared" si="0"/>
        <v/>
      </c>
      <c r="M4" s="5" t="str">
        <f t="shared" si="0"/>
        <v/>
      </c>
      <c r="N4" s="5" t="str">
        <f t="shared" si="0"/>
        <v/>
      </c>
      <c r="O4" s="5" t="str">
        <f t="shared" si="0"/>
        <v/>
      </c>
      <c r="P4" s="5" t="str">
        <f t="shared" si="0"/>
        <v/>
      </c>
      <c r="Q4" s="5" t="str">
        <f t="shared" si="0"/>
        <v/>
      </c>
      <c r="R4" s="5" t="str">
        <f t="shared" si="0"/>
        <v/>
      </c>
      <c r="S4" s="5" t="str">
        <f t="shared" si="0"/>
        <v/>
      </c>
      <c r="T4" s="5" t="str">
        <f t="shared" si="0"/>
        <v/>
      </c>
      <c r="U4" s="5" t="str">
        <f t="shared" si="0"/>
        <v/>
      </c>
    </row>
    <row r="5" spans="1:21" x14ac:dyDescent="0.25">
      <c r="A5" s="13">
        <v>2</v>
      </c>
      <c r="B5" s="5">
        <f t="shared" ref="B5:Q13" si="1">IF(B$3&lt;=$C21,$D21*B$3,"")</f>
        <v>0.3</v>
      </c>
      <c r="C5" s="5">
        <f t="shared" si="1"/>
        <v>0.6</v>
      </c>
      <c r="D5" s="5">
        <f t="shared" si="1"/>
        <v>0.89999999999999991</v>
      </c>
      <c r="E5" s="5">
        <f t="shared" si="1"/>
        <v>1.2</v>
      </c>
      <c r="F5" s="5">
        <f t="shared" si="1"/>
        <v>1.5</v>
      </c>
      <c r="G5" s="5">
        <f t="shared" si="1"/>
        <v>1.7999999999999998</v>
      </c>
      <c r="H5" s="5">
        <f t="shared" si="1"/>
        <v>2.1</v>
      </c>
      <c r="I5" s="5">
        <f t="shared" si="1"/>
        <v>2.4</v>
      </c>
      <c r="J5" s="5">
        <f t="shared" si="1"/>
        <v>2.6999999999999997</v>
      </c>
      <c r="K5" s="5">
        <f t="shared" si="1"/>
        <v>3</v>
      </c>
      <c r="L5" s="5" t="str">
        <f t="shared" si="1"/>
        <v/>
      </c>
      <c r="M5" s="5" t="str">
        <f t="shared" si="1"/>
        <v/>
      </c>
      <c r="N5" s="5" t="str">
        <f t="shared" si="1"/>
        <v/>
      </c>
      <c r="O5" s="5" t="str">
        <f t="shared" si="1"/>
        <v/>
      </c>
      <c r="P5" s="5" t="str">
        <f t="shared" si="1"/>
        <v/>
      </c>
      <c r="Q5" s="5" t="str">
        <f t="shared" si="1"/>
        <v/>
      </c>
      <c r="R5" s="5" t="str">
        <f t="shared" si="0"/>
        <v/>
      </c>
      <c r="S5" s="5" t="str">
        <f t="shared" si="0"/>
        <v/>
      </c>
      <c r="T5" s="5" t="str">
        <f t="shared" si="0"/>
        <v/>
      </c>
      <c r="U5" s="5" t="str">
        <f t="shared" si="0"/>
        <v/>
      </c>
    </row>
    <row r="6" spans="1:21" x14ac:dyDescent="0.25">
      <c r="A6" s="5">
        <v>3</v>
      </c>
      <c r="B6" s="5">
        <f t="shared" si="1"/>
        <v>0.4</v>
      </c>
      <c r="C6" s="5">
        <f t="shared" si="0"/>
        <v>0.8</v>
      </c>
      <c r="D6" s="5">
        <f t="shared" si="0"/>
        <v>1.2000000000000002</v>
      </c>
      <c r="E6" s="5">
        <f t="shared" si="0"/>
        <v>1.6</v>
      </c>
      <c r="F6" s="5">
        <f t="shared" si="0"/>
        <v>2</v>
      </c>
      <c r="G6" s="5">
        <f t="shared" si="0"/>
        <v>2.4000000000000004</v>
      </c>
      <c r="H6" s="5">
        <f t="shared" si="0"/>
        <v>2.8000000000000003</v>
      </c>
      <c r="I6" s="5">
        <f t="shared" si="0"/>
        <v>3.2</v>
      </c>
      <c r="J6" s="5">
        <f t="shared" si="0"/>
        <v>3.6</v>
      </c>
      <c r="K6" s="5">
        <f t="shared" si="0"/>
        <v>4</v>
      </c>
      <c r="L6" s="5" t="str">
        <f t="shared" si="0"/>
        <v/>
      </c>
      <c r="M6" s="5" t="str">
        <f t="shared" si="0"/>
        <v/>
      </c>
      <c r="N6" s="5" t="str">
        <f t="shared" si="0"/>
        <v/>
      </c>
      <c r="O6" s="5" t="str">
        <f t="shared" si="0"/>
        <v/>
      </c>
      <c r="P6" s="5" t="str">
        <f t="shared" si="0"/>
        <v/>
      </c>
      <c r="Q6" s="5" t="str">
        <f t="shared" si="0"/>
        <v/>
      </c>
      <c r="R6" s="5" t="str">
        <f t="shared" si="0"/>
        <v/>
      </c>
      <c r="S6" s="5" t="str">
        <f t="shared" si="0"/>
        <v/>
      </c>
      <c r="T6" s="5" t="str">
        <f t="shared" si="0"/>
        <v/>
      </c>
      <c r="U6" s="5" t="str">
        <f t="shared" si="0"/>
        <v/>
      </c>
    </row>
    <row r="7" spans="1:21" x14ac:dyDescent="0.25">
      <c r="A7" s="13">
        <v>4</v>
      </c>
      <c r="B7" s="5">
        <f>IF(B$3&lt;=$C23,$D23*B$3,"")</f>
        <v>0.5</v>
      </c>
      <c r="C7" s="5">
        <f t="shared" si="0"/>
        <v>1</v>
      </c>
      <c r="D7" s="5">
        <f t="shared" si="0"/>
        <v>1.5</v>
      </c>
      <c r="E7" s="5">
        <f t="shared" si="0"/>
        <v>2</v>
      </c>
      <c r="F7" s="5">
        <f t="shared" si="0"/>
        <v>2.5</v>
      </c>
      <c r="G7" s="5">
        <f t="shared" si="0"/>
        <v>3</v>
      </c>
      <c r="H7" s="5">
        <f t="shared" si="0"/>
        <v>3.5</v>
      </c>
      <c r="I7" s="5">
        <f t="shared" si="0"/>
        <v>4</v>
      </c>
      <c r="J7" s="5">
        <f t="shared" si="0"/>
        <v>4.5</v>
      </c>
      <c r="K7" s="5">
        <f t="shared" si="0"/>
        <v>5</v>
      </c>
      <c r="L7" s="5" t="str">
        <f t="shared" si="0"/>
        <v/>
      </c>
      <c r="M7" s="5" t="str">
        <f t="shared" si="0"/>
        <v/>
      </c>
      <c r="N7" s="5" t="str">
        <f t="shared" si="0"/>
        <v/>
      </c>
      <c r="O7" s="5" t="str">
        <f t="shared" si="0"/>
        <v/>
      </c>
      <c r="P7" s="5" t="str">
        <f t="shared" si="0"/>
        <v/>
      </c>
      <c r="Q7" s="5" t="str">
        <f t="shared" si="0"/>
        <v/>
      </c>
      <c r="R7" s="5" t="str">
        <f t="shared" si="0"/>
        <v/>
      </c>
      <c r="S7" s="5" t="str">
        <f t="shared" si="0"/>
        <v/>
      </c>
      <c r="T7" s="5" t="str">
        <f t="shared" si="0"/>
        <v/>
      </c>
      <c r="U7" s="5" t="str">
        <f t="shared" si="0"/>
        <v/>
      </c>
    </row>
    <row r="8" spans="1:21" x14ac:dyDescent="0.25">
      <c r="A8" s="5">
        <v>5</v>
      </c>
      <c r="B8" s="5">
        <f t="shared" si="1"/>
        <v>0.6</v>
      </c>
      <c r="C8" s="5">
        <f t="shared" si="0"/>
        <v>1.2</v>
      </c>
      <c r="D8" s="5">
        <f t="shared" si="0"/>
        <v>1.7999999999999998</v>
      </c>
      <c r="E8" s="5">
        <f t="shared" si="0"/>
        <v>2.4</v>
      </c>
      <c r="F8" s="5">
        <f t="shared" si="0"/>
        <v>3</v>
      </c>
      <c r="G8" s="5">
        <f t="shared" si="0"/>
        <v>3.5999999999999996</v>
      </c>
      <c r="H8" s="5">
        <f t="shared" si="0"/>
        <v>4.2</v>
      </c>
      <c r="I8" s="5">
        <f t="shared" si="0"/>
        <v>4.8</v>
      </c>
      <c r="J8" s="5">
        <f t="shared" si="0"/>
        <v>5.3999999999999995</v>
      </c>
      <c r="K8" s="5">
        <f t="shared" si="0"/>
        <v>6</v>
      </c>
      <c r="L8" s="5">
        <f t="shared" si="0"/>
        <v>6.6</v>
      </c>
      <c r="M8" s="5">
        <f t="shared" si="0"/>
        <v>7.1999999999999993</v>
      </c>
      <c r="N8" s="5">
        <f t="shared" si="0"/>
        <v>7.8</v>
      </c>
      <c r="O8" s="5">
        <f t="shared" si="0"/>
        <v>8.4</v>
      </c>
      <c r="P8" s="5">
        <f t="shared" si="0"/>
        <v>9</v>
      </c>
      <c r="Q8" s="5" t="str">
        <f t="shared" si="0"/>
        <v/>
      </c>
      <c r="R8" s="5" t="str">
        <f t="shared" si="0"/>
        <v/>
      </c>
      <c r="S8" s="5" t="str">
        <f t="shared" si="0"/>
        <v/>
      </c>
      <c r="T8" s="5" t="str">
        <f t="shared" si="0"/>
        <v/>
      </c>
      <c r="U8" s="5" t="str">
        <f t="shared" si="0"/>
        <v/>
      </c>
    </row>
    <row r="9" spans="1:21" x14ac:dyDescent="0.25">
      <c r="A9" s="13">
        <v>6</v>
      </c>
      <c r="B9" s="5">
        <f t="shared" si="1"/>
        <v>0.7</v>
      </c>
      <c r="C9" s="5">
        <f t="shared" si="0"/>
        <v>1.4</v>
      </c>
      <c r="D9" s="5">
        <f t="shared" si="0"/>
        <v>2.0999999999999996</v>
      </c>
      <c r="E9" s="5">
        <f t="shared" si="0"/>
        <v>2.8</v>
      </c>
      <c r="F9" s="5">
        <f t="shared" si="0"/>
        <v>3.5</v>
      </c>
      <c r="G9" s="5">
        <f t="shared" si="0"/>
        <v>4.1999999999999993</v>
      </c>
      <c r="H9" s="5">
        <f t="shared" si="0"/>
        <v>4.8999999999999995</v>
      </c>
      <c r="I9" s="5">
        <f t="shared" si="0"/>
        <v>5.6</v>
      </c>
      <c r="J9" s="5">
        <f t="shared" si="0"/>
        <v>6.3</v>
      </c>
      <c r="K9" s="5">
        <f t="shared" si="0"/>
        <v>7</v>
      </c>
      <c r="L9" s="5">
        <f t="shared" si="0"/>
        <v>7.6999999999999993</v>
      </c>
      <c r="M9" s="5">
        <f t="shared" si="0"/>
        <v>8.3999999999999986</v>
      </c>
      <c r="N9" s="5">
        <f t="shared" si="0"/>
        <v>9.1</v>
      </c>
      <c r="O9" s="5">
        <f t="shared" si="0"/>
        <v>9.7999999999999989</v>
      </c>
      <c r="P9" s="5">
        <f t="shared" si="0"/>
        <v>10.5</v>
      </c>
      <c r="Q9" s="5" t="str">
        <f t="shared" si="0"/>
        <v/>
      </c>
      <c r="R9" s="5" t="str">
        <f t="shared" si="0"/>
        <v/>
      </c>
      <c r="S9" s="5" t="str">
        <f t="shared" si="0"/>
        <v/>
      </c>
      <c r="T9" s="5" t="str">
        <f t="shared" si="0"/>
        <v/>
      </c>
      <c r="U9" s="5" t="str">
        <f t="shared" si="0"/>
        <v/>
      </c>
    </row>
    <row r="10" spans="1:21" x14ac:dyDescent="0.25">
      <c r="A10" s="5">
        <v>7</v>
      </c>
      <c r="B10" s="5">
        <f t="shared" si="1"/>
        <v>0.8</v>
      </c>
      <c r="C10" s="5">
        <f t="shared" si="0"/>
        <v>1.6</v>
      </c>
      <c r="D10" s="5">
        <f t="shared" si="0"/>
        <v>2.4000000000000004</v>
      </c>
      <c r="E10" s="5">
        <f t="shared" si="0"/>
        <v>3.2</v>
      </c>
      <c r="F10" s="5">
        <f t="shared" si="0"/>
        <v>4</v>
      </c>
      <c r="G10" s="5">
        <f t="shared" si="0"/>
        <v>4.8000000000000007</v>
      </c>
      <c r="H10" s="5">
        <f t="shared" si="0"/>
        <v>5.6000000000000005</v>
      </c>
      <c r="I10" s="5">
        <f t="shared" si="0"/>
        <v>6.4</v>
      </c>
      <c r="J10" s="5">
        <f t="shared" si="0"/>
        <v>7.2</v>
      </c>
      <c r="K10" s="5">
        <f t="shared" si="0"/>
        <v>8</v>
      </c>
      <c r="L10" s="5">
        <f t="shared" si="0"/>
        <v>8.8000000000000007</v>
      </c>
      <c r="M10" s="5">
        <f t="shared" si="0"/>
        <v>9.6000000000000014</v>
      </c>
      <c r="N10" s="5">
        <f t="shared" si="0"/>
        <v>10.4</v>
      </c>
      <c r="O10" s="5">
        <f t="shared" si="0"/>
        <v>11.200000000000001</v>
      </c>
      <c r="P10" s="5">
        <f t="shared" si="0"/>
        <v>12</v>
      </c>
      <c r="Q10" s="5" t="str">
        <f t="shared" si="0"/>
        <v/>
      </c>
      <c r="R10" s="5" t="str">
        <f t="shared" si="0"/>
        <v/>
      </c>
      <c r="S10" s="5" t="str">
        <f t="shared" si="0"/>
        <v/>
      </c>
      <c r="T10" s="5" t="str">
        <f t="shared" si="0"/>
        <v/>
      </c>
      <c r="U10" s="5" t="str">
        <f t="shared" si="0"/>
        <v/>
      </c>
    </row>
    <row r="11" spans="1:21" x14ac:dyDescent="0.25">
      <c r="A11" s="13">
        <v>8</v>
      </c>
      <c r="B11" s="5">
        <f t="shared" si="1"/>
        <v>0.9</v>
      </c>
      <c r="C11" s="5">
        <f t="shared" si="0"/>
        <v>1.8</v>
      </c>
      <c r="D11" s="5">
        <f t="shared" si="0"/>
        <v>2.7</v>
      </c>
      <c r="E11" s="5">
        <f t="shared" si="0"/>
        <v>3.6</v>
      </c>
      <c r="F11" s="5">
        <f t="shared" si="0"/>
        <v>4.5</v>
      </c>
      <c r="G11" s="5">
        <f t="shared" si="0"/>
        <v>5.4</v>
      </c>
      <c r="H11" s="5">
        <f t="shared" si="0"/>
        <v>6.3</v>
      </c>
      <c r="I11" s="5">
        <f t="shared" si="0"/>
        <v>7.2</v>
      </c>
      <c r="J11" s="5">
        <f t="shared" si="0"/>
        <v>8.1</v>
      </c>
      <c r="K11" s="5">
        <f t="shared" si="0"/>
        <v>9</v>
      </c>
      <c r="L11" s="5">
        <f t="shared" si="0"/>
        <v>9.9</v>
      </c>
      <c r="M11" s="5">
        <f t="shared" si="0"/>
        <v>10.8</v>
      </c>
      <c r="N11" s="5">
        <f t="shared" si="0"/>
        <v>11.700000000000001</v>
      </c>
      <c r="O11" s="5">
        <f t="shared" si="0"/>
        <v>12.6</v>
      </c>
      <c r="P11" s="5">
        <f t="shared" si="0"/>
        <v>13.5</v>
      </c>
      <c r="Q11" s="5">
        <f t="shared" si="0"/>
        <v>14.4</v>
      </c>
      <c r="R11" s="5">
        <f t="shared" si="0"/>
        <v>15.3</v>
      </c>
      <c r="S11" s="5">
        <f t="shared" si="0"/>
        <v>16.2</v>
      </c>
      <c r="T11" s="5">
        <f t="shared" si="0"/>
        <v>17.100000000000001</v>
      </c>
      <c r="U11" s="5">
        <f t="shared" si="0"/>
        <v>18</v>
      </c>
    </row>
    <row r="12" spans="1:21" x14ac:dyDescent="0.25">
      <c r="A12" s="5">
        <v>9</v>
      </c>
      <c r="B12" s="5">
        <f t="shared" si="1"/>
        <v>1</v>
      </c>
      <c r="C12" s="5">
        <f t="shared" si="0"/>
        <v>2</v>
      </c>
      <c r="D12" s="5">
        <f t="shared" si="0"/>
        <v>3</v>
      </c>
      <c r="E12" s="5">
        <f t="shared" si="0"/>
        <v>4</v>
      </c>
      <c r="F12" s="5">
        <f t="shared" si="0"/>
        <v>5</v>
      </c>
      <c r="G12" s="5">
        <f t="shared" si="0"/>
        <v>6</v>
      </c>
      <c r="H12" s="5">
        <f t="shared" si="0"/>
        <v>7</v>
      </c>
      <c r="I12" s="5">
        <f t="shared" si="0"/>
        <v>8</v>
      </c>
      <c r="J12" s="5">
        <f t="shared" si="0"/>
        <v>9</v>
      </c>
      <c r="K12" s="5">
        <f t="shared" si="0"/>
        <v>10</v>
      </c>
      <c r="L12" s="5">
        <f t="shared" si="0"/>
        <v>11</v>
      </c>
      <c r="M12" s="5">
        <f t="shared" si="0"/>
        <v>12</v>
      </c>
      <c r="N12" s="5">
        <f t="shared" si="0"/>
        <v>13</v>
      </c>
      <c r="O12" s="5">
        <f t="shared" si="0"/>
        <v>14</v>
      </c>
      <c r="P12" s="5">
        <f t="shared" si="0"/>
        <v>15</v>
      </c>
      <c r="Q12" s="5">
        <f t="shared" si="0"/>
        <v>16</v>
      </c>
      <c r="R12" s="5">
        <f t="shared" si="0"/>
        <v>17</v>
      </c>
      <c r="S12" s="5">
        <f t="shared" si="0"/>
        <v>18</v>
      </c>
      <c r="T12" s="5">
        <f t="shared" si="0"/>
        <v>19</v>
      </c>
      <c r="U12" s="5">
        <f t="shared" si="0"/>
        <v>20</v>
      </c>
    </row>
    <row r="13" spans="1:21" x14ac:dyDescent="0.25">
      <c r="A13" s="13">
        <v>10</v>
      </c>
      <c r="B13" s="5">
        <f t="shared" si="1"/>
        <v>1.1000000000000001</v>
      </c>
      <c r="C13" s="5">
        <f t="shared" si="0"/>
        <v>2.2000000000000002</v>
      </c>
      <c r="D13" s="5">
        <f t="shared" si="0"/>
        <v>3.3000000000000003</v>
      </c>
      <c r="E13" s="5">
        <f t="shared" si="0"/>
        <v>4.4000000000000004</v>
      </c>
      <c r="F13" s="5">
        <f t="shared" si="0"/>
        <v>5.5</v>
      </c>
      <c r="G13" s="5">
        <f t="shared" si="0"/>
        <v>6.6000000000000005</v>
      </c>
      <c r="H13" s="5">
        <f t="shared" si="0"/>
        <v>7.7000000000000011</v>
      </c>
      <c r="I13" s="5">
        <f t="shared" si="0"/>
        <v>8.8000000000000007</v>
      </c>
      <c r="J13" s="5">
        <f t="shared" si="0"/>
        <v>9.9</v>
      </c>
      <c r="K13" s="5">
        <f t="shared" si="0"/>
        <v>11</v>
      </c>
      <c r="L13" s="5">
        <f t="shared" si="0"/>
        <v>12.100000000000001</v>
      </c>
      <c r="M13" s="5">
        <f t="shared" si="0"/>
        <v>13.200000000000001</v>
      </c>
      <c r="N13" s="5">
        <f t="shared" si="0"/>
        <v>14.3</v>
      </c>
      <c r="O13" s="5">
        <f t="shared" si="0"/>
        <v>15.400000000000002</v>
      </c>
      <c r="P13" s="5">
        <f t="shared" si="0"/>
        <v>16.5</v>
      </c>
      <c r="Q13" s="5">
        <f t="shared" si="0"/>
        <v>17.600000000000001</v>
      </c>
      <c r="R13" s="5">
        <f t="shared" si="0"/>
        <v>18.700000000000003</v>
      </c>
      <c r="S13" s="5">
        <f t="shared" si="0"/>
        <v>19.8</v>
      </c>
      <c r="T13" s="5">
        <f t="shared" si="0"/>
        <v>20.900000000000002</v>
      </c>
      <c r="U13" s="5">
        <f t="shared" si="0"/>
        <v>22</v>
      </c>
    </row>
    <row r="18" spans="1:24" ht="16.5" thickBot="1" x14ac:dyDescent="0.3">
      <c r="A18" s="28" t="s">
        <v>100</v>
      </c>
      <c r="B18" s="28"/>
      <c r="C18" s="28"/>
      <c r="D18" s="28"/>
      <c r="E18" s="261" t="s">
        <v>104</v>
      </c>
      <c r="F18" s="261"/>
      <c r="G18" s="261"/>
      <c r="H18" s="261"/>
      <c r="I18" s="261"/>
      <c r="J18" s="261"/>
      <c r="K18" s="261"/>
      <c r="L18" s="261"/>
      <c r="M18" s="261"/>
      <c r="N18" s="261"/>
      <c r="O18" s="261"/>
      <c r="P18" s="261"/>
      <c r="Q18" s="261"/>
      <c r="R18" s="261"/>
      <c r="S18" s="261"/>
      <c r="T18" s="261"/>
      <c r="U18" s="261"/>
      <c r="V18" s="261"/>
      <c r="W18" s="261"/>
      <c r="X18" s="261"/>
    </row>
    <row r="19" spans="1:24" ht="15.75" thickTop="1" x14ac:dyDescent="0.25">
      <c r="A19" s="12" t="s">
        <v>101</v>
      </c>
      <c r="B19" s="1" t="s">
        <v>98</v>
      </c>
      <c r="C19" s="1" t="s">
        <v>102</v>
      </c>
      <c r="D19" s="1" t="s">
        <v>103</v>
      </c>
      <c r="E19" s="1" t="s">
        <v>77</v>
      </c>
      <c r="F19" s="1" t="s">
        <v>78</v>
      </c>
      <c r="G19" s="1" t="s">
        <v>79</v>
      </c>
      <c r="H19" s="1" t="s">
        <v>80</v>
      </c>
      <c r="I19" s="1" t="s">
        <v>81</v>
      </c>
      <c r="J19" s="1" t="s">
        <v>82</v>
      </c>
      <c r="K19" s="1" t="s">
        <v>83</v>
      </c>
      <c r="L19" s="1" t="s">
        <v>84</v>
      </c>
      <c r="M19" s="1" t="s">
        <v>85</v>
      </c>
      <c r="N19" s="1" t="s">
        <v>86</v>
      </c>
      <c r="O19" s="1" t="s">
        <v>87</v>
      </c>
      <c r="P19" s="1" t="s">
        <v>88</v>
      </c>
      <c r="Q19" s="1" t="s">
        <v>89</v>
      </c>
      <c r="R19" s="1" t="s">
        <v>90</v>
      </c>
      <c r="S19" s="1" t="s">
        <v>91</v>
      </c>
      <c r="T19" s="1" t="s">
        <v>92</v>
      </c>
      <c r="U19" s="1" t="s">
        <v>93</v>
      </c>
      <c r="V19" s="1" t="s">
        <v>94</v>
      </c>
      <c r="W19" s="1" t="s">
        <v>95</v>
      </c>
      <c r="X19" s="1" t="s">
        <v>96</v>
      </c>
    </row>
    <row r="20" spans="1:24" x14ac:dyDescent="0.25">
      <c r="A20" s="33">
        <v>15</v>
      </c>
      <c r="B20" s="44">
        <v>1</v>
      </c>
      <c r="C20" s="45">
        <v>5</v>
      </c>
      <c r="D20" s="45">
        <v>0.2</v>
      </c>
      <c r="E20" s="136">
        <f>IFERROR(B4/SUM($B4:$U4)*$A20,"")</f>
        <v>1</v>
      </c>
      <c r="F20" s="136">
        <f>IFERROR(C4/SUM($B4:$U4)*$A20,"")</f>
        <v>2</v>
      </c>
      <c r="G20" s="136">
        <f t="shared" ref="G20:G29" si="2">IFERROR(D4/SUM($B4:$U4)*$A20,"")</f>
        <v>3.0000000000000004</v>
      </c>
      <c r="H20" s="136">
        <f t="shared" ref="H20:H29" si="3">IFERROR(E4/SUM($B4:$U4)*$A20,"")</f>
        <v>4</v>
      </c>
      <c r="I20" s="136">
        <f t="shared" ref="I20:I29" si="4">IFERROR(F4/SUM($B4:$U4)*$A20,"")</f>
        <v>5</v>
      </c>
      <c r="J20" s="136" t="str">
        <f t="shared" ref="J20:J29" si="5">IFERROR(G4/SUM($B4:$U4)*$A20,"")</f>
        <v/>
      </c>
      <c r="K20" s="136" t="str">
        <f t="shared" ref="K20:K29" si="6">IFERROR(H4/SUM($B4:$U4)*$A20,"")</f>
        <v/>
      </c>
      <c r="L20" s="136" t="str">
        <f t="shared" ref="L20:L29" si="7">IFERROR(I4/SUM($B4:$U4)*$A20,"")</f>
        <v/>
      </c>
      <c r="M20" s="136" t="str">
        <f t="shared" ref="M20:M29" si="8">IFERROR(J4/SUM($B4:$U4)*$A20,"")</f>
        <v/>
      </c>
      <c r="N20" s="136" t="str">
        <f t="shared" ref="N20:N29" si="9">IFERROR(K4/SUM($B4:$U4)*$A20,"")</f>
        <v/>
      </c>
      <c r="O20" s="136" t="str">
        <f t="shared" ref="O20:O29" si="10">IFERROR(L4/SUM($B4:$U4)*$A20,"")</f>
        <v/>
      </c>
      <c r="P20" s="136" t="str">
        <f t="shared" ref="P20:P29" si="11">IFERROR(M4/SUM($B4:$U4)*$A20,"")</f>
        <v/>
      </c>
      <c r="Q20" s="136" t="str">
        <f t="shared" ref="Q20:Q29" si="12">IFERROR(N4/SUM($B4:$U4)*$A20,"")</f>
        <v/>
      </c>
      <c r="R20" s="136" t="str">
        <f t="shared" ref="R20:R29" si="13">IFERROR(O4/SUM($B4:$U4)*$A20,"")</f>
        <v/>
      </c>
      <c r="S20" s="136" t="str">
        <f t="shared" ref="S20:S29" si="14">IFERROR(P4/SUM($B4:$U4)*$A20,"")</f>
        <v/>
      </c>
      <c r="T20" s="136" t="str">
        <f t="shared" ref="T20:T29" si="15">IFERROR(Q4/SUM($B4:$U4)*$A20,"")</f>
        <v/>
      </c>
      <c r="U20" s="136" t="str">
        <f t="shared" ref="U20:U29" si="16">IFERROR(R4/SUM($B4:$U4)*$A20,"")</f>
        <v/>
      </c>
      <c r="V20" s="136" t="str">
        <f t="shared" ref="V20:V29" si="17">IFERROR(S4/SUM($B4:$U4)*$A20,"")</f>
        <v/>
      </c>
      <c r="W20" s="136" t="str">
        <f t="shared" ref="W20:W29" si="18">IFERROR(T4/SUM($B4:$U4)*$A20,"")</f>
        <v/>
      </c>
      <c r="X20" s="136" t="str">
        <f t="shared" ref="X20:X29" si="19">IFERROR(U4/SUM($B4:$U4)*$A20,"")</f>
        <v/>
      </c>
    </row>
    <row r="21" spans="1:24" x14ac:dyDescent="0.25">
      <c r="A21" s="32">
        <v>30</v>
      </c>
      <c r="B21" s="46">
        <v>2</v>
      </c>
      <c r="C21" s="47">
        <v>10</v>
      </c>
      <c r="D21" s="47">
        <v>0.3</v>
      </c>
      <c r="E21" s="137">
        <f>IFERROR(B5/SUM($B5:$U5)*$A21,"")</f>
        <v>0.54545454545454541</v>
      </c>
      <c r="F21" s="137">
        <f t="shared" ref="F21:F29" si="20">IFERROR(C5/SUM($B5:$U5)*$A21,"")</f>
        <v>1.0909090909090908</v>
      </c>
      <c r="G21" s="137">
        <f t="shared" si="2"/>
        <v>1.6363636363636362</v>
      </c>
      <c r="H21" s="137">
        <f t="shared" si="3"/>
        <v>2.1818181818181817</v>
      </c>
      <c r="I21" s="137">
        <f t="shared" si="4"/>
        <v>2.7272727272727275</v>
      </c>
      <c r="J21" s="137">
        <f t="shared" si="5"/>
        <v>3.2727272727272725</v>
      </c>
      <c r="K21" s="137">
        <f t="shared" si="6"/>
        <v>3.8181818181818188</v>
      </c>
      <c r="L21" s="137">
        <f t="shared" si="7"/>
        <v>4.3636363636363633</v>
      </c>
      <c r="M21" s="137">
        <f t="shared" si="8"/>
        <v>4.9090909090909083</v>
      </c>
      <c r="N21" s="137">
        <f t="shared" si="9"/>
        <v>5.454545454545455</v>
      </c>
      <c r="O21" s="137" t="str">
        <f t="shared" si="10"/>
        <v/>
      </c>
      <c r="P21" s="137" t="str">
        <f t="shared" si="11"/>
        <v/>
      </c>
      <c r="Q21" s="137" t="str">
        <f t="shared" si="12"/>
        <v/>
      </c>
      <c r="R21" s="137" t="str">
        <f t="shared" si="13"/>
        <v/>
      </c>
      <c r="S21" s="137" t="str">
        <f t="shared" si="14"/>
        <v/>
      </c>
      <c r="T21" s="137" t="str">
        <f t="shared" si="15"/>
        <v/>
      </c>
      <c r="U21" s="137" t="str">
        <f t="shared" si="16"/>
        <v/>
      </c>
      <c r="V21" s="137" t="str">
        <f t="shared" si="17"/>
        <v/>
      </c>
      <c r="W21" s="137" t="str">
        <f t="shared" si="18"/>
        <v/>
      </c>
      <c r="X21" s="137" t="str">
        <f t="shared" si="19"/>
        <v/>
      </c>
    </row>
    <row r="22" spans="1:24" x14ac:dyDescent="0.25">
      <c r="A22" s="36">
        <v>60</v>
      </c>
      <c r="B22" s="48">
        <v>3</v>
      </c>
      <c r="C22" s="49">
        <v>10</v>
      </c>
      <c r="D22" s="49">
        <v>0.4</v>
      </c>
      <c r="E22" s="138">
        <f>IFERROR(B6/SUM($B6:$U6)*$A22,"")</f>
        <v>1.0909090909090908</v>
      </c>
      <c r="F22" s="138">
        <f t="shared" si="20"/>
        <v>2.1818181818181817</v>
      </c>
      <c r="G22" s="138">
        <f t="shared" si="2"/>
        <v>3.2727272727272725</v>
      </c>
      <c r="H22" s="138">
        <f t="shared" si="3"/>
        <v>4.3636363636363633</v>
      </c>
      <c r="I22" s="138">
        <f t="shared" si="4"/>
        <v>5.4545454545454541</v>
      </c>
      <c r="J22" s="138">
        <f t="shared" si="5"/>
        <v>6.545454545454545</v>
      </c>
      <c r="K22" s="138">
        <f t="shared" si="6"/>
        <v>7.6363636363636358</v>
      </c>
      <c r="L22" s="138">
        <f t="shared" si="7"/>
        <v>8.7272727272727266</v>
      </c>
      <c r="M22" s="138">
        <f t="shared" si="8"/>
        <v>9.8181818181818166</v>
      </c>
      <c r="N22" s="138">
        <f t="shared" si="9"/>
        <v>10.909090909090908</v>
      </c>
      <c r="O22" s="138" t="str">
        <f t="shared" si="10"/>
        <v/>
      </c>
      <c r="P22" s="138" t="str">
        <f t="shared" si="11"/>
        <v/>
      </c>
      <c r="Q22" s="138" t="str">
        <f t="shared" si="12"/>
        <v/>
      </c>
      <c r="R22" s="138" t="str">
        <f t="shared" si="13"/>
        <v/>
      </c>
      <c r="S22" s="138" t="str">
        <f t="shared" si="14"/>
        <v/>
      </c>
      <c r="T22" s="138" t="str">
        <f t="shared" si="15"/>
        <v/>
      </c>
      <c r="U22" s="138" t="str">
        <f t="shared" si="16"/>
        <v/>
      </c>
      <c r="V22" s="138" t="str">
        <f t="shared" si="17"/>
        <v/>
      </c>
      <c r="W22" s="138" t="str">
        <f t="shared" si="18"/>
        <v/>
      </c>
      <c r="X22" s="138" t="str">
        <f t="shared" si="19"/>
        <v/>
      </c>
    </row>
    <row r="23" spans="1:24" x14ac:dyDescent="0.25">
      <c r="A23" s="36">
        <v>60</v>
      </c>
      <c r="B23" s="48">
        <v>4</v>
      </c>
      <c r="C23" s="49">
        <v>10</v>
      </c>
      <c r="D23" s="49">
        <v>0.5</v>
      </c>
      <c r="E23" s="138">
        <f t="shared" ref="E23:E29" si="21">IFERROR(B7/SUM($B7:$U7)*$A23,"")</f>
        <v>1.0909090909090908</v>
      </c>
      <c r="F23" s="138">
        <f t="shared" si="20"/>
        <v>2.1818181818181817</v>
      </c>
      <c r="G23" s="138">
        <f t="shared" si="2"/>
        <v>3.2727272727272725</v>
      </c>
      <c r="H23" s="138">
        <f t="shared" si="3"/>
        <v>4.3636363636363633</v>
      </c>
      <c r="I23" s="138">
        <f t="shared" si="4"/>
        <v>5.454545454545455</v>
      </c>
      <c r="J23" s="138">
        <f t="shared" si="5"/>
        <v>6.545454545454545</v>
      </c>
      <c r="K23" s="138">
        <f t="shared" si="6"/>
        <v>7.6363636363636358</v>
      </c>
      <c r="L23" s="138">
        <f t="shared" si="7"/>
        <v>8.7272727272727266</v>
      </c>
      <c r="M23" s="138">
        <f t="shared" si="8"/>
        <v>9.8181818181818183</v>
      </c>
      <c r="N23" s="138">
        <f t="shared" si="9"/>
        <v>10.90909090909091</v>
      </c>
      <c r="O23" s="138" t="str">
        <f t="shared" si="10"/>
        <v/>
      </c>
      <c r="P23" s="138" t="str">
        <f t="shared" si="11"/>
        <v/>
      </c>
      <c r="Q23" s="138" t="str">
        <f t="shared" si="12"/>
        <v/>
      </c>
      <c r="R23" s="138" t="str">
        <f t="shared" si="13"/>
        <v/>
      </c>
      <c r="S23" s="138" t="str">
        <f t="shared" si="14"/>
        <v/>
      </c>
      <c r="T23" s="138" t="str">
        <f t="shared" si="15"/>
        <v/>
      </c>
      <c r="U23" s="138" t="str">
        <f t="shared" si="16"/>
        <v/>
      </c>
      <c r="V23" s="138" t="str">
        <f t="shared" si="17"/>
        <v/>
      </c>
      <c r="W23" s="138" t="str">
        <f t="shared" si="18"/>
        <v/>
      </c>
      <c r="X23" s="138" t="str">
        <f t="shared" si="19"/>
        <v/>
      </c>
    </row>
    <row r="24" spans="1:24" x14ac:dyDescent="0.25">
      <c r="A24" s="40">
        <v>120</v>
      </c>
      <c r="B24" s="50">
        <v>5</v>
      </c>
      <c r="C24" s="51">
        <v>15</v>
      </c>
      <c r="D24" s="51">
        <v>0.6</v>
      </c>
      <c r="E24" s="139">
        <f t="shared" si="21"/>
        <v>1</v>
      </c>
      <c r="F24" s="139">
        <f t="shared" si="20"/>
        <v>2</v>
      </c>
      <c r="G24" s="139">
        <f t="shared" si="2"/>
        <v>2.9999999999999996</v>
      </c>
      <c r="H24" s="139">
        <f t="shared" si="3"/>
        <v>4</v>
      </c>
      <c r="I24" s="139">
        <f t="shared" si="4"/>
        <v>5</v>
      </c>
      <c r="J24" s="139">
        <f t="shared" si="5"/>
        <v>5.9999999999999991</v>
      </c>
      <c r="K24" s="139">
        <f t="shared" si="6"/>
        <v>7</v>
      </c>
      <c r="L24" s="139">
        <f t="shared" si="7"/>
        <v>8</v>
      </c>
      <c r="M24" s="139">
        <f t="shared" si="8"/>
        <v>9</v>
      </c>
      <c r="N24" s="139">
        <f t="shared" si="9"/>
        <v>10</v>
      </c>
      <c r="O24" s="139">
        <f t="shared" si="10"/>
        <v>11</v>
      </c>
      <c r="P24" s="139">
        <f t="shared" si="11"/>
        <v>11.999999999999998</v>
      </c>
      <c r="Q24" s="139">
        <f t="shared" si="12"/>
        <v>13</v>
      </c>
      <c r="R24" s="139">
        <f t="shared" si="13"/>
        <v>14</v>
      </c>
      <c r="S24" s="139">
        <f t="shared" si="14"/>
        <v>15</v>
      </c>
      <c r="T24" s="139" t="str">
        <f t="shared" si="15"/>
        <v/>
      </c>
      <c r="U24" s="139" t="str">
        <f t="shared" si="16"/>
        <v/>
      </c>
      <c r="V24" s="139" t="str">
        <f t="shared" si="17"/>
        <v/>
      </c>
      <c r="W24" s="139" t="str">
        <f t="shared" si="18"/>
        <v/>
      </c>
      <c r="X24" s="139" t="str">
        <f t="shared" si="19"/>
        <v/>
      </c>
    </row>
    <row r="25" spans="1:24" x14ac:dyDescent="0.25">
      <c r="A25" s="40">
        <v>240</v>
      </c>
      <c r="B25" s="50">
        <v>6</v>
      </c>
      <c r="C25" s="51">
        <v>15</v>
      </c>
      <c r="D25" s="51">
        <v>0.7</v>
      </c>
      <c r="E25" s="139">
        <f t="shared" si="21"/>
        <v>2</v>
      </c>
      <c r="F25" s="139">
        <f t="shared" si="20"/>
        <v>4</v>
      </c>
      <c r="G25" s="139">
        <f t="shared" si="2"/>
        <v>5.9999999999999982</v>
      </c>
      <c r="H25" s="139">
        <f t="shared" si="3"/>
        <v>8</v>
      </c>
      <c r="I25" s="139">
        <f t="shared" si="4"/>
        <v>10</v>
      </c>
      <c r="J25" s="139">
        <f t="shared" si="5"/>
        <v>11.999999999999996</v>
      </c>
      <c r="K25" s="139">
        <f t="shared" si="6"/>
        <v>13.999999999999998</v>
      </c>
      <c r="L25" s="139">
        <f t="shared" si="7"/>
        <v>16</v>
      </c>
      <c r="M25" s="139">
        <f t="shared" si="8"/>
        <v>18</v>
      </c>
      <c r="N25" s="139">
        <f t="shared" si="9"/>
        <v>20</v>
      </c>
      <c r="O25" s="139">
        <f t="shared" si="10"/>
        <v>22</v>
      </c>
      <c r="P25" s="139">
        <f t="shared" si="11"/>
        <v>23.999999999999993</v>
      </c>
      <c r="Q25" s="139">
        <f t="shared" si="12"/>
        <v>25.999999999999996</v>
      </c>
      <c r="R25" s="139">
        <f t="shared" si="13"/>
        <v>27.999999999999996</v>
      </c>
      <c r="S25" s="139">
        <f t="shared" si="14"/>
        <v>30</v>
      </c>
      <c r="T25" s="139" t="str">
        <f t="shared" si="15"/>
        <v/>
      </c>
      <c r="U25" s="139" t="str">
        <f t="shared" si="16"/>
        <v/>
      </c>
      <c r="V25" s="139" t="str">
        <f t="shared" si="17"/>
        <v/>
      </c>
      <c r="W25" s="139" t="str">
        <f t="shared" si="18"/>
        <v/>
      </c>
      <c r="X25" s="139" t="str">
        <f t="shared" si="19"/>
        <v/>
      </c>
    </row>
    <row r="26" spans="1:24" x14ac:dyDescent="0.25">
      <c r="A26" s="38">
        <v>480</v>
      </c>
      <c r="B26" s="52">
        <v>7</v>
      </c>
      <c r="C26" s="53">
        <v>15</v>
      </c>
      <c r="D26" s="53">
        <v>0.8</v>
      </c>
      <c r="E26" s="140">
        <f t="shared" si="21"/>
        <v>4</v>
      </c>
      <c r="F26" s="140">
        <f t="shared" si="20"/>
        <v>8</v>
      </c>
      <c r="G26" s="140">
        <f t="shared" si="2"/>
        <v>12</v>
      </c>
      <c r="H26" s="140">
        <f t="shared" si="3"/>
        <v>16</v>
      </c>
      <c r="I26" s="140">
        <f t="shared" si="4"/>
        <v>19.999999999999996</v>
      </c>
      <c r="J26" s="140">
        <f t="shared" si="5"/>
        <v>24</v>
      </c>
      <c r="K26" s="140">
        <f t="shared" si="6"/>
        <v>27.999999999999996</v>
      </c>
      <c r="L26" s="140">
        <f t="shared" si="7"/>
        <v>32</v>
      </c>
      <c r="M26" s="140">
        <f t="shared" si="8"/>
        <v>36</v>
      </c>
      <c r="N26" s="140">
        <f t="shared" si="9"/>
        <v>39.999999999999993</v>
      </c>
      <c r="O26" s="140">
        <f t="shared" si="10"/>
        <v>44</v>
      </c>
      <c r="P26" s="140">
        <f t="shared" si="11"/>
        <v>48</v>
      </c>
      <c r="Q26" s="140">
        <f t="shared" si="12"/>
        <v>51.999999999999993</v>
      </c>
      <c r="R26" s="140">
        <f t="shared" si="13"/>
        <v>55.999999999999993</v>
      </c>
      <c r="S26" s="140">
        <f t="shared" si="14"/>
        <v>59.999999999999993</v>
      </c>
      <c r="T26" s="140" t="str">
        <f t="shared" si="15"/>
        <v/>
      </c>
      <c r="U26" s="140" t="str">
        <f t="shared" si="16"/>
        <v/>
      </c>
      <c r="V26" s="140" t="str">
        <f t="shared" si="17"/>
        <v/>
      </c>
      <c r="W26" s="140" t="str">
        <f t="shared" si="18"/>
        <v/>
      </c>
      <c r="X26" s="140" t="str">
        <f t="shared" si="19"/>
        <v/>
      </c>
    </row>
    <row r="27" spans="1:24" x14ac:dyDescent="0.25">
      <c r="A27" s="38">
        <v>480</v>
      </c>
      <c r="B27" s="52">
        <v>8</v>
      </c>
      <c r="C27" s="53">
        <v>20</v>
      </c>
      <c r="D27" s="53">
        <v>0.9</v>
      </c>
      <c r="E27" s="140">
        <f t="shared" si="21"/>
        <v>2.285714285714286</v>
      </c>
      <c r="F27" s="140">
        <f t="shared" si="20"/>
        <v>4.5714285714285721</v>
      </c>
      <c r="G27" s="140">
        <f t="shared" si="2"/>
        <v>6.8571428571428577</v>
      </c>
      <c r="H27" s="140">
        <f t="shared" si="3"/>
        <v>9.1428571428571441</v>
      </c>
      <c r="I27" s="140">
        <f t="shared" si="4"/>
        <v>11.428571428571427</v>
      </c>
      <c r="J27" s="140">
        <f t="shared" si="5"/>
        <v>13.714285714285715</v>
      </c>
      <c r="K27" s="140">
        <f t="shared" si="6"/>
        <v>16</v>
      </c>
      <c r="L27" s="140">
        <f t="shared" si="7"/>
        <v>18.285714285714288</v>
      </c>
      <c r="M27" s="140">
        <f t="shared" si="8"/>
        <v>20.571428571428573</v>
      </c>
      <c r="N27" s="140">
        <f t="shared" si="9"/>
        <v>22.857142857142854</v>
      </c>
      <c r="O27" s="140">
        <f t="shared" si="10"/>
        <v>25.142857142857142</v>
      </c>
      <c r="P27" s="140">
        <f t="shared" si="11"/>
        <v>27.428571428571431</v>
      </c>
      <c r="Q27" s="140">
        <f t="shared" si="12"/>
        <v>29.714285714285719</v>
      </c>
      <c r="R27" s="140">
        <f t="shared" si="13"/>
        <v>32</v>
      </c>
      <c r="S27" s="140">
        <f t="shared" si="14"/>
        <v>34.285714285714285</v>
      </c>
      <c r="T27" s="140">
        <f t="shared" si="15"/>
        <v>36.571428571428577</v>
      </c>
      <c r="U27" s="140">
        <f t="shared" si="16"/>
        <v>38.857142857142861</v>
      </c>
      <c r="V27" s="140">
        <f t="shared" si="17"/>
        <v>41.142857142857146</v>
      </c>
      <c r="W27" s="140">
        <f t="shared" si="18"/>
        <v>43.428571428571431</v>
      </c>
      <c r="X27" s="140">
        <f t="shared" si="19"/>
        <v>45.714285714285708</v>
      </c>
    </row>
    <row r="28" spans="1:24" x14ac:dyDescent="0.25">
      <c r="A28" s="42">
        <v>960</v>
      </c>
      <c r="B28" s="54">
        <v>9</v>
      </c>
      <c r="C28" s="55">
        <v>20</v>
      </c>
      <c r="D28" s="55">
        <v>1</v>
      </c>
      <c r="E28" s="141">
        <f t="shared" si="21"/>
        <v>4.5714285714285721</v>
      </c>
      <c r="F28" s="141">
        <f t="shared" si="20"/>
        <v>9.1428571428571441</v>
      </c>
      <c r="G28" s="141">
        <f t="shared" si="2"/>
        <v>13.714285714285714</v>
      </c>
      <c r="H28" s="141">
        <f t="shared" si="3"/>
        <v>18.285714285714288</v>
      </c>
      <c r="I28" s="141">
        <f t="shared" si="4"/>
        <v>22.857142857142854</v>
      </c>
      <c r="J28" s="141">
        <f t="shared" si="5"/>
        <v>27.428571428571427</v>
      </c>
      <c r="K28" s="141">
        <f t="shared" si="6"/>
        <v>32</v>
      </c>
      <c r="L28" s="141">
        <f t="shared" si="7"/>
        <v>36.571428571428577</v>
      </c>
      <c r="M28" s="141">
        <f t="shared" si="8"/>
        <v>41.142857142857146</v>
      </c>
      <c r="N28" s="141">
        <f t="shared" si="9"/>
        <v>45.714285714285708</v>
      </c>
      <c r="O28" s="141">
        <f t="shared" si="10"/>
        <v>50.285714285714285</v>
      </c>
      <c r="P28" s="141">
        <f t="shared" si="11"/>
        <v>54.857142857142854</v>
      </c>
      <c r="Q28" s="141">
        <f t="shared" si="12"/>
        <v>59.428571428571431</v>
      </c>
      <c r="R28" s="141">
        <f t="shared" si="13"/>
        <v>64</v>
      </c>
      <c r="S28" s="141">
        <f t="shared" si="14"/>
        <v>68.571428571428569</v>
      </c>
      <c r="T28" s="141">
        <f t="shared" si="15"/>
        <v>73.142857142857153</v>
      </c>
      <c r="U28" s="141">
        <f t="shared" si="16"/>
        <v>77.714285714285722</v>
      </c>
      <c r="V28" s="141">
        <f t="shared" si="17"/>
        <v>82.285714285714292</v>
      </c>
      <c r="W28" s="141">
        <f t="shared" si="18"/>
        <v>86.857142857142861</v>
      </c>
      <c r="X28" s="141">
        <f t="shared" si="19"/>
        <v>91.428571428571416</v>
      </c>
    </row>
    <row r="29" spans="1:24" x14ac:dyDescent="0.25">
      <c r="A29" s="42">
        <v>960</v>
      </c>
      <c r="B29" s="54">
        <v>10</v>
      </c>
      <c r="C29" s="55">
        <v>20</v>
      </c>
      <c r="D29" s="55">
        <v>1.1000000000000001</v>
      </c>
      <c r="E29" s="141">
        <f t="shared" si="21"/>
        <v>4.5714285714285712</v>
      </c>
      <c r="F29" s="141">
        <f t="shared" si="20"/>
        <v>9.1428571428571423</v>
      </c>
      <c r="G29" s="141">
        <f t="shared" si="2"/>
        <v>13.714285714285714</v>
      </c>
      <c r="H29" s="141">
        <f t="shared" si="3"/>
        <v>18.285714285714285</v>
      </c>
      <c r="I29" s="141">
        <f t="shared" si="4"/>
        <v>22.857142857142854</v>
      </c>
      <c r="J29" s="141">
        <f t="shared" si="5"/>
        <v>27.428571428571427</v>
      </c>
      <c r="K29" s="141">
        <f t="shared" si="6"/>
        <v>32</v>
      </c>
      <c r="L29" s="141">
        <f t="shared" si="7"/>
        <v>36.571428571428569</v>
      </c>
      <c r="M29" s="141">
        <f t="shared" si="8"/>
        <v>41.142857142857139</v>
      </c>
      <c r="N29" s="141">
        <f t="shared" si="9"/>
        <v>45.714285714285708</v>
      </c>
      <c r="O29" s="141">
        <f t="shared" si="10"/>
        <v>50.285714285714285</v>
      </c>
      <c r="P29" s="141">
        <f t="shared" si="11"/>
        <v>54.857142857142854</v>
      </c>
      <c r="Q29" s="141">
        <f t="shared" si="12"/>
        <v>59.428571428571423</v>
      </c>
      <c r="R29" s="141">
        <f t="shared" si="13"/>
        <v>64</v>
      </c>
      <c r="S29" s="141">
        <f t="shared" si="14"/>
        <v>68.571428571428569</v>
      </c>
      <c r="T29" s="141">
        <f t="shared" si="15"/>
        <v>73.142857142857139</v>
      </c>
      <c r="U29" s="141">
        <f t="shared" si="16"/>
        <v>77.714285714285722</v>
      </c>
      <c r="V29" s="141">
        <f t="shared" si="17"/>
        <v>82.285714285714278</v>
      </c>
      <c r="W29" s="141">
        <f t="shared" si="18"/>
        <v>86.857142857142861</v>
      </c>
      <c r="X29" s="141">
        <f t="shared" si="19"/>
        <v>91.428571428571416</v>
      </c>
    </row>
    <row r="32" spans="1:24" x14ac:dyDescent="0.25">
      <c r="A32" s="12" t="s">
        <v>105</v>
      </c>
    </row>
    <row r="33" spans="1:1" x14ac:dyDescent="0.25">
      <c r="A33" s="32">
        <f>SUM(A20:A29)/60</f>
        <v>56.75</v>
      </c>
    </row>
  </sheetData>
  <mergeCells count="1">
    <mergeCell ref="E18:X18"/>
  </mergeCells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5"/>
  </sheetPr>
  <dimension ref="A1:U13"/>
  <sheetViews>
    <sheetView workbookViewId="0"/>
  </sheetViews>
  <sheetFormatPr defaultRowHeight="15" x14ac:dyDescent="0.25"/>
  <cols>
    <col min="1" max="1" width="20.7109375" bestFit="1" customWidth="1"/>
  </cols>
  <sheetData>
    <row r="1" spans="1:21" ht="18.75" x14ac:dyDescent="0.3">
      <c r="A1" s="30" t="s">
        <v>108</v>
      </c>
      <c r="B1" s="30"/>
      <c r="C1" s="30"/>
    </row>
    <row r="3" spans="1:21" x14ac:dyDescent="0.25">
      <c r="A3" s="12" t="s">
        <v>98</v>
      </c>
      <c r="B3" s="59" t="s">
        <v>77</v>
      </c>
      <c r="C3" s="59" t="s">
        <v>78</v>
      </c>
      <c r="D3" s="1" t="s">
        <v>79</v>
      </c>
      <c r="E3" s="1" t="s">
        <v>80</v>
      </c>
      <c r="F3" s="1" t="s">
        <v>81</v>
      </c>
      <c r="G3" s="1" t="s">
        <v>82</v>
      </c>
      <c r="H3" s="1" t="s">
        <v>83</v>
      </c>
      <c r="I3" s="1" t="s">
        <v>84</v>
      </c>
      <c r="J3" s="1" t="s">
        <v>85</v>
      </c>
      <c r="K3" s="1" t="s">
        <v>86</v>
      </c>
      <c r="L3" s="1" t="s">
        <v>87</v>
      </c>
      <c r="M3" s="1" t="s">
        <v>88</v>
      </c>
      <c r="N3" s="1" t="s">
        <v>89</v>
      </c>
      <c r="O3" s="1" t="s">
        <v>90</v>
      </c>
      <c r="P3" s="1" t="s">
        <v>91</v>
      </c>
      <c r="Q3" s="1" t="s">
        <v>92</v>
      </c>
      <c r="R3" s="1" t="s">
        <v>93</v>
      </c>
      <c r="S3" s="1" t="s">
        <v>94</v>
      </c>
      <c r="T3" s="1" t="s">
        <v>95</v>
      </c>
      <c r="U3" s="1" t="s">
        <v>96</v>
      </c>
    </row>
    <row r="4" spans="1:21" x14ac:dyDescent="0.25">
      <c r="A4" s="33">
        <v>1</v>
      </c>
      <c r="B4" s="45">
        <v>1</v>
      </c>
      <c r="C4" s="45">
        <v>2</v>
      </c>
      <c r="D4" s="35">
        <v>3</v>
      </c>
      <c r="E4" s="35">
        <v>4</v>
      </c>
      <c r="F4" s="35">
        <v>5</v>
      </c>
      <c r="G4" s="47">
        <v>6</v>
      </c>
      <c r="H4" s="47">
        <v>7</v>
      </c>
      <c r="I4" s="47">
        <v>8</v>
      </c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</row>
    <row r="5" spans="1:21" x14ac:dyDescent="0.25">
      <c r="A5" s="32">
        <v>2</v>
      </c>
      <c r="B5" s="47">
        <v>9</v>
      </c>
      <c r="C5" s="47">
        <v>10</v>
      </c>
      <c r="D5" s="47">
        <v>11</v>
      </c>
      <c r="E5" s="47">
        <v>12</v>
      </c>
      <c r="F5" s="47">
        <v>13</v>
      </c>
      <c r="G5" s="47">
        <v>14</v>
      </c>
      <c r="H5" s="47">
        <v>15</v>
      </c>
      <c r="I5" s="47">
        <v>16</v>
      </c>
      <c r="J5" s="47">
        <v>17</v>
      </c>
      <c r="K5" s="47">
        <v>18</v>
      </c>
      <c r="L5" s="34"/>
      <c r="M5" s="34"/>
      <c r="N5" s="34"/>
      <c r="O5" s="34"/>
      <c r="P5" s="34"/>
      <c r="Q5" s="34"/>
      <c r="R5" s="34"/>
      <c r="S5" s="34"/>
      <c r="T5" s="34"/>
      <c r="U5" s="34"/>
    </row>
    <row r="6" spans="1:21" x14ac:dyDescent="0.25">
      <c r="A6" s="36">
        <v>3</v>
      </c>
      <c r="B6" s="49">
        <v>19</v>
      </c>
      <c r="C6" s="49">
        <v>20</v>
      </c>
      <c r="D6" s="49">
        <v>21</v>
      </c>
      <c r="E6" s="49">
        <v>22</v>
      </c>
      <c r="F6" s="49">
        <v>23</v>
      </c>
      <c r="G6" s="49">
        <v>24</v>
      </c>
      <c r="H6" s="49">
        <v>25</v>
      </c>
      <c r="I6" s="49">
        <v>26</v>
      </c>
      <c r="J6" s="49">
        <v>27</v>
      </c>
      <c r="K6" s="49">
        <v>28</v>
      </c>
      <c r="L6" s="37"/>
      <c r="M6" s="37"/>
      <c r="N6" s="37"/>
      <c r="O6" s="37"/>
      <c r="P6" s="37"/>
      <c r="Q6" s="37"/>
      <c r="R6" s="37"/>
      <c r="S6" s="37"/>
      <c r="T6" s="37"/>
      <c r="U6" s="37"/>
    </row>
    <row r="7" spans="1:21" x14ac:dyDescent="0.25">
      <c r="A7" s="36">
        <v>4</v>
      </c>
      <c r="B7" s="49">
        <v>29</v>
      </c>
      <c r="C7" s="49">
        <v>30</v>
      </c>
      <c r="D7" s="49">
        <v>31</v>
      </c>
      <c r="E7" s="49">
        <v>32</v>
      </c>
      <c r="F7" s="49">
        <v>33</v>
      </c>
      <c r="G7" s="49">
        <v>34</v>
      </c>
      <c r="H7" s="49">
        <v>35</v>
      </c>
      <c r="I7" s="49">
        <v>36</v>
      </c>
      <c r="J7" s="49">
        <v>37</v>
      </c>
      <c r="K7" s="49">
        <v>38</v>
      </c>
      <c r="L7" s="37"/>
      <c r="M7" s="37"/>
      <c r="N7" s="37"/>
      <c r="O7" s="37"/>
      <c r="P7" s="37"/>
      <c r="Q7" s="37"/>
      <c r="R7" s="37"/>
      <c r="S7" s="37"/>
      <c r="T7" s="37"/>
      <c r="U7" s="37"/>
    </row>
    <row r="8" spans="1:21" x14ac:dyDescent="0.25">
      <c r="A8" s="40">
        <v>5</v>
      </c>
      <c r="B8" s="51">
        <v>39</v>
      </c>
      <c r="C8" s="51">
        <v>40</v>
      </c>
      <c r="D8" s="51">
        <v>41</v>
      </c>
      <c r="E8" s="51">
        <v>42</v>
      </c>
      <c r="F8" s="51">
        <v>43</v>
      </c>
      <c r="G8" s="51">
        <v>44</v>
      </c>
      <c r="H8" s="51">
        <v>45</v>
      </c>
      <c r="I8" s="51">
        <v>46</v>
      </c>
      <c r="J8" s="51">
        <v>47</v>
      </c>
      <c r="K8" s="51">
        <v>48</v>
      </c>
      <c r="L8" s="51">
        <v>49</v>
      </c>
      <c r="M8" s="51">
        <v>50</v>
      </c>
      <c r="N8" s="51">
        <v>51</v>
      </c>
      <c r="O8" s="51">
        <v>52</v>
      </c>
      <c r="P8" s="51">
        <v>53</v>
      </c>
      <c r="Q8" s="41"/>
      <c r="R8" s="41"/>
      <c r="S8" s="41"/>
      <c r="T8" s="41"/>
      <c r="U8" s="41"/>
    </row>
    <row r="9" spans="1:21" x14ac:dyDescent="0.25">
      <c r="A9" s="40">
        <v>6</v>
      </c>
      <c r="B9" s="51">
        <v>54</v>
      </c>
      <c r="C9" s="51">
        <v>55</v>
      </c>
      <c r="D9" s="51">
        <v>56</v>
      </c>
      <c r="E9" s="51">
        <v>57</v>
      </c>
      <c r="F9" s="51">
        <v>58</v>
      </c>
      <c r="G9" s="51">
        <v>59</v>
      </c>
      <c r="H9" s="51">
        <v>60</v>
      </c>
      <c r="I9" s="51">
        <v>61</v>
      </c>
      <c r="J9" s="51">
        <v>62</v>
      </c>
      <c r="K9" s="51">
        <v>63</v>
      </c>
      <c r="L9" s="51">
        <v>64</v>
      </c>
      <c r="M9" s="51">
        <v>65</v>
      </c>
      <c r="N9" s="51">
        <v>66</v>
      </c>
      <c r="O9" s="51">
        <v>67</v>
      </c>
      <c r="P9" s="51">
        <v>68</v>
      </c>
      <c r="Q9" s="41"/>
      <c r="R9" s="41"/>
      <c r="S9" s="41"/>
      <c r="T9" s="41"/>
      <c r="U9" s="41"/>
    </row>
    <row r="10" spans="1:21" x14ac:dyDescent="0.25">
      <c r="A10" s="38">
        <v>7</v>
      </c>
      <c r="B10" s="53">
        <v>69</v>
      </c>
      <c r="C10" s="53">
        <v>70</v>
      </c>
      <c r="D10" s="53">
        <v>71</v>
      </c>
      <c r="E10" s="53">
        <v>72</v>
      </c>
      <c r="F10" s="53">
        <v>73</v>
      </c>
      <c r="G10" s="53">
        <v>74</v>
      </c>
      <c r="H10" s="53">
        <v>75</v>
      </c>
      <c r="I10" s="53">
        <v>76</v>
      </c>
      <c r="J10" s="53">
        <v>77</v>
      </c>
      <c r="K10" s="53">
        <v>78</v>
      </c>
      <c r="L10" s="53">
        <v>79</v>
      </c>
      <c r="M10" s="53">
        <v>80</v>
      </c>
      <c r="N10" s="53">
        <v>81</v>
      </c>
      <c r="O10" s="53">
        <v>82</v>
      </c>
      <c r="P10" s="53">
        <v>83</v>
      </c>
      <c r="Q10" s="39"/>
      <c r="R10" s="39"/>
      <c r="S10" s="39"/>
      <c r="T10" s="39"/>
      <c r="U10" s="39"/>
    </row>
    <row r="11" spans="1:21" x14ac:dyDescent="0.25">
      <c r="A11" s="38">
        <v>8</v>
      </c>
      <c r="B11" s="53">
        <v>84</v>
      </c>
      <c r="C11" s="53">
        <v>85</v>
      </c>
      <c r="D11" s="53">
        <v>86</v>
      </c>
      <c r="E11" s="53">
        <v>87</v>
      </c>
      <c r="F11" s="53">
        <v>88</v>
      </c>
      <c r="G11" s="53">
        <v>89</v>
      </c>
      <c r="H11" s="53">
        <v>90</v>
      </c>
      <c r="I11" s="53">
        <v>91</v>
      </c>
      <c r="J11" s="53">
        <v>92</v>
      </c>
      <c r="K11" s="53">
        <v>93</v>
      </c>
      <c r="L11" s="53">
        <v>94</v>
      </c>
      <c r="M11" s="53">
        <v>95</v>
      </c>
      <c r="N11" s="53">
        <v>96</v>
      </c>
      <c r="O11" s="53">
        <v>97</v>
      </c>
      <c r="P11" s="53">
        <v>98</v>
      </c>
      <c r="Q11" s="53">
        <v>99</v>
      </c>
      <c r="R11" s="53">
        <v>100</v>
      </c>
      <c r="S11" s="53">
        <v>101</v>
      </c>
      <c r="T11" s="53">
        <v>102</v>
      </c>
      <c r="U11" s="53">
        <v>103</v>
      </c>
    </row>
    <row r="12" spans="1:21" x14ac:dyDescent="0.25">
      <c r="A12" s="42">
        <v>9</v>
      </c>
      <c r="B12" s="55">
        <v>104</v>
      </c>
      <c r="C12" s="55">
        <v>105</v>
      </c>
      <c r="D12" s="55">
        <v>106</v>
      </c>
      <c r="E12" s="55">
        <v>107</v>
      </c>
      <c r="F12" s="55">
        <v>108</v>
      </c>
      <c r="G12" s="55">
        <v>109</v>
      </c>
      <c r="H12" s="55">
        <v>110</v>
      </c>
      <c r="I12" s="55">
        <v>111</v>
      </c>
      <c r="J12" s="55">
        <v>112</v>
      </c>
      <c r="K12" s="55">
        <v>113</v>
      </c>
      <c r="L12" s="55">
        <v>114</v>
      </c>
      <c r="M12" s="55">
        <v>115</v>
      </c>
      <c r="N12" s="55">
        <v>116</v>
      </c>
      <c r="O12" s="55">
        <v>117</v>
      </c>
      <c r="P12" s="55">
        <v>118</v>
      </c>
      <c r="Q12" s="55">
        <v>119</v>
      </c>
      <c r="R12" s="55">
        <v>120</v>
      </c>
      <c r="S12" s="55">
        <v>121</v>
      </c>
      <c r="T12" s="55">
        <v>122</v>
      </c>
      <c r="U12" s="55">
        <v>123</v>
      </c>
    </row>
    <row r="13" spans="1:21" x14ac:dyDescent="0.25">
      <c r="A13" s="42">
        <v>10</v>
      </c>
      <c r="B13" s="55">
        <v>124</v>
      </c>
      <c r="C13" s="55">
        <v>125</v>
      </c>
      <c r="D13" s="55">
        <v>126</v>
      </c>
      <c r="E13" s="55">
        <v>127</v>
      </c>
      <c r="F13" s="55">
        <v>128</v>
      </c>
      <c r="G13" s="55">
        <v>129</v>
      </c>
      <c r="H13" s="55">
        <v>130</v>
      </c>
      <c r="I13" s="55">
        <v>131</v>
      </c>
      <c r="J13" s="55">
        <v>132</v>
      </c>
      <c r="K13" s="55">
        <v>133</v>
      </c>
      <c r="L13" s="55">
        <v>134</v>
      </c>
      <c r="M13" s="55">
        <v>135</v>
      </c>
      <c r="N13" s="55">
        <v>136</v>
      </c>
      <c r="O13" s="55">
        <v>137</v>
      </c>
      <c r="P13" s="55">
        <v>138</v>
      </c>
      <c r="Q13" s="55">
        <v>139</v>
      </c>
      <c r="R13" s="55">
        <v>140</v>
      </c>
      <c r="S13" s="55">
        <v>141</v>
      </c>
      <c r="T13" s="55">
        <v>142</v>
      </c>
      <c r="U13" s="55">
        <v>143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>
    <tabColor theme="7"/>
  </sheetPr>
  <dimension ref="A1:G24"/>
  <sheetViews>
    <sheetView workbookViewId="0">
      <selection activeCell="K20" sqref="K20"/>
    </sheetView>
  </sheetViews>
  <sheetFormatPr defaultRowHeight="15" x14ac:dyDescent="0.25"/>
  <cols>
    <col min="1" max="1" width="17.28515625" bestFit="1" customWidth="1"/>
    <col min="2" max="2" width="16.7109375" bestFit="1" customWidth="1"/>
    <col min="3" max="3" width="12.7109375" bestFit="1" customWidth="1"/>
    <col min="4" max="4" width="21" bestFit="1" customWidth="1"/>
    <col min="5" max="7" width="12" bestFit="1" customWidth="1"/>
  </cols>
  <sheetData>
    <row r="1" spans="1:7" x14ac:dyDescent="0.25">
      <c r="A1" s="17" t="s">
        <v>175</v>
      </c>
      <c r="B1" s="17"/>
      <c r="C1" s="17"/>
      <c r="D1" s="17"/>
    </row>
    <row r="3" spans="1:7" x14ac:dyDescent="0.25">
      <c r="A3" s="12" t="s">
        <v>501</v>
      </c>
      <c r="B3" s="5">
        <v>0.3</v>
      </c>
    </row>
    <row r="5" spans="1:7" x14ac:dyDescent="0.25">
      <c r="D5" s="231" t="s">
        <v>500</v>
      </c>
    </row>
    <row r="6" spans="1:7" x14ac:dyDescent="0.25">
      <c r="D6" s="232">
        <v>4</v>
      </c>
    </row>
    <row r="7" spans="1:7" x14ac:dyDescent="0.25">
      <c r="A7" s="1" t="s">
        <v>207</v>
      </c>
      <c r="B7" s="1" t="s">
        <v>205</v>
      </c>
      <c r="C7" s="1" t="s">
        <v>208</v>
      </c>
      <c r="D7" s="1" t="s">
        <v>499</v>
      </c>
    </row>
    <row r="8" spans="1:7" x14ac:dyDescent="0.25">
      <c r="A8" s="1">
        <v>1</v>
      </c>
      <c r="B8" s="1" t="s">
        <v>206</v>
      </c>
      <c r="C8" s="1">
        <v>50</v>
      </c>
      <c r="D8" s="1">
        <f>IF(Table1436[[#This Row],[Reward type]]="SC",Table1436[[#This Row],[Amount]]*INDEX(ChestsRewards[SC modifier],MATCH($D$6,ChestsRewards[Dragon],0)),Table1436[[#This Row],[Amount]])</f>
        <v>900</v>
      </c>
    </row>
    <row r="9" spans="1:7" x14ac:dyDescent="0.25">
      <c r="A9" s="1">
        <v>2</v>
      </c>
      <c r="B9" s="1" t="s">
        <v>206</v>
      </c>
      <c r="C9" s="1">
        <v>100</v>
      </c>
      <c r="D9" s="1">
        <f>IF(Table1436[[#This Row],[Reward type]]="SC",Table1436[[#This Row],[Amount]]*INDEX(ChestsRewards[SC modifier],MATCH($D$6,ChestsRewards[Dragon],0)),Table1436[[#This Row],[Amount]])</f>
        <v>1800</v>
      </c>
    </row>
    <row r="10" spans="1:7" x14ac:dyDescent="0.25">
      <c r="A10" s="1">
        <v>3</v>
      </c>
      <c r="B10" s="1" t="s">
        <v>110</v>
      </c>
      <c r="C10" s="1">
        <v>3</v>
      </c>
      <c r="D10" s="1">
        <f>IF(Table1436[[#This Row],[Reward type]]="SC",Table1436[[#This Row],[Amount]]*INDEX(ChestsRewards[SC modifier],MATCH($D$6,ChestsRewards[Dragon],0)),Table1436[[#This Row],[Amount]])</f>
        <v>3</v>
      </c>
    </row>
    <row r="11" spans="1:7" x14ac:dyDescent="0.25">
      <c r="A11" s="1">
        <v>4</v>
      </c>
      <c r="B11" s="1" t="s">
        <v>206</v>
      </c>
      <c r="C11" s="1">
        <v>200</v>
      </c>
      <c r="D11" s="1">
        <f>IF(Table1436[[#This Row],[Reward type]]="SC",Table1436[[#This Row],[Amount]]*INDEX(ChestsRewards[SC modifier],MATCH($D$6,ChestsRewards[Dragon],0)),Table1436[[#This Row],[Amount]])</f>
        <v>3600</v>
      </c>
    </row>
    <row r="12" spans="1:7" x14ac:dyDescent="0.25">
      <c r="A12" s="1">
        <v>5</v>
      </c>
      <c r="B12" s="1" t="s">
        <v>110</v>
      </c>
      <c r="C12" s="1">
        <v>7</v>
      </c>
      <c r="D12" s="1">
        <f>IF(Table1436[[#This Row],[Reward type]]="SC",Table1436[[#This Row],[Amount]]*INDEX(ChestsRewards[SC modifier],MATCH($D$6,ChestsRewards[Dragon],0)),Table1436[[#This Row],[Amount]])</f>
        <v>7</v>
      </c>
    </row>
    <row r="14" spans="1:7" x14ac:dyDescent="0.25">
      <c r="A14" s="1" t="s">
        <v>4</v>
      </c>
      <c r="B14" s="1" t="s">
        <v>498</v>
      </c>
      <c r="C14" s="1" t="s">
        <v>502</v>
      </c>
      <c r="D14" s="1" t="s">
        <v>503</v>
      </c>
      <c r="E14" s="1" t="s">
        <v>504</v>
      </c>
      <c r="F14" s="1" t="s">
        <v>505</v>
      </c>
      <c r="G14" s="1" t="s">
        <v>506</v>
      </c>
    </row>
    <row r="15" spans="1:7" x14ac:dyDescent="0.25">
      <c r="A15" s="1">
        <v>1</v>
      </c>
      <c r="B15" s="1">
        <f>'Missions rewards&amp;quantities'!F5</f>
        <v>2</v>
      </c>
      <c r="C15" s="1">
        <f>$C$8*ChestsRewards[[#This Row],[SC modifier]]</f>
        <v>100</v>
      </c>
      <c r="D15" s="1">
        <f>$C$9*ChestsRewards[[#This Row],[SC modifier]]</f>
        <v>200</v>
      </c>
      <c r="E15" s="1">
        <f t="shared" ref="E15:E24" si="0">$C$10</f>
        <v>3</v>
      </c>
      <c r="F15" s="1">
        <f>ChestsRewards[[#This Row],[SC modifier]]*$C$11</f>
        <v>400</v>
      </c>
      <c r="G15" s="1">
        <f t="shared" ref="G15:G24" si="1">$C$12</f>
        <v>7</v>
      </c>
    </row>
    <row r="16" spans="1:7" x14ac:dyDescent="0.25">
      <c r="A16" s="1">
        <v>2</v>
      </c>
      <c r="B16" s="1">
        <f>'Missions rewards&amp;quantities'!F6</f>
        <v>6</v>
      </c>
      <c r="C16" s="1">
        <f>$C$8*ChestsRewards[[#This Row],[SC modifier]]</f>
        <v>300</v>
      </c>
      <c r="D16" s="1">
        <f>$C$9*ChestsRewards[[#This Row],[SC modifier]]</f>
        <v>600</v>
      </c>
      <c r="E16" s="1">
        <f t="shared" si="0"/>
        <v>3</v>
      </c>
      <c r="F16" s="1">
        <f>ChestsRewards[[#This Row],[SC modifier]]*$C$11</f>
        <v>1200</v>
      </c>
      <c r="G16" s="1">
        <f t="shared" si="1"/>
        <v>7</v>
      </c>
    </row>
    <row r="17" spans="1:7" x14ac:dyDescent="0.25">
      <c r="A17" s="1">
        <v>3</v>
      </c>
      <c r="B17" s="1">
        <f>'Missions rewards&amp;quantities'!F7</f>
        <v>12</v>
      </c>
      <c r="C17" s="1">
        <f>$C$8*ChestsRewards[[#This Row],[SC modifier]]</f>
        <v>600</v>
      </c>
      <c r="D17" s="1">
        <f>$C$9*ChestsRewards[[#This Row],[SC modifier]]</f>
        <v>1200</v>
      </c>
      <c r="E17" s="1">
        <f t="shared" si="0"/>
        <v>3</v>
      </c>
      <c r="F17" s="1">
        <f>ChestsRewards[[#This Row],[SC modifier]]*$C$11</f>
        <v>2400</v>
      </c>
      <c r="G17" s="1">
        <f t="shared" si="1"/>
        <v>7</v>
      </c>
    </row>
    <row r="18" spans="1:7" x14ac:dyDescent="0.25">
      <c r="A18" s="1">
        <v>4</v>
      </c>
      <c r="B18" s="1">
        <f>'Missions rewards&amp;quantities'!F8</f>
        <v>18</v>
      </c>
      <c r="C18" s="1">
        <f>$C$8*ChestsRewards[[#This Row],[SC modifier]]</f>
        <v>900</v>
      </c>
      <c r="D18" s="1">
        <f>$C$9*ChestsRewards[[#This Row],[SC modifier]]</f>
        <v>1800</v>
      </c>
      <c r="E18" s="1">
        <f t="shared" si="0"/>
        <v>3</v>
      </c>
      <c r="F18" s="1">
        <f>ChestsRewards[[#This Row],[SC modifier]]*$C$11</f>
        <v>3600</v>
      </c>
      <c r="G18" s="1">
        <f t="shared" si="1"/>
        <v>7</v>
      </c>
    </row>
    <row r="19" spans="1:7" x14ac:dyDescent="0.25">
      <c r="A19" s="1">
        <v>5</v>
      </c>
      <c r="B19" s="1">
        <f>'Missions rewards&amp;quantities'!F9</f>
        <v>26</v>
      </c>
      <c r="C19" s="1">
        <f>$C$8*ChestsRewards[[#This Row],[SC modifier]]</f>
        <v>1300</v>
      </c>
      <c r="D19" s="1">
        <f>$C$9*ChestsRewards[[#This Row],[SC modifier]]</f>
        <v>2600</v>
      </c>
      <c r="E19" s="1">
        <f t="shared" si="0"/>
        <v>3</v>
      </c>
      <c r="F19" s="1">
        <f>ChestsRewards[[#This Row],[SC modifier]]*$C$11</f>
        <v>5200</v>
      </c>
      <c r="G19" s="1">
        <f t="shared" si="1"/>
        <v>7</v>
      </c>
    </row>
    <row r="20" spans="1:7" x14ac:dyDescent="0.25">
      <c r="A20" s="1">
        <v>6</v>
      </c>
      <c r="B20" s="1">
        <f>'Missions rewards&amp;quantities'!F10</f>
        <v>35</v>
      </c>
      <c r="C20" s="1">
        <f>$C$8*ChestsRewards[[#This Row],[SC modifier]]</f>
        <v>1750</v>
      </c>
      <c r="D20" s="1">
        <f>$C$9*ChestsRewards[[#This Row],[SC modifier]]</f>
        <v>3500</v>
      </c>
      <c r="E20" s="1">
        <f t="shared" si="0"/>
        <v>3</v>
      </c>
      <c r="F20" s="1">
        <f>ChestsRewards[[#This Row],[SC modifier]]*$C$11</f>
        <v>7000</v>
      </c>
      <c r="G20" s="1">
        <f t="shared" si="1"/>
        <v>7</v>
      </c>
    </row>
    <row r="21" spans="1:7" x14ac:dyDescent="0.25">
      <c r="A21" s="1">
        <v>7</v>
      </c>
      <c r="B21" s="1">
        <f>'Missions rewards&amp;quantities'!F11</f>
        <v>45</v>
      </c>
      <c r="C21" s="1">
        <f>$C$8*ChestsRewards[[#This Row],[SC modifier]]</f>
        <v>2250</v>
      </c>
      <c r="D21" s="1">
        <f>$C$9*ChestsRewards[[#This Row],[SC modifier]]</f>
        <v>4500</v>
      </c>
      <c r="E21" s="1">
        <f t="shared" si="0"/>
        <v>3</v>
      </c>
      <c r="F21" s="1">
        <f>ChestsRewards[[#This Row],[SC modifier]]*$C$11</f>
        <v>9000</v>
      </c>
      <c r="G21" s="1">
        <f t="shared" si="1"/>
        <v>7</v>
      </c>
    </row>
    <row r="22" spans="1:7" x14ac:dyDescent="0.25">
      <c r="A22" s="1">
        <v>8</v>
      </c>
      <c r="B22" s="1">
        <f>'Missions rewards&amp;quantities'!F12</f>
        <v>56</v>
      </c>
      <c r="C22" s="1">
        <f>$C$8*ChestsRewards[[#This Row],[SC modifier]]</f>
        <v>2800</v>
      </c>
      <c r="D22" s="1">
        <f>$C$9*ChestsRewards[[#This Row],[SC modifier]]</f>
        <v>5600</v>
      </c>
      <c r="E22" s="1">
        <f t="shared" si="0"/>
        <v>3</v>
      </c>
      <c r="F22" s="1">
        <f>ChestsRewards[[#This Row],[SC modifier]]*$C$11</f>
        <v>11200</v>
      </c>
      <c r="G22" s="1">
        <f t="shared" si="1"/>
        <v>7</v>
      </c>
    </row>
    <row r="23" spans="1:7" x14ac:dyDescent="0.25">
      <c r="A23" s="1">
        <v>9</v>
      </c>
      <c r="B23" s="1">
        <f>'Missions rewards&amp;quantities'!F13</f>
        <v>62</v>
      </c>
      <c r="C23" s="1">
        <f>$C$8*ChestsRewards[[#This Row],[SC modifier]]</f>
        <v>3100</v>
      </c>
      <c r="D23" s="1">
        <f>$C$9*ChestsRewards[[#This Row],[SC modifier]]</f>
        <v>6200</v>
      </c>
      <c r="E23" s="1">
        <f t="shared" si="0"/>
        <v>3</v>
      </c>
      <c r="F23" s="1">
        <f>ChestsRewards[[#This Row],[SC modifier]]*$C$11</f>
        <v>12400</v>
      </c>
      <c r="G23" s="1">
        <f t="shared" si="1"/>
        <v>7</v>
      </c>
    </row>
    <row r="24" spans="1:7" x14ac:dyDescent="0.25">
      <c r="A24" s="1">
        <v>10</v>
      </c>
      <c r="B24" s="1">
        <f>'Missions rewards&amp;quantities'!F14</f>
        <v>67</v>
      </c>
      <c r="C24" s="1">
        <f>$C$8*ChestsRewards[[#This Row],[SC modifier]]</f>
        <v>3350</v>
      </c>
      <c r="D24" s="1">
        <f>$C$9*ChestsRewards[[#This Row],[SC modifier]]</f>
        <v>6700</v>
      </c>
      <c r="E24" s="1">
        <f t="shared" si="0"/>
        <v>3</v>
      </c>
      <c r="F24" s="1">
        <f>ChestsRewards[[#This Row],[SC modifier]]*$C$11</f>
        <v>13400</v>
      </c>
      <c r="G24" s="1">
        <f t="shared" si="1"/>
        <v>7</v>
      </c>
    </row>
  </sheetData>
  <dataValidations count="1">
    <dataValidation type="list" allowBlank="1" showInputMessage="1" showErrorMessage="1" sqref="D6">
      <formula1>$A$15:$A$24</formula1>
    </dataValidation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1">
    <tabColor theme="7"/>
  </sheetPr>
  <dimension ref="A1:M91"/>
  <sheetViews>
    <sheetView workbookViewId="0">
      <selection activeCell="H30" sqref="H30"/>
    </sheetView>
  </sheetViews>
  <sheetFormatPr defaultRowHeight="15" x14ac:dyDescent="0.25"/>
  <cols>
    <col min="1" max="1" width="24.42578125" bestFit="1" customWidth="1"/>
    <col min="2" max="2" width="19" customWidth="1"/>
    <col min="3" max="3" width="18.140625" customWidth="1"/>
    <col min="5" max="5" width="20.42578125" bestFit="1" customWidth="1"/>
    <col min="6" max="6" width="22" bestFit="1" customWidth="1"/>
    <col min="9" max="9" width="20.42578125" bestFit="1" customWidth="1"/>
    <col min="10" max="10" width="13.85546875" bestFit="1" customWidth="1"/>
    <col min="12" max="12" width="18.140625" bestFit="1" customWidth="1"/>
    <col min="13" max="13" width="20.42578125" bestFit="1" customWidth="1"/>
  </cols>
  <sheetData>
    <row r="1" spans="1:13" ht="18.75" x14ac:dyDescent="0.3">
      <c r="A1" s="7" t="s">
        <v>67</v>
      </c>
      <c r="B1" s="6"/>
      <c r="C1" s="6"/>
      <c r="D1" s="6"/>
      <c r="L1" s="12" t="s">
        <v>474</v>
      </c>
      <c r="M1" s="5">
        <v>25</v>
      </c>
    </row>
    <row r="3" spans="1:13" ht="15.75" x14ac:dyDescent="0.25">
      <c r="A3" s="14" t="s">
        <v>68</v>
      </c>
      <c r="B3" s="14"/>
      <c r="C3" s="14"/>
      <c r="I3" s="12" t="s">
        <v>75</v>
      </c>
      <c r="L3" s="1" t="s">
        <v>4</v>
      </c>
      <c r="M3" s="1" t="s">
        <v>151</v>
      </c>
    </row>
    <row r="4" spans="1:13" x14ac:dyDescent="0.25">
      <c r="I4" s="5">
        <v>53.299999237060547</v>
      </c>
      <c r="L4" s="1">
        <v>1</v>
      </c>
      <c r="M4" s="1">
        <f>$M$1</f>
        <v>25</v>
      </c>
    </row>
    <row r="5" spans="1:13" x14ac:dyDescent="0.25">
      <c r="A5" s="15" t="s">
        <v>61</v>
      </c>
      <c r="B5" s="24">
        <v>1</v>
      </c>
      <c r="L5" s="1">
        <v>2</v>
      </c>
      <c r="M5" s="1">
        <f t="shared" ref="M5:M13" si="0">$M$1</f>
        <v>25</v>
      </c>
    </row>
    <row r="6" spans="1:13" x14ac:dyDescent="0.25">
      <c r="A6" s="15" t="s">
        <v>62</v>
      </c>
      <c r="B6" s="24">
        <v>1</v>
      </c>
      <c r="I6" s="12" t="s">
        <v>152</v>
      </c>
      <c r="L6" s="1">
        <v>3</v>
      </c>
      <c r="M6" s="1">
        <f t="shared" si="0"/>
        <v>25</v>
      </c>
    </row>
    <row r="7" spans="1:13" x14ac:dyDescent="0.25">
      <c r="A7" s="15" t="s">
        <v>63</v>
      </c>
      <c r="B7" s="24">
        <v>0</v>
      </c>
      <c r="I7" s="5">
        <v>0.7</v>
      </c>
      <c r="L7" s="1">
        <v>4</v>
      </c>
      <c r="M7" s="1">
        <f t="shared" si="0"/>
        <v>25</v>
      </c>
    </row>
    <row r="8" spans="1:13" x14ac:dyDescent="0.25">
      <c r="A8" s="15" t="s">
        <v>64</v>
      </c>
      <c r="B8" s="24">
        <v>0</v>
      </c>
      <c r="L8" s="1">
        <v>5</v>
      </c>
      <c r="M8" s="1">
        <f t="shared" si="0"/>
        <v>25</v>
      </c>
    </row>
    <row r="9" spans="1:13" x14ac:dyDescent="0.25">
      <c r="A9" s="15" t="s">
        <v>65</v>
      </c>
      <c r="B9" s="24">
        <v>0</v>
      </c>
      <c r="I9" s="12" t="s">
        <v>153</v>
      </c>
      <c r="J9" s="12" t="s">
        <v>154</v>
      </c>
      <c r="L9" s="1">
        <v>6</v>
      </c>
      <c r="M9" s="1">
        <f t="shared" si="0"/>
        <v>25</v>
      </c>
    </row>
    <row r="10" spans="1:13" x14ac:dyDescent="0.25">
      <c r="A10" s="15" t="s">
        <v>66</v>
      </c>
      <c r="B10" s="24">
        <v>0</v>
      </c>
      <c r="I10" s="5">
        <v>8</v>
      </c>
      <c r="J10" s="5" t="s">
        <v>155</v>
      </c>
      <c r="L10" s="1">
        <v>7</v>
      </c>
      <c r="M10" s="1">
        <f t="shared" si="0"/>
        <v>25</v>
      </c>
    </row>
    <row r="11" spans="1:13" x14ac:dyDescent="0.25">
      <c r="I11" s="5">
        <f>$I$10*60</f>
        <v>480</v>
      </c>
      <c r="J11" s="5" t="s">
        <v>146</v>
      </c>
      <c r="L11" s="1">
        <v>8</v>
      </c>
      <c r="M11" s="1">
        <f t="shared" si="0"/>
        <v>25</v>
      </c>
    </row>
    <row r="12" spans="1:13" x14ac:dyDescent="0.25">
      <c r="A12" s="25" t="s">
        <v>69</v>
      </c>
      <c r="B12" s="24">
        <v>2</v>
      </c>
      <c r="L12" s="1">
        <v>9</v>
      </c>
      <c r="M12" s="1">
        <f t="shared" si="0"/>
        <v>25</v>
      </c>
    </row>
    <row r="13" spans="1:13" x14ac:dyDescent="0.25">
      <c r="I13" s="12" t="s">
        <v>195</v>
      </c>
      <c r="J13" s="12" t="s">
        <v>196</v>
      </c>
      <c r="L13" s="1">
        <v>10</v>
      </c>
      <c r="M13" s="1">
        <f t="shared" si="0"/>
        <v>25</v>
      </c>
    </row>
    <row r="14" spans="1:13" x14ac:dyDescent="0.25">
      <c r="I14" s="5">
        <f>I11</f>
        <v>480</v>
      </c>
      <c r="J14" s="5">
        <f>ROUND(I14*Timers!F3+Timers!G3,-1)</f>
        <v>100</v>
      </c>
    </row>
    <row r="15" spans="1:13" ht="15.75" x14ac:dyDescent="0.25">
      <c r="A15" s="14" t="s">
        <v>70</v>
      </c>
      <c r="B15" s="14"/>
      <c r="C15" s="14"/>
    </row>
    <row r="17" spans="1:7" x14ac:dyDescent="0.25">
      <c r="A17" s="17" t="s">
        <v>149</v>
      </c>
      <c r="B17" s="17"/>
      <c r="C17" s="17"/>
      <c r="E17" s="17" t="s">
        <v>150</v>
      </c>
      <c r="F17" s="17"/>
      <c r="G17" s="17"/>
    </row>
    <row r="18" spans="1:7" x14ac:dyDescent="0.25">
      <c r="A18" s="17" t="s">
        <v>72</v>
      </c>
      <c r="B18" s="17"/>
      <c r="C18" s="24">
        <v>4</v>
      </c>
    </row>
    <row r="19" spans="1:7" x14ac:dyDescent="0.25">
      <c r="A19" s="2" t="s">
        <v>253</v>
      </c>
      <c r="B19" s="2"/>
    </row>
    <row r="20" spans="1:7" x14ac:dyDescent="0.25">
      <c r="A20" s="1" t="s">
        <v>71</v>
      </c>
      <c r="B20" s="1" t="s">
        <v>73</v>
      </c>
    </row>
    <row r="21" spans="1:7" x14ac:dyDescent="0.25">
      <c r="A21" s="1">
        <v>1</v>
      </c>
      <c r="B21" s="27">
        <f>1/POWER(A21,$C$18)</f>
        <v>1</v>
      </c>
    </row>
    <row r="22" spans="1:7" x14ac:dyDescent="0.25">
      <c r="A22" s="1">
        <v>2</v>
      </c>
      <c r="B22" s="27">
        <f>1/POWER(A22,$C$18)</f>
        <v>6.25E-2</v>
      </c>
      <c r="E22" s="17" t="s">
        <v>72</v>
      </c>
      <c r="F22" s="24">
        <v>1</v>
      </c>
    </row>
    <row r="23" spans="1:7" x14ac:dyDescent="0.25">
      <c r="A23" s="1">
        <v>3</v>
      </c>
      <c r="B23" s="27">
        <f>1/POWER(A23,$C$18)</f>
        <v>1.2345679012345678E-2</v>
      </c>
      <c r="E23" s="1" t="s">
        <v>71</v>
      </c>
      <c r="F23" s="1" t="s">
        <v>73</v>
      </c>
    </row>
    <row r="24" spans="1:7" x14ac:dyDescent="0.25">
      <c r="A24" s="1"/>
      <c r="B24" s="27"/>
      <c r="E24" s="1">
        <v>1</v>
      </c>
      <c r="F24" s="3">
        <f>1/POWER(Table26[[#This Row],[Calculation]],$F$22)</f>
        <v>1</v>
      </c>
    </row>
    <row r="25" spans="1:7" x14ac:dyDescent="0.25">
      <c r="A25" s="1" t="s">
        <v>26</v>
      </c>
      <c r="B25" s="1" t="s">
        <v>74</v>
      </c>
      <c r="E25" s="1">
        <v>2</v>
      </c>
      <c r="F25" s="3">
        <f>1/POWER(Table26[[#This Row],[Calculation]],$F$22)</f>
        <v>0.5</v>
      </c>
    </row>
    <row r="26" spans="1:7" x14ac:dyDescent="0.25">
      <c r="A26" s="1">
        <v>1</v>
      </c>
      <c r="B26" s="26">
        <f>B21/SUM(Table24[Formula])</f>
        <v>0.93036611629576449</v>
      </c>
      <c r="E26" s="1">
        <v>3</v>
      </c>
      <c r="F26" s="3">
        <f>1/POWER(Table26[[#This Row],[Calculation]],$F$22)</f>
        <v>0.33333333333333331</v>
      </c>
    </row>
    <row r="27" spans="1:7" x14ac:dyDescent="0.25">
      <c r="A27" s="1">
        <v>2</v>
      </c>
      <c r="B27" s="26">
        <f>B22/SUM(Table24[Formula])</f>
        <v>5.8147882268485281E-2</v>
      </c>
      <c r="E27" s="1">
        <v>4</v>
      </c>
      <c r="F27" s="3">
        <f>1/POWER(Table26[[#This Row],[Calculation]],$F$22)</f>
        <v>0.25</v>
      </c>
    </row>
    <row r="28" spans="1:7" x14ac:dyDescent="0.25">
      <c r="A28" s="1">
        <v>3</v>
      </c>
      <c r="B28" s="26">
        <f>B23/SUM(Table24[Formula])</f>
        <v>1.1486001435750178E-2</v>
      </c>
      <c r="E28" s="1">
        <v>5</v>
      </c>
      <c r="F28" s="3">
        <f>1/POWER(Table26[[#This Row],[Calculation]],$F$22)</f>
        <v>0.2</v>
      </c>
    </row>
    <row r="30" spans="1:7" ht="60" x14ac:dyDescent="0.25">
      <c r="A30" s="158" t="s">
        <v>356</v>
      </c>
      <c r="B30" s="165" t="str">
        <f>REPT("F",Table56['#])</f>
        <v>FFFFFFFFFFFFFFFFFFFFFFFFFFFFFFFFFFFFFFFFFFFFFFFFFFFFFFFFF</v>
      </c>
      <c r="E30" s="1" t="s">
        <v>209</v>
      </c>
      <c r="F30" s="1" t="s">
        <v>210</v>
      </c>
    </row>
    <row r="31" spans="1:7" x14ac:dyDescent="0.25">
      <c r="A31" s="1"/>
      <c r="B31" s="26"/>
      <c r="E31" s="1">
        <v>1</v>
      </c>
      <c r="F31" s="149">
        <f>F24/SUM(Table26[Formula])</f>
        <v>0.43795620437956206</v>
      </c>
    </row>
    <row r="32" spans="1:7" x14ac:dyDescent="0.25">
      <c r="A32" s="1" t="s">
        <v>357</v>
      </c>
      <c r="B32" s="95">
        <f>LEN(B30)</f>
        <v>57</v>
      </c>
      <c r="E32" s="1">
        <v>2</v>
      </c>
      <c r="F32" s="150">
        <f>F25/SUM(Table26[Formula])</f>
        <v>0.21897810218978103</v>
      </c>
    </row>
    <row r="33" spans="5:6" x14ac:dyDescent="0.25">
      <c r="E33" s="1">
        <v>3</v>
      </c>
      <c r="F33" s="150">
        <f>F26/SUM(Table26[Formula])</f>
        <v>0.145985401459854</v>
      </c>
    </row>
    <row r="34" spans="5:6" x14ac:dyDescent="0.25">
      <c r="E34" s="1">
        <v>4</v>
      </c>
      <c r="F34" s="150">
        <f>F27/SUM(Table26[Formula])</f>
        <v>0.10948905109489052</v>
      </c>
    </row>
    <row r="35" spans="5:6" x14ac:dyDescent="0.25">
      <c r="E35" s="1">
        <v>5</v>
      </c>
      <c r="F35" s="150">
        <f>F28/SUM(Table26[Formula])</f>
        <v>8.7591240875912413E-2</v>
      </c>
    </row>
    <row r="46" spans="5:6" x14ac:dyDescent="0.25">
      <c r="E46" s="227"/>
      <c r="F46" s="228"/>
    </row>
    <row r="47" spans="5:6" x14ac:dyDescent="0.25">
      <c r="E47" s="229"/>
      <c r="F47" s="230"/>
    </row>
    <row r="49" spans="1:7" x14ac:dyDescent="0.25">
      <c r="A49" s="4" t="s">
        <v>496</v>
      </c>
      <c r="B49" s="11">
        <v>0.01</v>
      </c>
      <c r="C49" s="11">
        <v>1.4</v>
      </c>
      <c r="E49" s="4" t="s">
        <v>494</v>
      </c>
      <c r="F49" s="226">
        <v>34</v>
      </c>
    </row>
    <row r="51" spans="1:7" x14ac:dyDescent="0.25">
      <c r="A51" t="s">
        <v>494</v>
      </c>
      <c r="B51" t="s">
        <v>497</v>
      </c>
      <c r="C51" t="s">
        <v>495</v>
      </c>
      <c r="E51" s="17" t="s">
        <v>149</v>
      </c>
      <c r="F51" s="17"/>
      <c r="G51" s="17"/>
    </row>
    <row r="52" spans="1:7" x14ac:dyDescent="0.25">
      <c r="A52">
        <v>1</v>
      </c>
      <c r="B52">
        <f>ROUND(-($B$49*POWER(Table43[[#This Row],[Tries without rares]],$C$49)),2)</f>
        <v>-0.01</v>
      </c>
      <c r="C52">
        <f>$C$18+Table43[[#This Row],[Modifier]]</f>
        <v>3.99</v>
      </c>
      <c r="E52" s="17" t="s">
        <v>72</v>
      </c>
      <c r="F52" s="17"/>
      <c r="G52" s="24">
        <f>$C$18-$B$49*POWER(F49,$C$49)</f>
        <v>2.6066170762065299</v>
      </c>
    </row>
    <row r="53" spans="1:7" x14ac:dyDescent="0.25">
      <c r="A53">
        <v>2</v>
      </c>
      <c r="B53">
        <f>ROUND(-($B$49*POWER(Table43[[#This Row],[Tries without rares]],$C$49)),2)</f>
        <v>-0.03</v>
      </c>
      <c r="C53">
        <f>$C$18+Table43[[#This Row],[Modifier]]</f>
        <v>3.97</v>
      </c>
      <c r="E53" s="2"/>
      <c r="F53" s="2"/>
    </row>
    <row r="54" spans="1:7" x14ac:dyDescent="0.25">
      <c r="A54">
        <v>3</v>
      </c>
      <c r="B54">
        <f>ROUND(-($B$49*POWER(Table43[[#This Row],[Tries without rares]],$C$49)),2)</f>
        <v>-0.05</v>
      </c>
      <c r="C54">
        <f>$C$18+Table43[[#This Row],[Modifier]]</f>
        <v>3.95</v>
      </c>
      <c r="E54" s="1" t="s">
        <v>71</v>
      </c>
      <c r="F54" s="1" t="s">
        <v>507</v>
      </c>
    </row>
    <row r="55" spans="1:7" x14ac:dyDescent="0.25">
      <c r="A55">
        <v>4</v>
      </c>
      <c r="B55">
        <f>ROUND(-($B$49*POWER(Table43[[#This Row],[Tries without rares]],$C$49)),2)</f>
        <v>-7.0000000000000007E-2</v>
      </c>
      <c r="C55">
        <f>$C$18+Table43[[#This Row],[Modifier]]</f>
        <v>3.93</v>
      </c>
      <c r="E55" s="1">
        <v>1</v>
      </c>
      <c r="F55" s="27">
        <f t="shared" ref="F55:F57" si="1">1/POWER(E55,$G$52)</f>
        <v>1</v>
      </c>
    </row>
    <row r="56" spans="1:7" x14ac:dyDescent="0.25">
      <c r="A56">
        <v>5</v>
      </c>
      <c r="B56">
        <f>ROUND(-($B$49*POWER(Table43[[#This Row],[Tries without rares]],$C$49)),2)</f>
        <v>-0.1</v>
      </c>
      <c r="C56">
        <f>$C$18+Table43[[#This Row],[Modifier]]</f>
        <v>3.9</v>
      </c>
      <c r="E56" s="1">
        <v>2</v>
      </c>
      <c r="F56" s="27">
        <f t="shared" si="1"/>
        <v>0.16418371295463272</v>
      </c>
    </row>
    <row r="57" spans="1:7" x14ac:dyDescent="0.25">
      <c r="A57">
        <v>6</v>
      </c>
      <c r="B57">
        <f>ROUND(-($B$49*POWER(Table43[[#This Row],[Tries without rares]],$C$49)),2)</f>
        <v>-0.12</v>
      </c>
      <c r="C57">
        <f>$C$18+Table43[[#This Row],[Modifier]]</f>
        <v>3.88</v>
      </c>
      <c r="E57" s="1">
        <v>3</v>
      </c>
      <c r="F57" s="27">
        <f t="shared" si="1"/>
        <v>5.7059451166701539E-2</v>
      </c>
    </row>
    <row r="58" spans="1:7" x14ac:dyDescent="0.25">
      <c r="A58">
        <v>7</v>
      </c>
      <c r="B58">
        <f>ROUND(-($B$49*POWER(Table43[[#This Row],[Tries without rares]],$C$49)),2)</f>
        <v>-0.15</v>
      </c>
      <c r="C58">
        <f>$C$18+Table43[[#This Row],[Modifier]]</f>
        <v>3.85</v>
      </c>
      <c r="E58" s="1"/>
      <c r="F58" s="27"/>
    </row>
    <row r="59" spans="1:7" x14ac:dyDescent="0.25">
      <c r="A59">
        <v>8</v>
      </c>
      <c r="B59">
        <f>ROUND(-($B$49*POWER(Table43[[#This Row],[Tries without rares]],$C$49)),2)</f>
        <v>-0.18</v>
      </c>
      <c r="C59">
        <f>$C$18+Table43[[#This Row],[Modifier]]</f>
        <v>3.82</v>
      </c>
      <c r="E59" s="1" t="s">
        <v>26</v>
      </c>
      <c r="F59" s="1" t="s">
        <v>74</v>
      </c>
    </row>
    <row r="60" spans="1:7" x14ac:dyDescent="0.25">
      <c r="A60">
        <v>9</v>
      </c>
      <c r="B60">
        <f>ROUND(-($B$49*POWER(Table43[[#This Row],[Tries without rares]],$C$49)),2)</f>
        <v>-0.22</v>
      </c>
      <c r="C60">
        <f>$C$18+Table43[[#This Row],[Modifier]]</f>
        <v>3.78</v>
      </c>
      <c r="E60" s="1" t="s">
        <v>28</v>
      </c>
      <c r="F60" s="26">
        <f>F55/SUM(Table2445[Calculated Weight])</f>
        <v>0.81883774614164151</v>
      </c>
    </row>
    <row r="61" spans="1:7" x14ac:dyDescent="0.25">
      <c r="A61">
        <v>10</v>
      </c>
      <c r="B61">
        <f>ROUND(-($B$49*POWER(Table43[[#This Row],[Tries without rares]],$C$49)),2)</f>
        <v>-0.25</v>
      </c>
      <c r="C61">
        <f>$C$18+Table43[[#This Row],[Modifier]]</f>
        <v>3.75</v>
      </c>
      <c r="E61" s="1" t="s">
        <v>29</v>
      </c>
      <c r="F61" s="26">
        <f>F56/SUM(Table2445[Calculated Weight])</f>
        <v>0.13443982146893768</v>
      </c>
    </row>
    <row r="62" spans="1:7" x14ac:dyDescent="0.25">
      <c r="A62">
        <v>11</v>
      </c>
      <c r="B62">
        <f>ROUND(-($B$49*POWER(Table43[[#This Row],[Tries without rares]],$C$49)),2)</f>
        <v>-0.28999999999999998</v>
      </c>
      <c r="C62">
        <f>$C$18+Table43[[#This Row],[Modifier]]</f>
        <v>3.71</v>
      </c>
      <c r="E62" s="1" t="s">
        <v>30</v>
      </c>
      <c r="F62" s="26">
        <f>F57/SUM(Table2445[Calculated Weight])</f>
        <v>4.6722432389420941E-2</v>
      </c>
    </row>
    <row r="63" spans="1:7" x14ac:dyDescent="0.25">
      <c r="A63">
        <v>12</v>
      </c>
      <c r="B63">
        <f>ROUND(-($B$49*POWER(Table43[[#This Row],[Tries without rares]],$C$49)),2)</f>
        <v>-0.32</v>
      </c>
      <c r="C63">
        <f>$C$18+Table43[[#This Row],[Modifier]]</f>
        <v>3.68</v>
      </c>
    </row>
    <row r="64" spans="1:7" x14ac:dyDescent="0.25">
      <c r="A64">
        <v>13</v>
      </c>
      <c r="B64">
        <f>ROUND(-($B$49*POWER(Table43[[#This Row],[Tries without rares]],$C$49)),2)</f>
        <v>-0.36</v>
      </c>
      <c r="C64">
        <f>$C$18+Table43[[#This Row],[Modifier]]</f>
        <v>3.64</v>
      </c>
    </row>
    <row r="65" spans="1:3" x14ac:dyDescent="0.25">
      <c r="A65">
        <v>14</v>
      </c>
      <c r="B65">
        <f>ROUND(-($B$49*POWER(Table43[[#This Row],[Tries without rares]],$C$49)),2)</f>
        <v>-0.4</v>
      </c>
      <c r="C65">
        <f>$C$18+Table43[[#This Row],[Modifier]]</f>
        <v>3.6</v>
      </c>
    </row>
    <row r="66" spans="1:3" x14ac:dyDescent="0.25">
      <c r="A66">
        <v>15</v>
      </c>
      <c r="B66">
        <f>ROUND(-($B$49*POWER(Table43[[#This Row],[Tries without rares]],$C$49)),2)</f>
        <v>-0.44</v>
      </c>
      <c r="C66">
        <f>$C$18+Table43[[#This Row],[Modifier]]</f>
        <v>3.56</v>
      </c>
    </row>
    <row r="67" spans="1:3" x14ac:dyDescent="0.25">
      <c r="A67">
        <v>16</v>
      </c>
      <c r="B67">
        <f>ROUND(-($B$49*POWER(Table43[[#This Row],[Tries without rares]],$C$49)),2)</f>
        <v>-0.49</v>
      </c>
      <c r="C67">
        <f>$C$18+Table43[[#This Row],[Modifier]]</f>
        <v>3.51</v>
      </c>
    </row>
    <row r="68" spans="1:3" x14ac:dyDescent="0.25">
      <c r="A68">
        <v>17</v>
      </c>
      <c r="B68">
        <f>ROUND(-($B$49*POWER(Table43[[#This Row],[Tries without rares]],$C$49)),2)</f>
        <v>-0.53</v>
      </c>
      <c r="C68">
        <f>$C$18+Table43[[#This Row],[Modifier]]</f>
        <v>3.4699999999999998</v>
      </c>
    </row>
    <row r="69" spans="1:3" x14ac:dyDescent="0.25">
      <c r="A69">
        <v>18</v>
      </c>
      <c r="B69">
        <f>ROUND(-($B$49*POWER(Table43[[#This Row],[Tries without rares]],$C$49)),2)</f>
        <v>-0.56999999999999995</v>
      </c>
      <c r="C69">
        <f>$C$18+Table43[[#This Row],[Modifier]]</f>
        <v>3.43</v>
      </c>
    </row>
    <row r="70" spans="1:3" x14ac:dyDescent="0.25">
      <c r="A70">
        <v>19</v>
      </c>
      <c r="B70">
        <f>ROUND(-($B$49*POWER(Table43[[#This Row],[Tries without rares]],$C$49)),2)</f>
        <v>-0.62</v>
      </c>
      <c r="C70">
        <f>$C$18+Table43[[#This Row],[Modifier]]</f>
        <v>3.38</v>
      </c>
    </row>
    <row r="71" spans="1:3" x14ac:dyDescent="0.25">
      <c r="A71">
        <v>20</v>
      </c>
      <c r="B71">
        <f>ROUND(-($B$49*POWER(Table43[[#This Row],[Tries without rares]],$C$49)),2)</f>
        <v>-0.66</v>
      </c>
      <c r="C71">
        <f>$C$18+Table43[[#This Row],[Modifier]]</f>
        <v>3.34</v>
      </c>
    </row>
    <row r="72" spans="1:3" x14ac:dyDescent="0.25">
      <c r="A72">
        <v>21</v>
      </c>
      <c r="B72">
        <f>ROUND(-($B$49*POWER(Table43[[#This Row],[Tries without rares]],$C$49)),2)</f>
        <v>-0.71</v>
      </c>
      <c r="C72">
        <f>$C$18+Table43[[#This Row],[Modifier]]</f>
        <v>3.29</v>
      </c>
    </row>
    <row r="73" spans="1:3" x14ac:dyDescent="0.25">
      <c r="A73">
        <v>22</v>
      </c>
      <c r="B73">
        <f>ROUND(-($B$49*POWER(Table43[[#This Row],[Tries without rares]],$C$49)),2)</f>
        <v>-0.76</v>
      </c>
      <c r="C73">
        <f>$C$18+Table43[[#This Row],[Modifier]]</f>
        <v>3.24</v>
      </c>
    </row>
    <row r="74" spans="1:3" x14ac:dyDescent="0.25">
      <c r="A74">
        <v>23</v>
      </c>
      <c r="B74">
        <f>ROUND(-($B$49*POWER(Table43[[#This Row],[Tries without rares]],$C$49)),2)</f>
        <v>-0.81</v>
      </c>
      <c r="C74">
        <f>$C$18+Table43[[#This Row],[Modifier]]</f>
        <v>3.19</v>
      </c>
    </row>
    <row r="75" spans="1:3" x14ac:dyDescent="0.25">
      <c r="A75">
        <v>24</v>
      </c>
      <c r="B75">
        <f>ROUND(-($B$49*POWER(Table43[[#This Row],[Tries without rares]],$C$49)),2)</f>
        <v>-0.86</v>
      </c>
      <c r="C75">
        <f>$C$18+Table43[[#This Row],[Modifier]]</f>
        <v>3.14</v>
      </c>
    </row>
    <row r="76" spans="1:3" x14ac:dyDescent="0.25">
      <c r="A76">
        <v>25</v>
      </c>
      <c r="B76">
        <f>ROUND(-($B$49*POWER(Table43[[#This Row],[Tries without rares]],$C$49)),2)</f>
        <v>-0.91</v>
      </c>
      <c r="C76">
        <f>$C$18+Table43[[#This Row],[Modifier]]</f>
        <v>3.09</v>
      </c>
    </row>
    <row r="77" spans="1:3" x14ac:dyDescent="0.25">
      <c r="A77">
        <v>26</v>
      </c>
      <c r="B77">
        <f>ROUND(-($B$49*POWER(Table43[[#This Row],[Tries without rares]],$C$49)),2)</f>
        <v>-0.96</v>
      </c>
      <c r="C77">
        <f>$C$18+Table43[[#This Row],[Modifier]]</f>
        <v>3.04</v>
      </c>
    </row>
    <row r="78" spans="1:3" x14ac:dyDescent="0.25">
      <c r="A78">
        <v>27</v>
      </c>
      <c r="B78">
        <f>ROUND(-($B$49*POWER(Table43[[#This Row],[Tries without rares]],$C$49)),2)</f>
        <v>-1.01</v>
      </c>
      <c r="C78">
        <f>$C$18+Table43[[#This Row],[Modifier]]</f>
        <v>2.99</v>
      </c>
    </row>
    <row r="79" spans="1:3" x14ac:dyDescent="0.25">
      <c r="A79">
        <v>28</v>
      </c>
      <c r="B79">
        <f>ROUND(-($B$49*POWER(Table43[[#This Row],[Tries without rares]],$C$49)),2)</f>
        <v>-1.06</v>
      </c>
      <c r="C79">
        <f>$C$18+Table43[[#This Row],[Modifier]]</f>
        <v>2.94</v>
      </c>
    </row>
    <row r="80" spans="1:3" x14ac:dyDescent="0.25">
      <c r="A80">
        <v>29</v>
      </c>
      <c r="B80">
        <f>ROUND(-($B$49*POWER(Table43[[#This Row],[Tries without rares]],$C$49)),2)</f>
        <v>-1.1200000000000001</v>
      </c>
      <c r="C80">
        <f>$C$18+Table43[[#This Row],[Modifier]]</f>
        <v>2.88</v>
      </c>
    </row>
    <row r="81" spans="1:3" x14ac:dyDescent="0.25">
      <c r="A81">
        <v>30</v>
      </c>
      <c r="B81">
        <f>ROUND(-($B$49*POWER(Table43[[#This Row],[Tries without rares]],$C$49)),2)</f>
        <v>-1.17</v>
      </c>
      <c r="C81">
        <f>$C$18+Table43[[#This Row],[Modifier]]</f>
        <v>2.83</v>
      </c>
    </row>
    <row r="82" spans="1:3" x14ac:dyDescent="0.25">
      <c r="A82">
        <v>31</v>
      </c>
      <c r="B82">
        <f>ROUND(-($B$49*POWER(Table43[[#This Row],[Tries without rares]],$C$49)),2)</f>
        <v>-1.22</v>
      </c>
      <c r="C82">
        <f>$C$18+Table43[[#This Row],[Modifier]]</f>
        <v>2.7800000000000002</v>
      </c>
    </row>
    <row r="83" spans="1:3" x14ac:dyDescent="0.25">
      <c r="A83">
        <v>32</v>
      </c>
      <c r="B83">
        <f>ROUND(-($B$49*POWER(Table43[[#This Row],[Tries without rares]],$C$49)),2)</f>
        <v>-1.28</v>
      </c>
      <c r="C83">
        <f>$C$18+Table43[[#This Row],[Modifier]]</f>
        <v>2.7199999999999998</v>
      </c>
    </row>
    <row r="84" spans="1:3" x14ac:dyDescent="0.25">
      <c r="A84">
        <v>33</v>
      </c>
      <c r="B84">
        <f>ROUND(-($B$49*POWER(Table43[[#This Row],[Tries without rares]],$C$49)),2)</f>
        <v>-1.34</v>
      </c>
      <c r="C84">
        <f>$C$18+Table43[[#This Row],[Modifier]]</f>
        <v>2.66</v>
      </c>
    </row>
    <row r="85" spans="1:3" x14ac:dyDescent="0.25">
      <c r="A85">
        <v>34</v>
      </c>
      <c r="B85">
        <f>ROUND(-($B$49*POWER(Table43[[#This Row],[Tries without rares]],$C$49)),2)</f>
        <v>-1.39</v>
      </c>
      <c r="C85">
        <f>$C$18+Table43[[#This Row],[Modifier]]</f>
        <v>2.6100000000000003</v>
      </c>
    </row>
    <row r="86" spans="1:3" x14ac:dyDescent="0.25">
      <c r="A86">
        <v>35</v>
      </c>
      <c r="B86">
        <f>ROUND(-($B$49*POWER(Table43[[#This Row],[Tries without rares]],$C$49)),2)</f>
        <v>-1.45</v>
      </c>
      <c r="C86">
        <f>$C$18+Table43[[#This Row],[Modifier]]</f>
        <v>2.5499999999999998</v>
      </c>
    </row>
    <row r="87" spans="1:3" x14ac:dyDescent="0.25">
      <c r="A87">
        <v>36</v>
      </c>
      <c r="B87">
        <f>ROUND(-($B$49*POWER(Table43[[#This Row],[Tries without rares]],$C$49)),2)</f>
        <v>-1.51</v>
      </c>
      <c r="C87">
        <f>$C$18+Table43[[#This Row],[Modifier]]</f>
        <v>2.4900000000000002</v>
      </c>
    </row>
    <row r="88" spans="1:3" x14ac:dyDescent="0.25">
      <c r="A88">
        <v>37</v>
      </c>
      <c r="B88">
        <f>ROUND(-($B$49*POWER(Table43[[#This Row],[Tries without rares]],$C$49)),2)</f>
        <v>-1.57</v>
      </c>
      <c r="C88">
        <f>$C$18+Table43[[#This Row],[Modifier]]</f>
        <v>2.4299999999999997</v>
      </c>
    </row>
    <row r="89" spans="1:3" x14ac:dyDescent="0.25">
      <c r="A89">
        <v>38</v>
      </c>
      <c r="B89">
        <f>ROUND(-($B$49*POWER(Table43[[#This Row],[Tries without rares]],$C$49)),2)</f>
        <v>-1.63</v>
      </c>
      <c r="C89">
        <f>$C$18+Table43[[#This Row],[Modifier]]</f>
        <v>2.37</v>
      </c>
    </row>
    <row r="90" spans="1:3" x14ac:dyDescent="0.25">
      <c r="A90">
        <v>39</v>
      </c>
      <c r="B90">
        <f>ROUND(-($B$49*POWER(Table43[[#This Row],[Tries without rares]],$C$49)),2)</f>
        <v>-1.69</v>
      </c>
      <c r="C90">
        <f>$C$18+Table43[[#This Row],[Modifier]]</f>
        <v>2.31</v>
      </c>
    </row>
    <row r="91" spans="1:3" x14ac:dyDescent="0.25">
      <c r="A91">
        <v>40</v>
      </c>
      <c r="B91">
        <f>ROUND(-($B$49*POWER(Table43[[#This Row],[Tries without rares]],$C$49)),2)</f>
        <v>-1.75</v>
      </c>
      <c r="C91">
        <f>$C$18+Table43[[#This Row],[Modifier]]</f>
        <v>2.25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NormalChest">
                <anchor moveWithCells="1" sizeWithCells="1">
                  <from>
                    <xdr:col>4</xdr:col>
                    <xdr:colOff>295275</xdr:colOff>
                    <xdr:row>2</xdr:row>
                    <xdr:rowOff>95250</xdr:rowOff>
                  </from>
                  <to>
                    <xdr:col>6</xdr:col>
                    <xdr:colOff>171450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5" name="Button 6">
              <controlPr defaultSize="0" print="0" autoFill="0" autoPict="0" macro="[0]!Reset">
                <anchor moveWithCells="1" sizeWithCells="1">
                  <from>
                    <xdr:col>2</xdr:col>
                    <xdr:colOff>285750</xdr:colOff>
                    <xdr:row>9</xdr:row>
                    <xdr:rowOff>133350</xdr:rowOff>
                  </from>
                  <to>
                    <xdr:col>3</xdr:col>
                    <xdr:colOff>485775</xdr:colOff>
                    <xdr:row>12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6" name="Scroll Bar 7">
              <controlPr defaultSize="0" autoPict="0">
                <anchor moveWithCells="1">
                  <from>
                    <xdr:col>4</xdr:col>
                    <xdr:colOff>76200</xdr:colOff>
                    <xdr:row>45</xdr:row>
                    <xdr:rowOff>57150</xdr:rowOff>
                  </from>
                  <to>
                    <xdr:col>5</xdr:col>
                    <xdr:colOff>857250</xdr:colOff>
                    <xdr:row>46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8"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>
    <tabColor theme="7"/>
  </sheetPr>
  <dimension ref="A1:E26"/>
  <sheetViews>
    <sheetView topLeftCell="A7" workbookViewId="0">
      <selection activeCell="J23" sqref="J23"/>
    </sheetView>
  </sheetViews>
  <sheetFormatPr defaultRowHeight="15" x14ac:dyDescent="0.25"/>
  <cols>
    <col min="1" max="1" width="25.42578125" bestFit="1" customWidth="1"/>
    <col min="2" max="2" width="13.85546875" bestFit="1" customWidth="1"/>
    <col min="3" max="3" width="19.7109375" bestFit="1" customWidth="1"/>
    <col min="4" max="4" width="14.28515625" bestFit="1" customWidth="1"/>
  </cols>
  <sheetData>
    <row r="1" spans="1:5" ht="18.75" x14ac:dyDescent="0.3">
      <c r="A1" s="7" t="s">
        <v>214</v>
      </c>
      <c r="B1" s="6"/>
      <c r="C1" s="6"/>
      <c r="D1" s="6"/>
      <c r="E1" s="6"/>
    </row>
    <row r="2" spans="1:5" x14ac:dyDescent="0.25">
      <c r="A2" s="2"/>
      <c r="B2" s="2"/>
      <c r="C2" s="2"/>
      <c r="D2" s="2"/>
      <c r="E2" s="2"/>
    </row>
    <row r="3" spans="1:5" x14ac:dyDescent="0.25">
      <c r="A3" s="2"/>
      <c r="B3" s="2"/>
      <c r="C3" s="2"/>
      <c r="D3" s="2"/>
      <c r="E3" s="2"/>
    </row>
    <row r="4" spans="1:5" x14ac:dyDescent="0.25">
      <c r="A4" s="2"/>
      <c r="B4" s="2"/>
      <c r="C4" s="2"/>
      <c r="D4" s="2"/>
      <c r="E4" s="2"/>
    </row>
    <row r="6" spans="1:5" ht="15.75" x14ac:dyDescent="0.25">
      <c r="A6" s="152" t="s">
        <v>215</v>
      </c>
      <c r="B6" s="152"/>
      <c r="C6" s="107"/>
    </row>
    <row r="7" spans="1:5" x14ac:dyDescent="0.25">
      <c r="A7" t="s">
        <v>217</v>
      </c>
      <c r="B7" t="s">
        <v>176</v>
      </c>
    </row>
    <row r="8" spans="1:5" x14ac:dyDescent="0.25">
      <c r="A8" t="s">
        <v>216</v>
      </c>
      <c r="B8">
        <v>0.99</v>
      </c>
    </row>
    <row r="9" spans="1:5" x14ac:dyDescent="0.25">
      <c r="A9" t="s">
        <v>218</v>
      </c>
      <c r="B9">
        <v>40</v>
      </c>
    </row>
    <row r="10" spans="1:5" x14ac:dyDescent="0.25">
      <c r="A10" t="s">
        <v>220</v>
      </c>
      <c r="B10">
        <v>2</v>
      </c>
    </row>
    <row r="11" spans="1:5" x14ac:dyDescent="0.25">
      <c r="A11" t="s">
        <v>226</v>
      </c>
      <c r="B11">
        <v>1.8</v>
      </c>
    </row>
    <row r="13" spans="1:5" ht="15.75" x14ac:dyDescent="0.25">
      <c r="A13" s="107" t="s">
        <v>219</v>
      </c>
      <c r="B13" s="107"/>
      <c r="C13" s="107"/>
    </row>
    <row r="14" spans="1:5" x14ac:dyDescent="0.25">
      <c r="A14" s="1" t="s">
        <v>26</v>
      </c>
      <c r="B14" s="1" t="s">
        <v>210</v>
      </c>
      <c r="C14" s="1" t="s">
        <v>225</v>
      </c>
      <c r="D14" s="1" t="s">
        <v>222</v>
      </c>
    </row>
    <row r="15" spans="1:5" x14ac:dyDescent="0.25">
      <c r="A15" s="1">
        <v>1</v>
      </c>
      <c r="B15" s="26">
        <v>0.93036611629576449</v>
      </c>
      <c r="C15" s="1">
        <f>1/POWER(Table48[[#This Row],[Item]],$B$11)</f>
        <v>1</v>
      </c>
      <c r="D15" s="154">
        <f>ROUND(Table48[[#This Row],[calculation Step]]/SUM(Table48[calculation Step])*$B$9,0)</f>
        <v>28</v>
      </c>
    </row>
    <row r="16" spans="1:5" x14ac:dyDescent="0.25">
      <c r="A16" s="1">
        <v>2</v>
      </c>
      <c r="B16" s="26">
        <v>5.8147882268485281E-2</v>
      </c>
      <c r="C16" s="1">
        <f>1/POWER(Table48[[#This Row],[Item]],$B$11)</f>
        <v>0.28717458874925877</v>
      </c>
      <c r="D16" s="154">
        <f>ROUND(Table48[[#This Row],[calculation Step]]/SUM(Table48[calculation Step])*$B$9,0)</f>
        <v>8</v>
      </c>
    </row>
    <row r="17" spans="1:4" x14ac:dyDescent="0.25">
      <c r="A17" s="1">
        <v>3</v>
      </c>
      <c r="B17" s="26">
        <v>1.1486001435750178E-2</v>
      </c>
      <c r="C17" s="1">
        <f>1/POWER(Table48[[#This Row],[Item]],$B$11)</f>
        <v>0.13841454884616855</v>
      </c>
      <c r="D17" s="154">
        <f>ROUND(Table48[[#This Row],[calculation Step]]/SUM(Table48[calculation Step])*$B$9,0)</f>
        <v>4</v>
      </c>
    </row>
    <row r="19" spans="1:4" ht="15.75" x14ac:dyDescent="0.25">
      <c r="A19" s="152"/>
      <c r="B19" s="152"/>
      <c r="C19" s="107"/>
    </row>
    <row r="20" spans="1:4" x14ac:dyDescent="0.25">
      <c r="A20" s="1" t="s">
        <v>26</v>
      </c>
      <c r="B20" s="1" t="s">
        <v>210</v>
      </c>
      <c r="C20" s="1" t="s">
        <v>221</v>
      </c>
    </row>
    <row r="21" spans="1:4" x14ac:dyDescent="0.25">
      <c r="A21" s="1">
        <v>1</v>
      </c>
      <c r="B21" s="1">
        <f t="shared" ref="B21:B23" si="0">B15*1/D15</f>
        <v>3.3227361296277305E-2</v>
      </c>
      <c r="C21" s="1">
        <f>ROUND(LOG(1-$B$8)/LOG(1-Table50[[#This Row],[Proba]]),0)</f>
        <v>136</v>
      </c>
    </row>
    <row r="22" spans="1:4" x14ac:dyDescent="0.25">
      <c r="A22" s="1">
        <v>2</v>
      </c>
      <c r="B22" s="1">
        <f t="shared" si="0"/>
        <v>7.2684852835606601E-3</v>
      </c>
      <c r="C22" s="1">
        <f>ROUND(LOG(1-$B$8)/LOG(1-Table50[[#This Row],[Proba]]),0)</f>
        <v>631</v>
      </c>
    </row>
    <row r="23" spans="1:4" x14ac:dyDescent="0.25">
      <c r="A23" s="1">
        <v>3</v>
      </c>
      <c r="B23" s="1">
        <f t="shared" si="0"/>
        <v>2.8715003589375445E-3</v>
      </c>
      <c r="C23" s="1">
        <f>ROUND(LOG(1-$B$8)/LOG(1-Table50[[#This Row],[Proba]]),0)</f>
        <v>1601</v>
      </c>
    </row>
    <row r="25" spans="1:4" x14ac:dyDescent="0.25">
      <c r="A25" t="s">
        <v>223</v>
      </c>
      <c r="B25" t="s">
        <v>224</v>
      </c>
    </row>
    <row r="26" spans="1:4" x14ac:dyDescent="0.25">
      <c r="A26">
        <f>SUM(Table50[AVG tries])</f>
        <v>2368</v>
      </c>
      <c r="B26" s="153">
        <f>Table51[SUM]*B10</f>
        <v>4736</v>
      </c>
    </row>
  </sheetData>
  <pageMargins left="0.7" right="0.7" top="0.75" bottom="0.75" header="0.3" footer="0.3"/>
  <pageSetup paperSize="9" orientation="portrait" r:id="rId1"/>
  <drawing r:id="rId2"/>
  <tableParts count="4">
    <tablePart r:id="rId3"/>
    <tablePart r:id="rId4"/>
    <tablePart r:id="rId5"/>
    <tablePart r:id="rId6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>
    <tabColor theme="7"/>
  </sheetPr>
  <dimension ref="A1:H125"/>
  <sheetViews>
    <sheetView workbookViewId="0">
      <selection activeCell="G17" sqref="G17"/>
    </sheetView>
  </sheetViews>
  <sheetFormatPr defaultRowHeight="15" x14ac:dyDescent="0.25"/>
  <cols>
    <col min="1" max="1" width="17.7109375" bestFit="1" customWidth="1"/>
    <col min="2" max="2" width="16.140625" customWidth="1"/>
    <col min="3" max="3" width="30.42578125" bestFit="1" customWidth="1"/>
    <col min="4" max="4" width="20.5703125" customWidth="1"/>
    <col min="5" max="5" width="27.7109375" bestFit="1" customWidth="1"/>
    <col min="6" max="6" width="19.28515625" bestFit="1" customWidth="1"/>
    <col min="7" max="7" width="20" bestFit="1" customWidth="1"/>
    <col min="8" max="8" width="18.42578125" bestFit="1" customWidth="1"/>
    <col min="9" max="9" width="26" bestFit="1" customWidth="1"/>
    <col min="10" max="10" width="15.140625" bestFit="1" customWidth="1"/>
    <col min="11" max="11" width="14.7109375" bestFit="1" customWidth="1"/>
  </cols>
  <sheetData>
    <row r="1" spans="1:5" ht="18.75" x14ac:dyDescent="0.3">
      <c r="A1" s="7" t="s">
        <v>227</v>
      </c>
      <c r="B1" s="6"/>
      <c r="C1" s="6"/>
      <c r="D1" s="6"/>
      <c r="E1" s="6"/>
    </row>
    <row r="3" spans="1:5" x14ac:dyDescent="0.25">
      <c r="A3" t="s">
        <v>217</v>
      </c>
      <c r="B3" t="s">
        <v>176</v>
      </c>
    </row>
    <row r="4" spans="1:5" x14ac:dyDescent="0.25">
      <c r="A4" t="s">
        <v>229</v>
      </c>
      <c r="B4">
        <v>57</v>
      </c>
    </row>
    <row r="6" spans="1:5" x14ac:dyDescent="0.25">
      <c r="A6" s="1" t="s">
        <v>16</v>
      </c>
      <c r="B6" s="1" t="s">
        <v>259</v>
      </c>
    </row>
    <row r="7" spans="1:5" x14ac:dyDescent="0.25">
      <c r="A7" s="1">
        <v>1</v>
      </c>
      <c r="B7" s="1">
        <v>1</v>
      </c>
    </row>
    <row r="8" spans="1:5" x14ac:dyDescent="0.25">
      <c r="A8" s="1">
        <v>2</v>
      </c>
      <c r="B8" s="1">
        <v>2</v>
      </c>
    </row>
    <row r="9" spans="1:5" x14ac:dyDescent="0.25">
      <c r="A9" s="1">
        <v>3</v>
      </c>
      <c r="B9" s="1">
        <v>2</v>
      </c>
    </row>
    <row r="10" spans="1:5" x14ac:dyDescent="0.25">
      <c r="A10" s="1">
        <v>4</v>
      </c>
      <c r="B10" s="1">
        <v>2</v>
      </c>
    </row>
    <row r="11" spans="1:5" x14ac:dyDescent="0.25">
      <c r="A11" s="1">
        <v>5</v>
      </c>
      <c r="B11" s="1">
        <v>3</v>
      </c>
    </row>
    <row r="12" spans="1:5" x14ac:dyDescent="0.25">
      <c r="A12" s="1">
        <v>6</v>
      </c>
      <c r="B12" s="1">
        <v>3</v>
      </c>
    </row>
    <row r="13" spans="1:5" x14ac:dyDescent="0.25">
      <c r="A13" s="1">
        <v>7</v>
      </c>
      <c r="B13" s="1">
        <v>3</v>
      </c>
    </row>
    <row r="14" spans="1:5" x14ac:dyDescent="0.25">
      <c r="A14" s="1">
        <v>8</v>
      </c>
      <c r="B14" s="1">
        <v>4</v>
      </c>
    </row>
    <row r="15" spans="1:5" x14ac:dyDescent="0.25">
      <c r="A15" s="1">
        <v>9</v>
      </c>
      <c r="B15" s="1">
        <v>4</v>
      </c>
    </row>
    <row r="16" spans="1:5" x14ac:dyDescent="0.25">
      <c r="A16" s="1">
        <v>10</v>
      </c>
      <c r="B16" s="1">
        <v>5</v>
      </c>
    </row>
    <row r="17" spans="1:8" x14ac:dyDescent="0.25">
      <c r="A17" s="1"/>
      <c r="B17" s="1"/>
    </row>
    <row r="18" spans="1:8" ht="15.75" x14ac:dyDescent="0.25">
      <c r="A18" s="107" t="s">
        <v>372</v>
      </c>
      <c r="B18" s="107"/>
      <c r="C18" s="107"/>
      <c r="E18" s="182" t="s">
        <v>374</v>
      </c>
    </row>
    <row r="19" spans="1:8" x14ac:dyDescent="0.25">
      <c r="A19" s="267" t="s">
        <v>370</v>
      </c>
      <c r="B19" s="267"/>
      <c r="C19" s="267"/>
      <c r="E19" s="183">
        <v>50</v>
      </c>
    </row>
    <row r="20" spans="1:8" x14ac:dyDescent="0.25">
      <c r="A20" s="268"/>
      <c r="B20" s="268"/>
      <c r="C20" s="268"/>
    </row>
    <row r="21" spans="1:8" x14ac:dyDescent="0.25">
      <c r="A21" s="1"/>
      <c r="B21" s="1"/>
    </row>
    <row r="22" spans="1:8" x14ac:dyDescent="0.25">
      <c r="A22" s="1" t="s">
        <v>230</v>
      </c>
      <c r="B22" s="1" t="s">
        <v>345</v>
      </c>
      <c r="C22" t="s">
        <v>254</v>
      </c>
      <c r="D22" t="s">
        <v>257</v>
      </c>
      <c r="E22" t="s">
        <v>376</v>
      </c>
    </row>
    <row r="23" spans="1:8" x14ac:dyDescent="0.25">
      <c r="A23" s="1">
        <v>38</v>
      </c>
      <c r="B23" s="1" t="s">
        <v>371</v>
      </c>
      <c r="C23" s="1">
        <f>ROUND(AVERAGE(Table65[Bonus SC]),2)</f>
        <v>0.1</v>
      </c>
      <c r="D23" s="1">
        <f>ROUND(AVERAGE(Table65[Bonus Run Duration]),2)</f>
        <v>0.01</v>
      </c>
      <c r="E23" s="1"/>
    </row>
    <row r="24" spans="1:8" x14ac:dyDescent="0.25">
      <c r="A24" s="1">
        <v>39</v>
      </c>
      <c r="B24" s="1" t="s">
        <v>371</v>
      </c>
      <c r="C24" s="1">
        <f>ROUND(AVERAGE(Table65[Bonus SC]),2)</f>
        <v>0.1</v>
      </c>
      <c r="D24" s="1">
        <f>ROUND(AVERAGE(Table65[Bonus Run Duration]),2)</f>
        <v>0.01</v>
      </c>
      <c r="E24" s="1"/>
    </row>
    <row r="25" spans="1:8" x14ac:dyDescent="0.25">
      <c r="A25" s="1">
        <v>40</v>
      </c>
      <c r="B25" s="1" t="s">
        <v>371</v>
      </c>
      <c r="C25" s="1">
        <f>ROUND(AVERAGE(Table65[Bonus SC]),2)</f>
        <v>0.1</v>
      </c>
      <c r="D25" s="1">
        <f>ROUND(AVERAGE(Table65[Bonus Run Duration]),2)</f>
        <v>0.01</v>
      </c>
      <c r="E25" s="1"/>
    </row>
    <row r="27" spans="1:8" ht="15.75" x14ac:dyDescent="0.25">
      <c r="A27" s="107" t="s">
        <v>219</v>
      </c>
      <c r="B27" s="107"/>
      <c r="C27" s="107" t="s">
        <v>228</v>
      </c>
      <c r="D27" s="107">
        <v>1.8</v>
      </c>
    </row>
    <row r="28" spans="1:8" x14ac:dyDescent="0.25">
      <c r="A28" s="1" t="s">
        <v>26</v>
      </c>
      <c r="B28" s="1" t="s">
        <v>210</v>
      </c>
      <c r="C28" s="1" t="s">
        <v>225</v>
      </c>
      <c r="D28" s="1" t="s">
        <v>222</v>
      </c>
      <c r="E28" s="1" t="s">
        <v>258</v>
      </c>
      <c r="F28" s="1" t="s">
        <v>256</v>
      </c>
      <c r="G28" s="1" t="s">
        <v>375</v>
      </c>
      <c r="H28" s="1" t="s">
        <v>373</v>
      </c>
    </row>
    <row r="29" spans="1:8" x14ac:dyDescent="0.25">
      <c r="A29" s="1">
        <v>1</v>
      </c>
      <c r="B29" s="1">
        <v>0.8</v>
      </c>
      <c r="C29" s="1">
        <f>1/POWER(Table4853[[#This Row],[Item]],$D$27)</f>
        <v>1</v>
      </c>
      <c r="D29" s="154">
        <f>ROUND(Table4853[[#This Row],[calculation Step]]/SUM(Table4853[calculation Step])*Table56['#],0)</f>
        <v>40</v>
      </c>
      <c r="E29" s="154">
        <f>Table56['#]-SUM(D29:$D$31)+1</f>
        <v>1</v>
      </c>
      <c r="F29" s="85">
        <f>SUM($D$29:D29)</f>
        <v>40</v>
      </c>
      <c r="G29" s="1">
        <v>0.01</v>
      </c>
      <c r="H29" s="1">
        <f>ROUNDUP(Table4853[[#This Row],[eggPartsGiven%]]*$E$19,0)</f>
        <v>1</v>
      </c>
    </row>
    <row r="30" spans="1:8" x14ac:dyDescent="0.25">
      <c r="A30" s="1">
        <v>2</v>
      </c>
      <c r="B30" s="1">
        <v>0.15</v>
      </c>
      <c r="C30" s="1">
        <f>1/POWER(Table4853[[#This Row],[Item]],$D$27)</f>
        <v>0.28717458874925877</v>
      </c>
      <c r="D30" s="154">
        <f>ROUND(Table4853[[#This Row],[calculation Step]]/SUM(Table4853[calculation Step])*Table56['#],0)</f>
        <v>11</v>
      </c>
      <c r="E30" s="154">
        <f>Table56['#]-SUM(D30:$D$31)+1</f>
        <v>41</v>
      </c>
      <c r="F30" s="85">
        <f>SUM($D$29:D30)</f>
        <v>51</v>
      </c>
      <c r="G30" s="1">
        <v>0.05</v>
      </c>
      <c r="H30" s="1">
        <f>ROUNDUP(Table4853[[#This Row],[eggPartsGiven%]]*$E$19,0)</f>
        <v>3</v>
      </c>
    </row>
    <row r="31" spans="1:8" x14ac:dyDescent="0.25">
      <c r="A31" s="1">
        <v>3</v>
      </c>
      <c r="B31" s="1">
        <v>0.05</v>
      </c>
      <c r="C31" s="1">
        <f>1/POWER(Table4853[[#This Row],[Item]],$D$27)</f>
        <v>0.13841454884616855</v>
      </c>
      <c r="D31" s="154">
        <f>ROUND(Table4853[[#This Row],[calculation Step]]/SUM(Table4853[calculation Step])*Table56['#],0)</f>
        <v>6</v>
      </c>
      <c r="E31" s="154">
        <f>Table56['#]-SUM(D31:$D$31)+1</f>
        <v>52</v>
      </c>
      <c r="F31" s="85">
        <f>SUM($D$29:D31)</f>
        <v>57</v>
      </c>
      <c r="G31" s="1">
        <v>0.1</v>
      </c>
      <c r="H31" s="1">
        <f>ROUNDUP(Table4853[[#This Row],[eggPartsGiven%]]*$E$19,0)</f>
        <v>5</v>
      </c>
    </row>
    <row r="32" spans="1:8" x14ac:dyDescent="0.25">
      <c r="A32" s="1"/>
      <c r="B32" s="1"/>
      <c r="C32" s="1"/>
      <c r="D32" s="154"/>
      <c r="E32" s="154"/>
      <c r="F32" s="85"/>
    </row>
    <row r="33" spans="1:5" x14ac:dyDescent="0.25">
      <c r="A33" s="1"/>
      <c r="B33" s="265" t="s">
        <v>261</v>
      </c>
      <c r="C33" s="266"/>
      <c r="D33" s="265" t="s">
        <v>343</v>
      </c>
      <c r="E33" s="266"/>
    </row>
    <row r="34" spans="1:5" x14ac:dyDescent="0.25">
      <c r="A34" s="1"/>
      <c r="B34" s="74" t="s">
        <v>211</v>
      </c>
      <c r="C34" s="74" t="s">
        <v>212</v>
      </c>
      <c r="D34" s="74" t="s">
        <v>211</v>
      </c>
      <c r="E34" s="74" t="s">
        <v>212</v>
      </c>
    </row>
    <row r="35" spans="1:5" x14ac:dyDescent="0.25">
      <c r="B35" s="75">
        <f t="array" ref="B35:C35">LINEST(D37:D38,A37:A38,TRUE)</f>
        <v>3.1034482758620688E-3</v>
      </c>
      <c r="C35" s="75">
        <v>6.8965517241379309E-3</v>
      </c>
      <c r="D35" s="75">
        <f t="array" ref="D35:E35">LINEST(E37:E38,A37:A38,TRUE)</f>
        <v>1.7241379310344826E-4</v>
      </c>
      <c r="E35" s="75">
        <v>4.827586206896552E-3</v>
      </c>
    </row>
    <row r="36" spans="1:5" x14ac:dyDescent="0.25">
      <c r="A36" s="74" t="s">
        <v>260</v>
      </c>
      <c r="D36" s="74" t="s">
        <v>262</v>
      </c>
      <c r="E36" s="74" t="s">
        <v>263</v>
      </c>
    </row>
    <row r="37" spans="1:5" x14ac:dyDescent="0.25">
      <c r="A37" s="75">
        <f>MIN(Table65[Pet ID])</f>
        <v>1</v>
      </c>
      <c r="D37" s="75">
        <v>0.01</v>
      </c>
      <c r="E37" s="75">
        <v>5.0000000000000001E-3</v>
      </c>
    </row>
    <row r="38" spans="1:5" x14ac:dyDescent="0.25">
      <c r="A38" s="75">
        <f>MAX(Table63[Skin ID])</f>
        <v>30</v>
      </c>
      <c r="D38" s="75">
        <v>0.1</v>
      </c>
      <c r="E38" s="75">
        <v>0.01</v>
      </c>
    </row>
    <row r="39" spans="1:5" x14ac:dyDescent="0.25">
      <c r="A39" s="1" t="s">
        <v>230</v>
      </c>
      <c r="B39" s="1" t="s">
        <v>27</v>
      </c>
      <c r="C39" s="1" t="s">
        <v>345</v>
      </c>
      <c r="D39" s="1" t="s">
        <v>254</v>
      </c>
      <c r="E39" s="1" t="s">
        <v>257</v>
      </c>
    </row>
    <row r="40" spans="1:5" x14ac:dyDescent="0.25">
      <c r="A40" s="1">
        <f>IF(A39="Pet ID",1,IF(A39&gt;=Table56['#],"",A39+1))</f>
        <v>1</v>
      </c>
      <c r="B40" s="1">
        <f>IF(Table65[[#This Row],[Pet ID]]="","",_xlfn.IFNA(IF(Table65[[#This Row],[Pet ID]]=Table56['#],MAX(Table4853[Item]),1+MATCH(Table65[[#This Row],[Pet ID]],Table4853[Last ID],1)),1))</f>
        <v>1</v>
      </c>
      <c r="C40" s="1"/>
      <c r="D40" s="1">
        <f>IFERROR(ROUND($B$35*Table65[[#This Row],[Pet ID]]+$C$35,2),"")</f>
        <v>0.01</v>
      </c>
      <c r="E40" s="1">
        <f>IFERROR(ROUND($D$35*Table65[[#This Row],[Pet ID]]+$E$35,3),"")</f>
        <v>5.0000000000000001E-3</v>
      </c>
    </row>
    <row r="41" spans="1:5" x14ac:dyDescent="0.25">
      <c r="A41" s="1">
        <f>IF(A40="Pet ID",1,IF(A40&gt;=Table56['#],"",A40+1))</f>
        <v>2</v>
      </c>
      <c r="B41" s="1">
        <f>IF(Table65[[#This Row],[Pet ID]]="","",_xlfn.IFNA(IF(Table65[[#This Row],[Pet ID]]=Table56['#],MAX(Table4853[Item]),1+MATCH(Table65[[#This Row],[Pet ID]],Table4853[Last ID],1)),1))</f>
        <v>1</v>
      </c>
      <c r="C41" s="1"/>
      <c r="D41" s="1">
        <f>IFERROR(ROUND($B$35*Table65[[#This Row],[Pet ID]]+$C$35,2),"")</f>
        <v>0.01</v>
      </c>
      <c r="E41" s="1">
        <f>IFERROR(ROUND($D$35*Table65[[#This Row],[Pet ID]]+$E$35,3),"")</f>
        <v>5.0000000000000001E-3</v>
      </c>
    </row>
    <row r="42" spans="1:5" x14ac:dyDescent="0.25">
      <c r="A42" s="1">
        <f>IF(A41="Pet ID",1,IF(A41&gt;=Table56['#],"",A41+1))</f>
        <v>3</v>
      </c>
      <c r="B42" s="1">
        <f>IF(Table65[[#This Row],[Pet ID]]="","",_xlfn.IFNA(IF(Table65[[#This Row],[Pet ID]]=Table56['#],MAX(Table4853[Item]),1+MATCH(Table65[[#This Row],[Pet ID]],Table4853[Last ID],1)),1))</f>
        <v>1</v>
      </c>
      <c r="C42" s="1"/>
      <c r="D42" s="1">
        <f>IFERROR(ROUND($B$35*Table65[[#This Row],[Pet ID]]+$C$35,2),"")</f>
        <v>0.02</v>
      </c>
      <c r="E42" s="1">
        <f>IFERROR(ROUND($D$35*Table65[[#This Row],[Pet ID]]+$E$35,3),"")</f>
        <v>5.0000000000000001E-3</v>
      </c>
    </row>
    <row r="43" spans="1:5" x14ac:dyDescent="0.25">
      <c r="A43" s="1">
        <f>IF(A42="Pet ID",1,IF(A42&gt;=Table56['#],"",A42+1))</f>
        <v>4</v>
      </c>
      <c r="B43" s="1">
        <f>IF(Table65[[#This Row],[Pet ID]]="","",_xlfn.IFNA(IF(Table65[[#This Row],[Pet ID]]=Table56['#],MAX(Table4853[Item]),1+MATCH(Table65[[#This Row],[Pet ID]],Table4853[Last ID],1)),1))</f>
        <v>1</v>
      </c>
      <c r="C43" s="1"/>
      <c r="D43" s="1">
        <f>IFERROR(ROUND($B$35*Table65[[#This Row],[Pet ID]]+$C$35,2),"")</f>
        <v>0.02</v>
      </c>
      <c r="E43" s="1">
        <f>IFERROR(ROUND($D$35*Table65[[#This Row],[Pet ID]]+$E$35,3),"")</f>
        <v>6.0000000000000001E-3</v>
      </c>
    </row>
    <row r="44" spans="1:5" x14ac:dyDescent="0.25">
      <c r="A44" s="1">
        <f>IF(A43="Pet ID",1,IF(A43&gt;=Table56['#],"",A43+1))</f>
        <v>5</v>
      </c>
      <c r="B44" s="1">
        <f>IF(Table65[[#This Row],[Pet ID]]="","",_xlfn.IFNA(IF(Table65[[#This Row],[Pet ID]]=Table56['#],MAX(Table4853[Item]),1+MATCH(Table65[[#This Row],[Pet ID]],Table4853[Last ID],1)),1))</f>
        <v>1</v>
      </c>
      <c r="C44" s="1"/>
      <c r="D44" s="1">
        <f>IFERROR(ROUND($B$35*Table65[[#This Row],[Pet ID]]+$C$35,2),"")</f>
        <v>0.02</v>
      </c>
      <c r="E44" s="1">
        <f>IFERROR(ROUND($D$35*Table65[[#This Row],[Pet ID]]+$E$35,3),"")</f>
        <v>6.0000000000000001E-3</v>
      </c>
    </row>
    <row r="45" spans="1:5" x14ac:dyDescent="0.25">
      <c r="A45" s="1">
        <f>IF(A44="Pet ID",1,IF(A44&gt;=Table56['#],"",A44+1))</f>
        <v>6</v>
      </c>
      <c r="B45" s="1">
        <f>IF(Table65[[#This Row],[Pet ID]]="","",_xlfn.IFNA(IF(Table65[[#This Row],[Pet ID]]=Table56['#],MAX(Table4853[Item]),1+MATCH(Table65[[#This Row],[Pet ID]],Table4853[Last ID],1)),1))</f>
        <v>1</v>
      </c>
      <c r="C45" s="1"/>
      <c r="D45" s="1">
        <f>IFERROR(ROUND($B$35*Table65[[#This Row],[Pet ID]]+$C$35,2),"")</f>
        <v>0.03</v>
      </c>
      <c r="E45" s="1">
        <f>IFERROR(ROUND($D$35*Table65[[#This Row],[Pet ID]]+$E$35,3),"")</f>
        <v>6.0000000000000001E-3</v>
      </c>
    </row>
    <row r="46" spans="1:5" x14ac:dyDescent="0.25">
      <c r="A46" s="1">
        <f>IF(A45="Pet ID",1,IF(A45&gt;=Table56['#],"",A45+1))</f>
        <v>7</v>
      </c>
      <c r="B46" s="1">
        <f>IF(Table65[[#This Row],[Pet ID]]="","",_xlfn.IFNA(IF(Table65[[#This Row],[Pet ID]]=Table56['#],MAX(Table4853[Item]),1+MATCH(Table65[[#This Row],[Pet ID]],Table4853[Last ID],1)),1))</f>
        <v>1</v>
      </c>
      <c r="C46" s="1"/>
      <c r="D46" s="1">
        <f>IFERROR(ROUND($B$35*Table65[[#This Row],[Pet ID]]+$C$35,2),"")</f>
        <v>0.03</v>
      </c>
      <c r="E46" s="1">
        <f>IFERROR(ROUND($D$35*Table65[[#This Row],[Pet ID]]+$E$35,3),"")</f>
        <v>6.0000000000000001E-3</v>
      </c>
    </row>
    <row r="47" spans="1:5" x14ac:dyDescent="0.25">
      <c r="A47" s="1">
        <f>IF(A46="Pet ID",1,IF(A46&gt;=Table56['#],"",A46+1))</f>
        <v>8</v>
      </c>
      <c r="B47" s="1">
        <f>IF(Table65[[#This Row],[Pet ID]]="","",_xlfn.IFNA(IF(Table65[[#This Row],[Pet ID]]=Table56['#],MAX(Table4853[Item]),1+MATCH(Table65[[#This Row],[Pet ID]],Table4853[Last ID],1)),1))</f>
        <v>1</v>
      </c>
      <c r="C47" s="1"/>
      <c r="D47" s="1">
        <f>IFERROR(ROUND($B$35*Table65[[#This Row],[Pet ID]]+$C$35,2),"")</f>
        <v>0.03</v>
      </c>
      <c r="E47" s="1">
        <f>IFERROR(ROUND($D$35*Table65[[#This Row],[Pet ID]]+$E$35,3),"")</f>
        <v>6.0000000000000001E-3</v>
      </c>
    </row>
    <row r="48" spans="1:5" x14ac:dyDescent="0.25">
      <c r="A48" s="1">
        <f>IF(A47="Pet ID",1,IF(A47&gt;=Table56['#],"",A47+1))</f>
        <v>9</v>
      </c>
      <c r="B48" s="1">
        <f>IF(Table65[[#This Row],[Pet ID]]="","",_xlfn.IFNA(IF(Table65[[#This Row],[Pet ID]]=Table56['#],MAX(Table4853[Item]),1+MATCH(Table65[[#This Row],[Pet ID]],Table4853[Last ID],1)),1))</f>
        <v>1</v>
      </c>
      <c r="C48" s="1"/>
      <c r="D48" s="1">
        <f>IFERROR(ROUND($B$35*Table65[[#This Row],[Pet ID]]+$C$35,2),"")</f>
        <v>0.03</v>
      </c>
      <c r="E48" s="1">
        <f>IFERROR(ROUND($D$35*Table65[[#This Row],[Pet ID]]+$E$35,3),"")</f>
        <v>6.0000000000000001E-3</v>
      </c>
    </row>
    <row r="49" spans="1:5" x14ac:dyDescent="0.25">
      <c r="A49" s="1">
        <f>IF(A48="Pet ID",1,IF(A48&gt;=Table56['#],"",A48+1))</f>
        <v>10</v>
      </c>
      <c r="B49" s="1">
        <f>IF(Table65[[#This Row],[Pet ID]]="","",_xlfn.IFNA(IF(Table65[[#This Row],[Pet ID]]=Table56['#],MAX(Table4853[Item]),1+MATCH(Table65[[#This Row],[Pet ID]],Table4853[Last ID],1)),1))</f>
        <v>1</v>
      </c>
      <c r="C49" s="1"/>
      <c r="D49" s="1">
        <f>IFERROR(ROUND($B$35*Table65[[#This Row],[Pet ID]]+$C$35,2),"")</f>
        <v>0.04</v>
      </c>
      <c r="E49" s="1">
        <f>IFERROR(ROUND($D$35*Table65[[#This Row],[Pet ID]]+$E$35,3),"")</f>
        <v>7.0000000000000001E-3</v>
      </c>
    </row>
    <row r="50" spans="1:5" x14ac:dyDescent="0.25">
      <c r="A50" s="1">
        <f>IF(A49="Pet ID",1,IF(A49&gt;=Table56['#],"",A49+1))</f>
        <v>11</v>
      </c>
      <c r="B50" s="1">
        <f>IF(Table65[[#This Row],[Pet ID]]="","",_xlfn.IFNA(IF(Table65[[#This Row],[Pet ID]]=Table56['#],MAX(Table4853[Item]),1+MATCH(Table65[[#This Row],[Pet ID]],Table4853[Last ID],1)),1))</f>
        <v>1</v>
      </c>
      <c r="C50" s="1"/>
      <c r="D50" s="1">
        <f>IFERROR(ROUND($B$35*Table65[[#This Row],[Pet ID]]+$C$35,2),"")</f>
        <v>0.04</v>
      </c>
      <c r="E50" s="1">
        <f>IFERROR(ROUND($D$35*Table65[[#This Row],[Pet ID]]+$E$35,3),"")</f>
        <v>7.0000000000000001E-3</v>
      </c>
    </row>
    <row r="51" spans="1:5" x14ac:dyDescent="0.25">
      <c r="A51" s="1">
        <f>IF(A50="Pet ID",1,IF(A50&gt;=Table56['#],"",A50+1))</f>
        <v>12</v>
      </c>
      <c r="B51" s="1">
        <f>IF(Table65[[#This Row],[Pet ID]]="","",_xlfn.IFNA(IF(Table65[[#This Row],[Pet ID]]=Table56['#],MAX(Table4853[Item]),1+MATCH(Table65[[#This Row],[Pet ID]],Table4853[Last ID],1)),1))</f>
        <v>1</v>
      </c>
      <c r="C51" s="1"/>
      <c r="D51" s="1">
        <f>IFERROR(ROUND($B$35*Table65[[#This Row],[Pet ID]]+$C$35,2),"")</f>
        <v>0.04</v>
      </c>
      <c r="E51" s="1">
        <f>IFERROR(ROUND($D$35*Table65[[#This Row],[Pet ID]]+$E$35,3),"")</f>
        <v>7.0000000000000001E-3</v>
      </c>
    </row>
    <row r="52" spans="1:5" x14ac:dyDescent="0.25">
      <c r="A52" s="1">
        <f>IF(A51="Pet ID",1,IF(A51&gt;=Table56['#],"",A51+1))</f>
        <v>13</v>
      </c>
      <c r="B52" s="1">
        <f>IF(Table65[[#This Row],[Pet ID]]="","",_xlfn.IFNA(IF(Table65[[#This Row],[Pet ID]]=Table56['#],MAX(Table4853[Item]),1+MATCH(Table65[[#This Row],[Pet ID]],Table4853[Last ID],1)),1))</f>
        <v>1</v>
      </c>
      <c r="C52" s="1"/>
      <c r="D52" s="1">
        <f>IFERROR(ROUND($B$35*Table65[[#This Row],[Pet ID]]+$C$35,2),"")</f>
        <v>0.05</v>
      </c>
      <c r="E52" s="1">
        <f>IFERROR(ROUND($D$35*Table65[[#This Row],[Pet ID]]+$E$35,3),"")</f>
        <v>7.0000000000000001E-3</v>
      </c>
    </row>
    <row r="53" spans="1:5" x14ac:dyDescent="0.25">
      <c r="A53" s="1">
        <f>IF(A52="Pet ID",1,IF(A52&gt;=Table56['#],"",A52+1))</f>
        <v>14</v>
      </c>
      <c r="B53" s="1">
        <f>IF(Table65[[#This Row],[Pet ID]]="","",_xlfn.IFNA(IF(Table65[[#This Row],[Pet ID]]=Table56['#],MAX(Table4853[Item]),1+MATCH(Table65[[#This Row],[Pet ID]],Table4853[Last ID],1)),1))</f>
        <v>1</v>
      </c>
      <c r="C53" s="1"/>
      <c r="D53" s="1">
        <f>IFERROR(ROUND($B$35*Table65[[#This Row],[Pet ID]]+$C$35,2),"")</f>
        <v>0.05</v>
      </c>
      <c r="E53" s="1">
        <f>IFERROR(ROUND($D$35*Table65[[#This Row],[Pet ID]]+$E$35,3),"")</f>
        <v>7.0000000000000001E-3</v>
      </c>
    </row>
    <row r="54" spans="1:5" x14ac:dyDescent="0.25">
      <c r="A54" s="1">
        <f>IF(A53="Pet ID",1,IF(A53&gt;=Table56['#],"",A53+1))</f>
        <v>15</v>
      </c>
      <c r="B54" s="1">
        <f>IF(Table65[[#This Row],[Pet ID]]="","",_xlfn.IFNA(IF(Table65[[#This Row],[Pet ID]]=Table56['#],MAX(Table4853[Item]),1+MATCH(Table65[[#This Row],[Pet ID]],Table4853[Last ID],1)),1))</f>
        <v>1</v>
      </c>
      <c r="C54" s="1"/>
      <c r="D54" s="1">
        <f>IFERROR(ROUND($B$35*Table65[[#This Row],[Pet ID]]+$C$35,2),"")</f>
        <v>0.05</v>
      </c>
      <c r="E54" s="1">
        <f>IFERROR(ROUND($D$35*Table65[[#This Row],[Pet ID]]+$E$35,3),"")</f>
        <v>7.0000000000000001E-3</v>
      </c>
    </row>
    <row r="55" spans="1:5" x14ac:dyDescent="0.25">
      <c r="A55" s="1">
        <f>IF(A54="Pet ID",1,IF(A54&gt;=Table56['#],"",A54+1))</f>
        <v>16</v>
      </c>
      <c r="B55" s="1">
        <f>IF(Table65[[#This Row],[Pet ID]]="","",_xlfn.IFNA(IF(Table65[[#This Row],[Pet ID]]=Table56['#],MAX(Table4853[Item]),1+MATCH(Table65[[#This Row],[Pet ID]],Table4853[Last ID],1)),1))</f>
        <v>1</v>
      </c>
      <c r="C55" s="1"/>
      <c r="D55" s="1">
        <f>IFERROR(ROUND($B$35*Table65[[#This Row],[Pet ID]]+$C$35,2),"")</f>
        <v>0.06</v>
      </c>
      <c r="E55" s="1">
        <f>IFERROR(ROUND($D$35*Table65[[#This Row],[Pet ID]]+$E$35,3),"")</f>
        <v>8.0000000000000002E-3</v>
      </c>
    </row>
    <row r="56" spans="1:5" x14ac:dyDescent="0.25">
      <c r="A56" s="1">
        <f>IF(A55="Pet ID",1,IF(A55&gt;=Table56['#],"",A55+1))</f>
        <v>17</v>
      </c>
      <c r="B56" s="1">
        <f>IF(Table65[[#This Row],[Pet ID]]="","",_xlfn.IFNA(IF(Table65[[#This Row],[Pet ID]]=Table56['#],MAX(Table4853[Item]),1+MATCH(Table65[[#This Row],[Pet ID]],Table4853[Last ID],1)),1))</f>
        <v>1</v>
      </c>
      <c r="C56" s="1"/>
      <c r="D56" s="1">
        <f>IFERROR(ROUND($B$35*Table65[[#This Row],[Pet ID]]+$C$35,2),"")</f>
        <v>0.06</v>
      </c>
      <c r="E56" s="1">
        <f>IFERROR(ROUND($D$35*Table65[[#This Row],[Pet ID]]+$E$35,3),"")</f>
        <v>8.0000000000000002E-3</v>
      </c>
    </row>
    <row r="57" spans="1:5" x14ac:dyDescent="0.25">
      <c r="A57" s="1">
        <f>IF(A56="Pet ID",1,IF(A56&gt;=Table56['#],"",A56+1))</f>
        <v>18</v>
      </c>
      <c r="B57" s="1">
        <f>IF(Table65[[#This Row],[Pet ID]]="","",_xlfn.IFNA(IF(Table65[[#This Row],[Pet ID]]=Table56['#],MAX(Table4853[Item]),1+MATCH(Table65[[#This Row],[Pet ID]],Table4853[Last ID],1)),1))</f>
        <v>1</v>
      </c>
      <c r="C57" s="1"/>
      <c r="D57" s="1">
        <f>IFERROR(ROUND($B$35*Table65[[#This Row],[Pet ID]]+$C$35,2),"")</f>
        <v>0.06</v>
      </c>
      <c r="E57" s="1">
        <f>IFERROR(ROUND($D$35*Table65[[#This Row],[Pet ID]]+$E$35,3),"")</f>
        <v>8.0000000000000002E-3</v>
      </c>
    </row>
    <row r="58" spans="1:5" x14ac:dyDescent="0.25">
      <c r="A58" s="1">
        <f>IF(A57="Pet ID",1,IF(A57&gt;=Table56['#],"",A57+1))</f>
        <v>19</v>
      </c>
      <c r="B58" s="1">
        <f>IF(Table65[[#This Row],[Pet ID]]="","",_xlfn.IFNA(IF(Table65[[#This Row],[Pet ID]]=Table56['#],MAX(Table4853[Item]),1+MATCH(Table65[[#This Row],[Pet ID]],Table4853[Last ID],1)),1))</f>
        <v>1</v>
      </c>
      <c r="C58" s="1"/>
      <c r="D58" s="1">
        <f>IFERROR(ROUND($B$35*Table65[[#This Row],[Pet ID]]+$C$35,2),"")</f>
        <v>7.0000000000000007E-2</v>
      </c>
      <c r="E58" s="1">
        <f>IFERROR(ROUND($D$35*Table65[[#This Row],[Pet ID]]+$E$35,3),"")</f>
        <v>8.0000000000000002E-3</v>
      </c>
    </row>
    <row r="59" spans="1:5" x14ac:dyDescent="0.25">
      <c r="A59" s="1">
        <f>IF(A58="Pet ID",1,IF(A58&gt;=Table56['#],"",A58+1))</f>
        <v>20</v>
      </c>
      <c r="B59" s="1">
        <f>IF(Table65[[#This Row],[Pet ID]]="","",_xlfn.IFNA(IF(Table65[[#This Row],[Pet ID]]=Table56['#],MAX(Table4853[Item]),1+MATCH(Table65[[#This Row],[Pet ID]],Table4853[Last ID],1)),1))</f>
        <v>1</v>
      </c>
      <c r="C59" s="1"/>
      <c r="D59" s="1">
        <f>IFERROR(ROUND($B$35*Table65[[#This Row],[Pet ID]]+$C$35,2),"")</f>
        <v>7.0000000000000007E-2</v>
      </c>
      <c r="E59" s="1">
        <f>IFERROR(ROUND($D$35*Table65[[#This Row],[Pet ID]]+$E$35,3),"")</f>
        <v>8.0000000000000002E-3</v>
      </c>
    </row>
    <row r="60" spans="1:5" x14ac:dyDescent="0.25">
      <c r="A60" s="1">
        <f>IF(A59="Pet ID",1,IF(A59&gt;=Table56['#],"",A59+1))</f>
        <v>21</v>
      </c>
      <c r="B60" s="1">
        <f>IF(Table65[[#This Row],[Pet ID]]="","",_xlfn.IFNA(IF(Table65[[#This Row],[Pet ID]]=Table56['#],MAX(Table4853[Item]),1+MATCH(Table65[[#This Row],[Pet ID]],Table4853[Last ID],1)),1))</f>
        <v>1</v>
      </c>
      <c r="C60" s="1"/>
      <c r="D60" s="1">
        <f>IFERROR(ROUND($B$35*Table65[[#This Row],[Pet ID]]+$C$35,2),"")</f>
        <v>7.0000000000000007E-2</v>
      </c>
      <c r="E60" s="1">
        <f>IFERROR(ROUND($D$35*Table65[[#This Row],[Pet ID]]+$E$35,3),"")</f>
        <v>8.0000000000000002E-3</v>
      </c>
    </row>
    <row r="61" spans="1:5" x14ac:dyDescent="0.25">
      <c r="A61" s="1">
        <f>IF(A60="Pet ID",1,IF(A60&gt;=Table56['#],"",A60+1))</f>
        <v>22</v>
      </c>
      <c r="B61" s="1">
        <f>IF(Table65[[#This Row],[Pet ID]]="","",_xlfn.IFNA(IF(Table65[[#This Row],[Pet ID]]=Table56['#],MAX(Table4853[Item]),1+MATCH(Table65[[#This Row],[Pet ID]],Table4853[Last ID],1)),1))</f>
        <v>1</v>
      </c>
      <c r="C61" s="1"/>
      <c r="D61" s="1">
        <f>IFERROR(ROUND($B$35*Table65[[#This Row],[Pet ID]]+$C$35,2),"")</f>
        <v>0.08</v>
      </c>
      <c r="E61" s="1">
        <f>IFERROR(ROUND($D$35*Table65[[#This Row],[Pet ID]]+$E$35,3),"")</f>
        <v>8.9999999999999993E-3</v>
      </c>
    </row>
    <row r="62" spans="1:5" x14ac:dyDescent="0.25">
      <c r="A62" s="1">
        <f>IF(A61="Pet ID",1,IF(A61&gt;=Table56['#],"",A61+1))</f>
        <v>23</v>
      </c>
      <c r="B62" s="1">
        <f>IF(Table65[[#This Row],[Pet ID]]="","",_xlfn.IFNA(IF(Table65[[#This Row],[Pet ID]]=Table56['#],MAX(Table4853[Item]),1+MATCH(Table65[[#This Row],[Pet ID]],Table4853[Last ID],1)),1))</f>
        <v>1</v>
      </c>
      <c r="C62" s="1"/>
      <c r="D62" s="1">
        <f>IFERROR(ROUND($B$35*Table65[[#This Row],[Pet ID]]+$C$35,2),"")</f>
        <v>0.08</v>
      </c>
      <c r="E62" s="1">
        <f>IFERROR(ROUND($D$35*Table65[[#This Row],[Pet ID]]+$E$35,3),"")</f>
        <v>8.9999999999999993E-3</v>
      </c>
    </row>
    <row r="63" spans="1:5" x14ac:dyDescent="0.25">
      <c r="A63" s="1">
        <f>IF(A62="Pet ID",1,IF(A62&gt;=Table56['#],"",A62+1))</f>
        <v>24</v>
      </c>
      <c r="B63" s="1">
        <f>IF(Table65[[#This Row],[Pet ID]]="","",_xlfn.IFNA(IF(Table65[[#This Row],[Pet ID]]=Table56['#],MAX(Table4853[Item]),1+MATCH(Table65[[#This Row],[Pet ID]],Table4853[Last ID],1)),1))</f>
        <v>1</v>
      </c>
      <c r="C63" s="1"/>
      <c r="D63" s="1">
        <f>IFERROR(ROUND($B$35*Table65[[#This Row],[Pet ID]]+$C$35,2),"")</f>
        <v>0.08</v>
      </c>
      <c r="E63" s="1">
        <f>IFERROR(ROUND($D$35*Table65[[#This Row],[Pet ID]]+$E$35,3),"")</f>
        <v>8.9999999999999993E-3</v>
      </c>
    </row>
    <row r="64" spans="1:5" x14ac:dyDescent="0.25">
      <c r="A64" s="1">
        <f>IF(A63="Pet ID",1,IF(A63&gt;=Table56['#],"",A63+1))</f>
        <v>25</v>
      </c>
      <c r="B64" s="1">
        <f>IF(Table65[[#This Row],[Pet ID]]="","",_xlfn.IFNA(IF(Table65[[#This Row],[Pet ID]]=Table56['#],MAX(Table4853[Item]),1+MATCH(Table65[[#This Row],[Pet ID]],Table4853[Last ID],1)),1))</f>
        <v>1</v>
      </c>
      <c r="C64" s="1"/>
      <c r="D64" s="1">
        <f>IFERROR(ROUND($B$35*Table65[[#This Row],[Pet ID]]+$C$35,2),"")</f>
        <v>0.08</v>
      </c>
      <c r="E64" s="1">
        <f>IFERROR(ROUND($D$35*Table65[[#This Row],[Pet ID]]+$E$35,3),"")</f>
        <v>8.9999999999999993E-3</v>
      </c>
    </row>
    <row r="65" spans="1:5" x14ac:dyDescent="0.25">
      <c r="A65" s="1">
        <f>IF(A64="Pet ID",1,IF(A64&gt;=Table56['#],"",A64+1))</f>
        <v>26</v>
      </c>
      <c r="B65" s="1">
        <f>IF(Table65[[#This Row],[Pet ID]]="","",_xlfn.IFNA(IF(Table65[[#This Row],[Pet ID]]=Table56['#],MAX(Table4853[Item]),1+MATCH(Table65[[#This Row],[Pet ID]],Table4853[Last ID],1)),1))</f>
        <v>1</v>
      </c>
      <c r="C65" s="1"/>
      <c r="D65" s="1">
        <f>IFERROR(ROUND($B$35*Table65[[#This Row],[Pet ID]]+$C$35,2),"")</f>
        <v>0.09</v>
      </c>
      <c r="E65" s="1">
        <f>IFERROR(ROUND($D$35*Table65[[#This Row],[Pet ID]]+$E$35,3),"")</f>
        <v>8.9999999999999993E-3</v>
      </c>
    </row>
    <row r="66" spans="1:5" x14ac:dyDescent="0.25">
      <c r="A66" s="1">
        <f>IF(A65="Pet ID",1,IF(A65&gt;=Table56['#],"",A65+1))</f>
        <v>27</v>
      </c>
      <c r="B66" s="1">
        <f>IF(Table65[[#This Row],[Pet ID]]="","",_xlfn.IFNA(IF(Table65[[#This Row],[Pet ID]]=Table56['#],MAX(Table4853[Item]),1+MATCH(Table65[[#This Row],[Pet ID]],Table4853[Last ID],1)),1))</f>
        <v>1</v>
      </c>
      <c r="C66" s="1"/>
      <c r="D66" s="1">
        <f>IFERROR(ROUND($B$35*Table65[[#This Row],[Pet ID]]+$C$35,2),"")</f>
        <v>0.09</v>
      </c>
      <c r="E66" s="1">
        <f>IFERROR(ROUND($D$35*Table65[[#This Row],[Pet ID]]+$E$35,3),"")</f>
        <v>8.9999999999999993E-3</v>
      </c>
    </row>
    <row r="67" spans="1:5" x14ac:dyDescent="0.25">
      <c r="A67" s="1">
        <f>IF(A66="Pet ID",1,IF(A66&gt;=Table56['#],"",A66+1))</f>
        <v>28</v>
      </c>
      <c r="B67" s="1">
        <f>IF(Table65[[#This Row],[Pet ID]]="","",_xlfn.IFNA(IF(Table65[[#This Row],[Pet ID]]=Table56['#],MAX(Table4853[Item]),1+MATCH(Table65[[#This Row],[Pet ID]],Table4853[Last ID],1)),1))</f>
        <v>1</v>
      </c>
      <c r="C67" s="1"/>
      <c r="D67" s="1">
        <f>IFERROR(ROUND($B$35*Table65[[#This Row],[Pet ID]]+$C$35,2),"")</f>
        <v>0.09</v>
      </c>
      <c r="E67" s="1">
        <f>IFERROR(ROUND($D$35*Table65[[#This Row],[Pet ID]]+$E$35,3),"")</f>
        <v>0.01</v>
      </c>
    </row>
    <row r="68" spans="1:5" x14ac:dyDescent="0.25">
      <c r="A68" s="1">
        <f>IF(A67="Pet ID",1,IF(A67&gt;=Table56['#],"",A67+1))</f>
        <v>29</v>
      </c>
      <c r="B68" s="1">
        <f>IF(Table65[[#This Row],[Pet ID]]="","",_xlfn.IFNA(IF(Table65[[#This Row],[Pet ID]]=Table56['#],MAX(Table4853[Item]),1+MATCH(Table65[[#This Row],[Pet ID]],Table4853[Last ID],1)),1))</f>
        <v>1</v>
      </c>
      <c r="C68" s="1"/>
      <c r="D68" s="1">
        <f>IFERROR(ROUND($B$35*Table65[[#This Row],[Pet ID]]+$C$35,2),"")</f>
        <v>0.1</v>
      </c>
      <c r="E68" s="1">
        <f>IFERROR(ROUND($D$35*Table65[[#This Row],[Pet ID]]+$E$35,3),"")</f>
        <v>0.01</v>
      </c>
    </row>
    <row r="69" spans="1:5" x14ac:dyDescent="0.25">
      <c r="A69" s="1">
        <f>IF(A68="Pet ID",1,IF(A68&gt;=Table56['#],"",A68+1))</f>
        <v>30</v>
      </c>
      <c r="B69" s="1">
        <f>IF(Table65[[#This Row],[Pet ID]]="","",_xlfn.IFNA(IF(Table65[[#This Row],[Pet ID]]=Table56['#],MAX(Table4853[Item]),1+MATCH(Table65[[#This Row],[Pet ID]],Table4853[Last ID],1)),1))</f>
        <v>1</v>
      </c>
      <c r="C69" s="1"/>
      <c r="D69" s="1">
        <f>IFERROR(ROUND($B$35*Table65[[#This Row],[Pet ID]]+$C$35,2),"")</f>
        <v>0.1</v>
      </c>
      <c r="E69" s="1">
        <f>IFERROR(ROUND($D$35*Table65[[#This Row],[Pet ID]]+$E$35,3),"")</f>
        <v>0.01</v>
      </c>
    </row>
    <row r="70" spans="1:5" x14ac:dyDescent="0.25">
      <c r="A70" s="1">
        <f>IF(A69="Pet ID",1,IF(A69&gt;=Table56['#],"",A69+1))</f>
        <v>31</v>
      </c>
      <c r="B70" s="1">
        <f>IF(Table65[[#This Row],[Pet ID]]="","",_xlfn.IFNA(IF(Table65[[#This Row],[Pet ID]]=Table56['#],MAX(Table4853[Item]),1+MATCH(Table65[[#This Row],[Pet ID]],Table4853[Last ID],1)),1))</f>
        <v>1</v>
      </c>
      <c r="C70" s="1"/>
      <c r="D70" s="1">
        <f>IFERROR(ROUND($B$35*Table65[[#This Row],[Pet ID]]+$C$35,2),"")</f>
        <v>0.1</v>
      </c>
      <c r="E70" s="1">
        <f>IFERROR(ROUND($D$35*Table65[[#This Row],[Pet ID]]+$E$35,3),"")</f>
        <v>0.01</v>
      </c>
    </row>
    <row r="71" spans="1:5" x14ac:dyDescent="0.25">
      <c r="A71" s="1">
        <f>IF(A70="Pet ID",1,IF(A70&gt;=Table56['#],"",A70+1))</f>
        <v>32</v>
      </c>
      <c r="B71" s="1">
        <f>IF(Table65[[#This Row],[Pet ID]]="","",_xlfn.IFNA(IF(Table65[[#This Row],[Pet ID]]=Table56['#],MAX(Table4853[Item]),1+MATCH(Table65[[#This Row],[Pet ID]],Table4853[Last ID],1)),1))</f>
        <v>1</v>
      </c>
      <c r="C71" s="1"/>
      <c r="D71" s="1">
        <f>IFERROR(ROUND($B$35*Table65[[#This Row],[Pet ID]]+$C$35,2),"")</f>
        <v>0.11</v>
      </c>
      <c r="E71" s="1">
        <f>IFERROR(ROUND($D$35*Table65[[#This Row],[Pet ID]]+$E$35,3),"")</f>
        <v>0.01</v>
      </c>
    </row>
    <row r="72" spans="1:5" x14ac:dyDescent="0.25">
      <c r="A72" s="1">
        <f>IF(A71="Pet ID",1,IF(A71&gt;=Table56['#],"",A71+1))</f>
        <v>33</v>
      </c>
      <c r="B72" s="1">
        <f>IF(Table65[[#This Row],[Pet ID]]="","",_xlfn.IFNA(IF(Table65[[#This Row],[Pet ID]]=Table56['#],MAX(Table4853[Item]),1+MATCH(Table65[[#This Row],[Pet ID]],Table4853[Last ID],1)),1))</f>
        <v>1</v>
      </c>
      <c r="C72" s="1"/>
      <c r="D72" s="1">
        <f>IFERROR(ROUND($B$35*Table65[[#This Row],[Pet ID]]+$C$35,2),"")</f>
        <v>0.11</v>
      </c>
      <c r="E72" s="1">
        <f>IFERROR(ROUND($D$35*Table65[[#This Row],[Pet ID]]+$E$35,3),"")</f>
        <v>1.0999999999999999E-2</v>
      </c>
    </row>
    <row r="73" spans="1:5" x14ac:dyDescent="0.25">
      <c r="A73" s="1">
        <f>IF(A72="Pet ID",1,IF(A72&gt;=Table56['#],"",A72+1))</f>
        <v>34</v>
      </c>
      <c r="B73" s="1">
        <f>IF(Table65[[#This Row],[Pet ID]]="","",_xlfn.IFNA(IF(Table65[[#This Row],[Pet ID]]=Table56['#],MAX(Table4853[Item]),1+MATCH(Table65[[#This Row],[Pet ID]],Table4853[Last ID],1)),1))</f>
        <v>1</v>
      </c>
      <c r="C73" s="1"/>
      <c r="D73" s="1">
        <f>IFERROR(ROUND($B$35*Table65[[#This Row],[Pet ID]]+$C$35,2),"")</f>
        <v>0.11</v>
      </c>
      <c r="E73" s="1">
        <f>IFERROR(ROUND($D$35*Table65[[#This Row],[Pet ID]]+$E$35,3),"")</f>
        <v>1.0999999999999999E-2</v>
      </c>
    </row>
    <row r="74" spans="1:5" x14ac:dyDescent="0.25">
      <c r="A74" s="1">
        <f>IF(A73="Pet ID",1,IF(A73&gt;=Table56['#],"",A73+1))</f>
        <v>35</v>
      </c>
      <c r="B74" s="1">
        <f>IF(Table65[[#This Row],[Pet ID]]="","",_xlfn.IFNA(IF(Table65[[#This Row],[Pet ID]]=Table56['#],MAX(Table4853[Item]),1+MATCH(Table65[[#This Row],[Pet ID]],Table4853[Last ID],1)),1))</f>
        <v>1</v>
      </c>
      <c r="C74" s="1"/>
      <c r="D74" s="1">
        <f>IFERROR(ROUND($B$35*Table65[[#This Row],[Pet ID]]+$C$35,2),"")</f>
        <v>0.12</v>
      </c>
      <c r="E74" s="1">
        <f>IFERROR(ROUND($D$35*Table65[[#This Row],[Pet ID]]+$E$35,3),"")</f>
        <v>1.0999999999999999E-2</v>
      </c>
    </row>
    <row r="75" spans="1:5" x14ac:dyDescent="0.25">
      <c r="A75" s="1">
        <f>IF(A74="Pet ID",1,IF(A74&gt;=Table56['#],"",A74+1))</f>
        <v>36</v>
      </c>
      <c r="B75" s="1">
        <f>IF(Table65[[#This Row],[Pet ID]]="","",_xlfn.IFNA(IF(Table65[[#This Row],[Pet ID]]=Table56['#],MAX(Table4853[Item]),1+MATCH(Table65[[#This Row],[Pet ID]],Table4853[Last ID],1)),1))</f>
        <v>1</v>
      </c>
      <c r="C75" s="1"/>
      <c r="D75" s="1">
        <f>IFERROR(ROUND($B$35*Table65[[#This Row],[Pet ID]]+$C$35,2),"")</f>
        <v>0.12</v>
      </c>
      <c r="E75" s="1">
        <f>IFERROR(ROUND($D$35*Table65[[#This Row],[Pet ID]]+$E$35,3),"")</f>
        <v>1.0999999999999999E-2</v>
      </c>
    </row>
    <row r="76" spans="1:5" x14ac:dyDescent="0.25">
      <c r="A76" s="1">
        <f>IF(A75="Pet ID",1,IF(A75&gt;=Table56['#],"",A75+1))</f>
        <v>37</v>
      </c>
      <c r="B76" s="1">
        <f>IF(Table65[[#This Row],[Pet ID]]="","",_xlfn.IFNA(IF(Table65[[#This Row],[Pet ID]]=Table56['#],MAX(Table4853[Item]),1+MATCH(Table65[[#This Row],[Pet ID]],Table4853[Last ID],1)),1))</f>
        <v>1</v>
      </c>
      <c r="C76" s="1"/>
      <c r="D76" s="1">
        <f>IFERROR(ROUND($B$35*Table65[[#This Row],[Pet ID]]+$C$35,2),"")</f>
        <v>0.12</v>
      </c>
      <c r="E76" s="1">
        <f>IFERROR(ROUND($D$35*Table65[[#This Row],[Pet ID]]+$E$35,3),"")</f>
        <v>1.0999999999999999E-2</v>
      </c>
    </row>
    <row r="77" spans="1:5" x14ac:dyDescent="0.25">
      <c r="A77" s="1">
        <f>IF(A76="Pet ID",1,IF(A76&gt;=Table56['#],"",A76+1))</f>
        <v>38</v>
      </c>
      <c r="B77" s="1">
        <f>IF(Table65[[#This Row],[Pet ID]]="","",_xlfn.IFNA(IF(Table65[[#This Row],[Pet ID]]=Table56['#],MAX(Table4853[Item]),1+MATCH(Table65[[#This Row],[Pet ID]],Table4853[Last ID],1)),1))</f>
        <v>1</v>
      </c>
      <c r="C77" s="1"/>
      <c r="D77" s="1">
        <f>IFERROR(ROUND($B$35*Table65[[#This Row],[Pet ID]]+$C$35,2),"")</f>
        <v>0.12</v>
      </c>
      <c r="E77" s="1">
        <f>IFERROR(ROUND($D$35*Table65[[#This Row],[Pet ID]]+$E$35,3),"")</f>
        <v>1.0999999999999999E-2</v>
      </c>
    </row>
    <row r="78" spans="1:5" x14ac:dyDescent="0.25">
      <c r="A78" s="1">
        <f>IF(A77="Pet ID",1,IF(A77&gt;=Table56['#],"",A77+1))</f>
        <v>39</v>
      </c>
      <c r="B78" s="1">
        <f>IF(Table65[[#This Row],[Pet ID]]="","",_xlfn.IFNA(IF(Table65[[#This Row],[Pet ID]]=Table56['#],MAX(Table4853[Item]),1+MATCH(Table65[[#This Row],[Pet ID]],Table4853[Last ID],1)),1))</f>
        <v>1</v>
      </c>
      <c r="C78" s="1"/>
      <c r="D78" s="1">
        <f>IFERROR(ROUND($B$35*Table65[[#This Row],[Pet ID]]+$C$35,2),"")</f>
        <v>0.13</v>
      </c>
      <c r="E78" s="1">
        <f>IFERROR(ROUND($D$35*Table65[[#This Row],[Pet ID]]+$E$35,3),"")</f>
        <v>1.2E-2</v>
      </c>
    </row>
    <row r="79" spans="1:5" x14ac:dyDescent="0.25">
      <c r="A79" s="1">
        <f>IF(A78="Pet ID",1,IF(A78&gt;=Table56['#],"",A78+1))</f>
        <v>40</v>
      </c>
      <c r="B79" s="1">
        <f>IF(Table65[[#This Row],[Pet ID]]="","",_xlfn.IFNA(IF(Table65[[#This Row],[Pet ID]]=Table56['#],MAX(Table4853[Item]),1+MATCH(Table65[[#This Row],[Pet ID]],Table4853[Last ID],1)),1))</f>
        <v>2</v>
      </c>
      <c r="C79" s="1"/>
      <c r="D79" s="1">
        <f>IFERROR(ROUND($B$35*Table65[[#This Row],[Pet ID]]+$C$35,2),"")</f>
        <v>0.13</v>
      </c>
      <c r="E79" s="1">
        <f>IFERROR(ROUND($D$35*Table65[[#This Row],[Pet ID]]+$E$35,3),"")</f>
        <v>1.2E-2</v>
      </c>
    </row>
    <row r="80" spans="1:5" x14ac:dyDescent="0.25">
      <c r="A80" s="1">
        <f>IF(A79="Pet ID",1,IF(A79&gt;=Table56['#],"",A79+1))</f>
        <v>41</v>
      </c>
      <c r="B80" s="1">
        <f>IF(Table65[[#This Row],[Pet ID]]="","",_xlfn.IFNA(IF(Table65[[#This Row],[Pet ID]]=Table56['#],MAX(Table4853[Item]),1+MATCH(Table65[[#This Row],[Pet ID]],Table4853[Last ID],1)),1))</f>
        <v>2</v>
      </c>
      <c r="C80" s="1"/>
      <c r="D80" s="1">
        <f>IFERROR(ROUND($B$35*Table65[[#This Row],[Pet ID]]+$C$35,2),"")</f>
        <v>0.13</v>
      </c>
      <c r="E80" s="1">
        <f>IFERROR(ROUND($D$35*Table65[[#This Row],[Pet ID]]+$E$35,3),"")</f>
        <v>1.2E-2</v>
      </c>
    </row>
    <row r="81" spans="1:5" x14ac:dyDescent="0.25">
      <c r="A81" s="1">
        <f>IF(A80="Pet ID",1,IF(A80&gt;=Table56['#],"",A80+1))</f>
        <v>42</v>
      </c>
      <c r="B81" s="1">
        <f>IF(Table65[[#This Row],[Pet ID]]="","",_xlfn.IFNA(IF(Table65[[#This Row],[Pet ID]]=Table56['#],MAX(Table4853[Item]),1+MATCH(Table65[[#This Row],[Pet ID]],Table4853[Last ID],1)),1))</f>
        <v>2</v>
      </c>
      <c r="C81" s="1"/>
      <c r="D81" s="1">
        <f>IFERROR(ROUND($B$35*Table65[[#This Row],[Pet ID]]+$C$35,2),"")</f>
        <v>0.14000000000000001</v>
      </c>
      <c r="E81" s="1">
        <f>IFERROR(ROUND($D$35*Table65[[#This Row],[Pet ID]]+$E$35,3),"")</f>
        <v>1.2E-2</v>
      </c>
    </row>
    <row r="82" spans="1:5" x14ac:dyDescent="0.25">
      <c r="A82" s="1">
        <f>IF(A81="Pet ID",1,IF(A81&gt;=Table56['#],"",A81+1))</f>
        <v>43</v>
      </c>
      <c r="B82" s="1">
        <f>IF(Table65[[#This Row],[Pet ID]]="","",_xlfn.IFNA(IF(Table65[[#This Row],[Pet ID]]=Table56['#],MAX(Table4853[Item]),1+MATCH(Table65[[#This Row],[Pet ID]],Table4853[Last ID],1)),1))</f>
        <v>2</v>
      </c>
      <c r="C82" s="1"/>
      <c r="D82" s="1">
        <f>IFERROR(ROUND($B$35*Table65[[#This Row],[Pet ID]]+$C$35,2),"")</f>
        <v>0.14000000000000001</v>
      </c>
      <c r="E82" s="1">
        <f>IFERROR(ROUND($D$35*Table65[[#This Row],[Pet ID]]+$E$35,3),"")</f>
        <v>1.2E-2</v>
      </c>
    </row>
    <row r="83" spans="1:5" x14ac:dyDescent="0.25">
      <c r="A83" s="1">
        <f>IF(A82="Pet ID",1,IF(A82&gt;=Table56['#],"",A82+1))</f>
        <v>44</v>
      </c>
      <c r="B83" s="1">
        <f>IF(Table65[[#This Row],[Pet ID]]="","",_xlfn.IFNA(IF(Table65[[#This Row],[Pet ID]]=Table56['#],MAX(Table4853[Item]),1+MATCH(Table65[[#This Row],[Pet ID]],Table4853[Last ID],1)),1))</f>
        <v>2</v>
      </c>
      <c r="C83" s="1"/>
      <c r="D83" s="1">
        <f>IFERROR(ROUND($B$35*Table65[[#This Row],[Pet ID]]+$C$35,2),"")</f>
        <v>0.14000000000000001</v>
      </c>
      <c r="E83" s="1">
        <f>IFERROR(ROUND($D$35*Table65[[#This Row],[Pet ID]]+$E$35,3),"")</f>
        <v>1.2E-2</v>
      </c>
    </row>
    <row r="84" spans="1:5" x14ac:dyDescent="0.25">
      <c r="A84" s="1">
        <f>IF(A83="Pet ID",1,IF(A83&gt;=Table56['#],"",A83+1))</f>
        <v>45</v>
      </c>
      <c r="B84" s="1">
        <f>IF(Table65[[#This Row],[Pet ID]]="","",_xlfn.IFNA(IF(Table65[[#This Row],[Pet ID]]=Table56['#],MAX(Table4853[Item]),1+MATCH(Table65[[#This Row],[Pet ID]],Table4853[Last ID],1)),1))</f>
        <v>2</v>
      </c>
      <c r="C84" s="1"/>
      <c r="D84" s="1">
        <f>IFERROR(ROUND($B$35*Table65[[#This Row],[Pet ID]]+$C$35,2),"")</f>
        <v>0.15</v>
      </c>
      <c r="E84" s="1">
        <f>IFERROR(ROUND($D$35*Table65[[#This Row],[Pet ID]]+$E$35,3),"")</f>
        <v>1.2999999999999999E-2</v>
      </c>
    </row>
    <row r="85" spans="1:5" x14ac:dyDescent="0.25">
      <c r="A85" s="1">
        <f>IF(A84="Pet ID",1,IF(A84&gt;=Table56['#],"",A84+1))</f>
        <v>46</v>
      </c>
      <c r="B85" s="1">
        <f>IF(Table65[[#This Row],[Pet ID]]="","",_xlfn.IFNA(IF(Table65[[#This Row],[Pet ID]]=Table56['#],MAX(Table4853[Item]),1+MATCH(Table65[[#This Row],[Pet ID]],Table4853[Last ID],1)),1))</f>
        <v>2</v>
      </c>
      <c r="C85" s="1"/>
      <c r="D85" s="1">
        <f>IFERROR(ROUND($B$35*Table65[[#This Row],[Pet ID]]+$C$35,2),"")</f>
        <v>0.15</v>
      </c>
      <c r="E85" s="1">
        <f>IFERROR(ROUND($D$35*Table65[[#This Row],[Pet ID]]+$E$35,3),"")</f>
        <v>1.2999999999999999E-2</v>
      </c>
    </row>
    <row r="86" spans="1:5" x14ac:dyDescent="0.25">
      <c r="A86" s="1">
        <f>IF(A85="Pet ID",1,IF(A85&gt;=Table56['#],"",A85+1))</f>
        <v>47</v>
      </c>
      <c r="B86" s="1">
        <f>IF(Table65[[#This Row],[Pet ID]]="","",_xlfn.IFNA(IF(Table65[[#This Row],[Pet ID]]=Table56['#],MAX(Table4853[Item]),1+MATCH(Table65[[#This Row],[Pet ID]],Table4853[Last ID],1)),1))</f>
        <v>2</v>
      </c>
      <c r="C86" s="1"/>
      <c r="D86" s="1">
        <f>IFERROR(ROUND($B$35*Table65[[#This Row],[Pet ID]]+$C$35,2),"")</f>
        <v>0.15</v>
      </c>
      <c r="E86" s="1">
        <f>IFERROR(ROUND($D$35*Table65[[#This Row],[Pet ID]]+$E$35,3),"")</f>
        <v>1.2999999999999999E-2</v>
      </c>
    </row>
    <row r="87" spans="1:5" x14ac:dyDescent="0.25">
      <c r="A87" s="1">
        <f>IF(A86="Pet ID",1,IF(A86&gt;=Table56['#],"",A86+1))</f>
        <v>48</v>
      </c>
      <c r="B87" s="1">
        <f>IF(Table65[[#This Row],[Pet ID]]="","",_xlfn.IFNA(IF(Table65[[#This Row],[Pet ID]]=Table56['#],MAX(Table4853[Item]),1+MATCH(Table65[[#This Row],[Pet ID]],Table4853[Last ID],1)),1))</f>
        <v>2</v>
      </c>
      <c r="C87" s="1"/>
      <c r="D87" s="1">
        <f>IFERROR(ROUND($B$35*Table65[[#This Row],[Pet ID]]+$C$35,2),"")</f>
        <v>0.16</v>
      </c>
      <c r="E87" s="1">
        <f>IFERROR(ROUND($D$35*Table65[[#This Row],[Pet ID]]+$E$35,3),"")</f>
        <v>1.2999999999999999E-2</v>
      </c>
    </row>
    <row r="88" spans="1:5" x14ac:dyDescent="0.25">
      <c r="A88" s="1">
        <f>IF(A87="Pet ID",1,IF(A87&gt;=Table56['#],"",A87+1))</f>
        <v>49</v>
      </c>
      <c r="B88" s="1">
        <f>IF(Table65[[#This Row],[Pet ID]]="","",_xlfn.IFNA(IF(Table65[[#This Row],[Pet ID]]=Table56['#],MAX(Table4853[Item]),1+MATCH(Table65[[#This Row],[Pet ID]],Table4853[Last ID],1)),1))</f>
        <v>2</v>
      </c>
      <c r="C88" s="1"/>
      <c r="D88" s="1">
        <f>IFERROR(ROUND($B$35*Table65[[#This Row],[Pet ID]]+$C$35,2),"")</f>
        <v>0.16</v>
      </c>
      <c r="E88" s="1">
        <f>IFERROR(ROUND($D$35*Table65[[#This Row],[Pet ID]]+$E$35,3),"")</f>
        <v>1.2999999999999999E-2</v>
      </c>
    </row>
    <row r="89" spans="1:5" x14ac:dyDescent="0.25">
      <c r="A89" s="1">
        <f>IF(A88="Pet ID",1,IF(A88&gt;=Table56['#],"",A88+1))</f>
        <v>50</v>
      </c>
      <c r="B89" s="1">
        <f>IF(Table65[[#This Row],[Pet ID]]="","",_xlfn.IFNA(IF(Table65[[#This Row],[Pet ID]]=Table56['#],MAX(Table4853[Item]),1+MATCH(Table65[[#This Row],[Pet ID]],Table4853[Last ID],1)),1))</f>
        <v>2</v>
      </c>
      <c r="C89" s="1"/>
      <c r="D89" s="1">
        <f>IFERROR(ROUND($B$35*Table65[[#This Row],[Pet ID]]+$C$35,2),"")</f>
        <v>0.16</v>
      </c>
      <c r="E89" s="1">
        <f>IFERROR(ROUND($D$35*Table65[[#This Row],[Pet ID]]+$E$35,3),"")</f>
        <v>1.2999999999999999E-2</v>
      </c>
    </row>
    <row r="90" spans="1:5" x14ac:dyDescent="0.25">
      <c r="A90" s="1">
        <f>IF(A89="Pet ID",1,IF(A89&gt;=Table56['#],"",A89+1))</f>
        <v>51</v>
      </c>
      <c r="B90" s="1">
        <f>IF(Table65[[#This Row],[Pet ID]]="","",_xlfn.IFNA(IF(Table65[[#This Row],[Pet ID]]=Table56['#],MAX(Table4853[Item]),1+MATCH(Table65[[#This Row],[Pet ID]],Table4853[Last ID],1)),1))</f>
        <v>3</v>
      </c>
      <c r="C90" s="1"/>
      <c r="D90" s="1">
        <f>IFERROR(ROUND($B$35*Table65[[#This Row],[Pet ID]]+$C$35,2),"")</f>
        <v>0.17</v>
      </c>
      <c r="E90" s="1">
        <f>IFERROR(ROUND($D$35*Table65[[#This Row],[Pet ID]]+$E$35,3),"")</f>
        <v>1.4E-2</v>
      </c>
    </row>
    <row r="91" spans="1:5" x14ac:dyDescent="0.25">
      <c r="A91" s="1">
        <f>IF(A90="Pet ID",1,IF(A90&gt;=Table56['#],"",A90+1))</f>
        <v>52</v>
      </c>
      <c r="B91" s="1">
        <f>IF(Table65[[#This Row],[Pet ID]]="","",_xlfn.IFNA(IF(Table65[[#This Row],[Pet ID]]=Table56['#],MAX(Table4853[Item]),1+MATCH(Table65[[#This Row],[Pet ID]],Table4853[Last ID],1)),1))</f>
        <v>3</v>
      </c>
      <c r="C91" s="1"/>
      <c r="D91" s="1">
        <f>IFERROR(ROUND($B$35*Table65[[#This Row],[Pet ID]]+$C$35,2),"")</f>
        <v>0.17</v>
      </c>
      <c r="E91" s="1">
        <f>IFERROR(ROUND($D$35*Table65[[#This Row],[Pet ID]]+$E$35,3),"")</f>
        <v>1.4E-2</v>
      </c>
    </row>
    <row r="92" spans="1:5" x14ac:dyDescent="0.25">
      <c r="A92" s="1">
        <f>IF(A91="Pet ID",1,IF(A91&gt;=Table56['#],"",A91+1))</f>
        <v>53</v>
      </c>
      <c r="B92" s="1">
        <f>IF(Table65[[#This Row],[Pet ID]]="","",_xlfn.IFNA(IF(Table65[[#This Row],[Pet ID]]=Table56['#],MAX(Table4853[Item]),1+MATCH(Table65[[#This Row],[Pet ID]],Table4853[Last ID],1)),1))</f>
        <v>3</v>
      </c>
      <c r="C92" s="1"/>
      <c r="D92" s="1">
        <f>IFERROR(ROUND($B$35*Table65[[#This Row],[Pet ID]]+$C$35,2),"")</f>
        <v>0.17</v>
      </c>
      <c r="E92" s="1">
        <f>IFERROR(ROUND($D$35*Table65[[#This Row],[Pet ID]]+$E$35,3),"")</f>
        <v>1.4E-2</v>
      </c>
    </row>
    <row r="93" spans="1:5" x14ac:dyDescent="0.25">
      <c r="A93" s="1">
        <f>IF(A92="Pet ID",1,IF(A92&gt;=Table56['#],"",A92+1))</f>
        <v>54</v>
      </c>
      <c r="B93" s="1">
        <f>IF(Table65[[#This Row],[Pet ID]]="","",_xlfn.IFNA(IF(Table65[[#This Row],[Pet ID]]=Table56['#],MAX(Table4853[Item]),1+MATCH(Table65[[#This Row],[Pet ID]],Table4853[Last ID],1)),1))</f>
        <v>3</v>
      </c>
      <c r="C93" s="1"/>
      <c r="D93" s="1">
        <f>IFERROR(ROUND($B$35*Table65[[#This Row],[Pet ID]]+$C$35,2),"")</f>
        <v>0.17</v>
      </c>
      <c r="E93" s="1">
        <f>IFERROR(ROUND($D$35*Table65[[#This Row],[Pet ID]]+$E$35,3),"")</f>
        <v>1.4E-2</v>
      </c>
    </row>
    <row r="94" spans="1:5" x14ac:dyDescent="0.25">
      <c r="A94" s="1">
        <f>IF(A93="Pet ID",1,IF(A93&gt;=Table56['#],"",A93+1))</f>
        <v>55</v>
      </c>
      <c r="B94" s="1">
        <f>IF(Table65[[#This Row],[Pet ID]]="","",_xlfn.IFNA(IF(Table65[[#This Row],[Pet ID]]=Table56['#],MAX(Table4853[Item]),1+MATCH(Table65[[#This Row],[Pet ID]],Table4853[Last ID],1)),1))</f>
        <v>3</v>
      </c>
      <c r="C94" s="1"/>
      <c r="D94" s="1">
        <f>IFERROR(ROUND($B$35*Table65[[#This Row],[Pet ID]]+$C$35,2),"")</f>
        <v>0.18</v>
      </c>
      <c r="E94" s="1">
        <f>IFERROR(ROUND($D$35*Table65[[#This Row],[Pet ID]]+$E$35,3),"")</f>
        <v>1.4E-2</v>
      </c>
    </row>
    <row r="95" spans="1:5" x14ac:dyDescent="0.25">
      <c r="A95" s="1">
        <f>IF(A94="Pet ID",1,IF(A94&gt;=Table56['#],"",A94+1))</f>
        <v>56</v>
      </c>
      <c r="B95" s="1">
        <f>IF(Table65[[#This Row],[Pet ID]]="","",_xlfn.IFNA(IF(Table65[[#This Row],[Pet ID]]=Table56['#],MAX(Table4853[Item]),1+MATCH(Table65[[#This Row],[Pet ID]],Table4853[Last ID],1)),1))</f>
        <v>3</v>
      </c>
      <c r="C95" s="1"/>
      <c r="D95" s="1">
        <f>IFERROR(ROUND($B$35*Table65[[#This Row],[Pet ID]]+$C$35,2),"")</f>
        <v>0.18</v>
      </c>
      <c r="E95" s="1">
        <f>IFERROR(ROUND($D$35*Table65[[#This Row],[Pet ID]]+$E$35,3),"")</f>
        <v>1.4E-2</v>
      </c>
    </row>
    <row r="96" spans="1:5" x14ac:dyDescent="0.25">
      <c r="A96" s="1">
        <f>IF(A95="Pet ID",1,IF(A95&gt;=Table56['#],"",A95+1))</f>
        <v>57</v>
      </c>
      <c r="B96" s="1">
        <f>IF(Table65[[#This Row],[Pet ID]]="","",_xlfn.IFNA(IF(Table65[[#This Row],[Pet ID]]=Table56['#],MAX(Table4853[Item]),1+MATCH(Table65[[#This Row],[Pet ID]],Table4853[Last ID],1)),1))</f>
        <v>3</v>
      </c>
      <c r="C96" s="1"/>
      <c r="D96" s="1">
        <f>IFERROR(ROUND($B$35*Table65[[#This Row],[Pet ID]]+$C$35,2),"")</f>
        <v>0.18</v>
      </c>
      <c r="E96" s="1">
        <f>IFERROR(ROUND($D$35*Table65[[#This Row],[Pet ID]]+$E$35,3),"")</f>
        <v>1.4999999999999999E-2</v>
      </c>
    </row>
    <row r="97" spans="1:5" x14ac:dyDescent="0.25">
      <c r="A97" s="1" t="str">
        <f>IF(A96="Pet ID",1,IF(A96&gt;=Table56['#],"",A96+1))</f>
        <v/>
      </c>
      <c r="B97" s="1" t="str">
        <f>IF(Table65[[#This Row],[Pet ID]]="","",_xlfn.IFNA(IF(Table65[[#This Row],[Pet ID]]=Table56['#],MAX(Table4853[Item]),1+MATCH(Table65[[#This Row],[Pet ID]],Table4853[Last ID],1)),1))</f>
        <v/>
      </c>
      <c r="C97" s="1"/>
      <c r="D97" s="1" t="str">
        <f>IFERROR(ROUND($B$35*Table65[[#This Row],[Pet ID]]+$C$35,2),"")</f>
        <v/>
      </c>
      <c r="E97" s="1" t="str">
        <f>IFERROR(ROUND($D$35*Table65[[#This Row],[Pet ID]]+$E$35,3),"")</f>
        <v/>
      </c>
    </row>
    <row r="98" spans="1:5" x14ac:dyDescent="0.25">
      <c r="A98" s="1" t="str">
        <f>IF(A97="Pet ID",1,IF(A97&gt;=Table56['#],"",A97+1))</f>
        <v/>
      </c>
      <c r="B98" s="1" t="str">
        <f>IF(Table65[[#This Row],[Pet ID]]="","",_xlfn.IFNA(IF(Table65[[#This Row],[Pet ID]]=Table56['#],MAX(Table4853[Item]),1+MATCH(Table65[[#This Row],[Pet ID]],Table4853[Last ID],1)),1))</f>
        <v/>
      </c>
      <c r="C98" s="1"/>
      <c r="D98" s="1" t="str">
        <f>IFERROR(ROUND($B$35*Table65[[#This Row],[Pet ID]]+$C$35,2),"")</f>
        <v/>
      </c>
      <c r="E98" s="1" t="str">
        <f>IFERROR(ROUND($D$35*Table65[[#This Row],[Pet ID]]+$E$35,3),"")</f>
        <v/>
      </c>
    </row>
    <row r="99" spans="1:5" x14ac:dyDescent="0.25">
      <c r="A99" s="1" t="str">
        <f>IF(A98="Pet ID",1,IF(A98&gt;=Table56['#],"",A98+1))</f>
        <v/>
      </c>
      <c r="B99" s="1" t="str">
        <f>IF(Table65[[#This Row],[Pet ID]]="","",_xlfn.IFNA(IF(Table65[[#This Row],[Pet ID]]=Table56['#],MAX(Table4853[Item]),1+MATCH(Table65[[#This Row],[Pet ID]],Table4853[Last ID],1)),1))</f>
        <v/>
      </c>
      <c r="C99" s="1"/>
      <c r="D99" s="1" t="str">
        <f>IFERROR(ROUND($B$35*Table65[[#This Row],[Pet ID]]+$C$35,2),"")</f>
        <v/>
      </c>
      <c r="E99" s="1" t="str">
        <f>IFERROR(ROUND($D$35*Table65[[#This Row],[Pet ID]]+$E$35,3),"")</f>
        <v/>
      </c>
    </row>
    <row r="100" spans="1:5" x14ac:dyDescent="0.25">
      <c r="A100" s="1" t="str">
        <f>IF(A99="Pet ID",1,IF(A99&gt;=Table56['#],"",A99+1))</f>
        <v/>
      </c>
      <c r="B100" s="1" t="str">
        <f>IF(Table65[[#This Row],[Pet ID]]="","",_xlfn.IFNA(IF(Table65[[#This Row],[Pet ID]]=Table56['#],MAX(Table4853[Item]),1+MATCH(Table65[[#This Row],[Pet ID]],Table4853[Last ID],1)),1))</f>
        <v/>
      </c>
      <c r="C100" s="1"/>
      <c r="D100" s="1" t="str">
        <f>IFERROR(ROUND($B$35*Table65[[#This Row],[Pet ID]]+$C$35,2),"")</f>
        <v/>
      </c>
      <c r="E100" s="1" t="str">
        <f>IFERROR(ROUND($D$35*Table65[[#This Row],[Pet ID]]+$E$35,3),"")</f>
        <v/>
      </c>
    </row>
    <row r="101" spans="1:5" x14ac:dyDescent="0.25">
      <c r="A101" s="1" t="str">
        <f>IF(A100="Pet ID",1,IF(A100&gt;=Table56['#],"",A100+1))</f>
        <v/>
      </c>
      <c r="B101" s="1" t="str">
        <f>IF(Table65[[#This Row],[Pet ID]]="","",_xlfn.IFNA(IF(Table65[[#This Row],[Pet ID]]=Table56['#],MAX(Table4853[Item]),1+MATCH(Table65[[#This Row],[Pet ID]],Table4853[Last ID],1)),1))</f>
        <v/>
      </c>
      <c r="C101" s="1"/>
      <c r="D101" s="1" t="str">
        <f>IFERROR(ROUND($B$35*Table65[[#This Row],[Pet ID]]+$C$35,2),"")</f>
        <v/>
      </c>
      <c r="E101" s="1" t="str">
        <f>IFERROR(ROUND($D$35*Table65[[#This Row],[Pet ID]]+$E$35,3),"")</f>
        <v/>
      </c>
    </row>
    <row r="102" spans="1:5" x14ac:dyDescent="0.25">
      <c r="A102" s="1" t="str">
        <f>IF(A101="Pet ID",1,IF(A101&gt;=Table56['#],"",A101+1))</f>
        <v/>
      </c>
      <c r="B102" s="1" t="str">
        <f>IF(Table65[[#This Row],[Pet ID]]="","",_xlfn.IFNA(IF(Table65[[#This Row],[Pet ID]]=Table56['#],MAX(Table4853[Item]),1+MATCH(Table65[[#This Row],[Pet ID]],Table4853[Last ID],1)),1))</f>
        <v/>
      </c>
      <c r="C102" s="1"/>
      <c r="D102" s="1" t="str">
        <f>IFERROR(ROUND($B$35*Table65[[#This Row],[Pet ID]]+$C$35,2),"")</f>
        <v/>
      </c>
      <c r="E102" s="1" t="str">
        <f>IFERROR(ROUND($D$35*Table65[[#This Row],[Pet ID]]+$E$35,3),"")</f>
        <v/>
      </c>
    </row>
    <row r="103" spans="1:5" x14ac:dyDescent="0.25">
      <c r="A103" s="1" t="str">
        <f>IF(A102="Pet ID",1,IF(A102&gt;=Table56['#],"",A102+1))</f>
        <v/>
      </c>
      <c r="B103" s="1" t="str">
        <f>IF(Table65[[#This Row],[Pet ID]]="","",_xlfn.IFNA(IF(Table65[[#This Row],[Pet ID]]=Table56['#],MAX(Table4853[Item]),1+MATCH(Table65[[#This Row],[Pet ID]],Table4853[Last ID],1)),1))</f>
        <v/>
      </c>
      <c r="C103" s="1"/>
      <c r="D103" s="1" t="str">
        <f>IFERROR(ROUND($B$35*Table65[[#This Row],[Pet ID]]+$C$35,2),"")</f>
        <v/>
      </c>
      <c r="E103" s="1" t="str">
        <f>IFERROR(ROUND($D$35*Table65[[#This Row],[Pet ID]]+$E$35,3),"")</f>
        <v/>
      </c>
    </row>
    <row r="104" spans="1:5" x14ac:dyDescent="0.25">
      <c r="A104" s="1" t="str">
        <f>IF(A103="Pet ID",1,IF(A103&gt;=Table56['#],"",A103+1))</f>
        <v/>
      </c>
      <c r="B104" s="1" t="str">
        <f>IF(Table65[[#This Row],[Pet ID]]="","",_xlfn.IFNA(IF(Table65[[#This Row],[Pet ID]]=Table56['#],MAX(Table4853[Item]),1+MATCH(Table65[[#This Row],[Pet ID]],Table4853[Last ID],1)),1))</f>
        <v/>
      </c>
      <c r="C104" s="1"/>
      <c r="D104" s="1" t="str">
        <f>IFERROR(ROUND($B$35*Table65[[#This Row],[Pet ID]]+$C$35,2),"")</f>
        <v/>
      </c>
      <c r="E104" s="1" t="str">
        <f>IFERROR(ROUND($D$35*Table65[[#This Row],[Pet ID]]+$E$35,3),"")</f>
        <v/>
      </c>
    </row>
    <row r="105" spans="1:5" x14ac:dyDescent="0.25">
      <c r="A105" s="1" t="str">
        <f>IF(A104="Pet ID",1,IF(A104&gt;=Table56['#],"",A104+1))</f>
        <v/>
      </c>
      <c r="B105" s="1" t="str">
        <f>IF(Table65[[#This Row],[Pet ID]]="","",_xlfn.IFNA(IF(Table65[[#This Row],[Pet ID]]=Table56['#],MAX(Table4853[Item]),1+MATCH(Table65[[#This Row],[Pet ID]],Table4853[Last ID],1)),1))</f>
        <v/>
      </c>
      <c r="C105" s="1"/>
      <c r="D105" s="1" t="str">
        <f>IFERROR(ROUND($B$35*Table65[[#This Row],[Pet ID]]+$C$35,2),"")</f>
        <v/>
      </c>
      <c r="E105" s="1" t="str">
        <f>IFERROR(ROUND($D$35*Table65[[#This Row],[Pet ID]]+$E$35,3),"")</f>
        <v/>
      </c>
    </row>
    <row r="106" spans="1:5" x14ac:dyDescent="0.25">
      <c r="A106" s="1" t="str">
        <f>IF(A105="Pet ID",1,IF(A105&gt;=Table56['#],"",A105+1))</f>
        <v/>
      </c>
      <c r="B106" s="1" t="str">
        <f>IF(Table65[[#This Row],[Pet ID]]="","",_xlfn.IFNA(IF(Table65[[#This Row],[Pet ID]]=Table56['#],MAX(Table4853[Item]),1+MATCH(Table65[[#This Row],[Pet ID]],Table4853[Last ID],1)),1))</f>
        <v/>
      </c>
      <c r="C106" s="1"/>
      <c r="D106" s="1" t="str">
        <f>IFERROR(ROUND($B$35*Table65[[#This Row],[Pet ID]]+$C$35,2),"")</f>
        <v/>
      </c>
      <c r="E106" s="1" t="str">
        <f>IFERROR(ROUND($D$35*Table65[[#This Row],[Pet ID]]+$E$35,3),"")</f>
        <v/>
      </c>
    </row>
    <row r="107" spans="1:5" x14ac:dyDescent="0.25">
      <c r="A107" s="1" t="str">
        <f>IF(A106="Pet ID",1,IF(A106&gt;=Table56['#],"",A106+1))</f>
        <v/>
      </c>
      <c r="B107" s="1" t="str">
        <f>IF(Table65[[#This Row],[Pet ID]]="","",_xlfn.IFNA(IF(Table65[[#This Row],[Pet ID]]=Table56['#],MAX(Table4853[Item]),1+MATCH(Table65[[#This Row],[Pet ID]],Table4853[Last ID],1)),1))</f>
        <v/>
      </c>
      <c r="C107" s="1"/>
      <c r="D107" s="1" t="str">
        <f>IFERROR(ROUND($B$35*Table65[[#This Row],[Pet ID]]+$C$35,2),"")</f>
        <v/>
      </c>
      <c r="E107" s="1" t="str">
        <f>IFERROR(ROUND($D$35*Table65[[#This Row],[Pet ID]]+$E$35,3),"")</f>
        <v/>
      </c>
    </row>
    <row r="108" spans="1:5" x14ac:dyDescent="0.25">
      <c r="A108" s="1" t="str">
        <f>IF(A107="Pet ID",1,IF(A107&gt;=Table56['#],"",A107+1))</f>
        <v/>
      </c>
      <c r="B108" s="1" t="str">
        <f>IF(Table65[[#This Row],[Pet ID]]="","",_xlfn.IFNA(IF(Table65[[#This Row],[Pet ID]]=Table56['#],MAX(Table4853[Item]),1+MATCH(Table65[[#This Row],[Pet ID]],Table4853[Last ID],1)),1))</f>
        <v/>
      </c>
      <c r="C108" s="1"/>
      <c r="D108" s="1" t="str">
        <f>IFERROR(ROUND($B$35*Table65[[#This Row],[Pet ID]]+$C$35,2),"")</f>
        <v/>
      </c>
      <c r="E108" s="1" t="str">
        <f>IFERROR(ROUND($D$35*Table65[[#This Row],[Pet ID]]+$E$35,3),"")</f>
        <v/>
      </c>
    </row>
    <row r="109" spans="1:5" x14ac:dyDescent="0.25">
      <c r="A109" s="1" t="str">
        <f>IF(A108="Pet ID",1,IF(A108&gt;=Table56['#],"",A108+1))</f>
        <v/>
      </c>
      <c r="B109" s="1" t="str">
        <f>IF(Table65[[#This Row],[Pet ID]]="","",_xlfn.IFNA(IF(Table65[[#This Row],[Pet ID]]=Table56['#],MAX(Table4853[Item]),1+MATCH(Table65[[#This Row],[Pet ID]],Table4853[Last ID],1)),1))</f>
        <v/>
      </c>
      <c r="C109" s="1"/>
      <c r="D109" s="1" t="str">
        <f>IFERROR(ROUND($B$35*Table65[[#This Row],[Pet ID]]+$C$35,2),"")</f>
        <v/>
      </c>
      <c r="E109" s="1" t="str">
        <f>IFERROR(ROUND($D$35*Table65[[#This Row],[Pet ID]]+$E$35,3),"")</f>
        <v/>
      </c>
    </row>
    <row r="110" spans="1:5" x14ac:dyDescent="0.25">
      <c r="A110" s="1" t="str">
        <f>IF(A109="Pet ID",1,IF(A109&gt;=Table56['#],"",A109+1))</f>
        <v/>
      </c>
      <c r="B110" s="1" t="str">
        <f>IF(Table65[[#This Row],[Pet ID]]="","",_xlfn.IFNA(IF(Table65[[#This Row],[Pet ID]]=Table56['#],MAX(Table4853[Item]),1+MATCH(Table65[[#This Row],[Pet ID]],Table4853[Last ID],1)),1))</f>
        <v/>
      </c>
      <c r="C110" s="1"/>
      <c r="D110" s="1" t="str">
        <f>IFERROR(ROUND($B$35*Table65[[#This Row],[Pet ID]]+$C$35,2),"")</f>
        <v/>
      </c>
      <c r="E110" s="1" t="str">
        <f>IFERROR(ROUND($D$35*Table65[[#This Row],[Pet ID]]+$E$35,3),"")</f>
        <v/>
      </c>
    </row>
    <row r="111" spans="1:5" x14ac:dyDescent="0.25">
      <c r="A111" s="1" t="str">
        <f>IF(A110="Pet ID",1,IF(A110&gt;=Table56['#],"",A110+1))</f>
        <v/>
      </c>
      <c r="B111" s="1" t="str">
        <f>IF(Table65[[#This Row],[Pet ID]]="","",_xlfn.IFNA(IF(Table65[[#This Row],[Pet ID]]=Table56['#],MAX(Table4853[Item]),1+MATCH(Table65[[#This Row],[Pet ID]],Table4853[Last ID],1)),1))</f>
        <v/>
      </c>
      <c r="C111" s="1"/>
      <c r="D111" s="1" t="str">
        <f>IFERROR(ROUND($B$35*Table65[[#This Row],[Pet ID]]+$C$35,2),"")</f>
        <v/>
      </c>
      <c r="E111" s="1" t="str">
        <f>IFERROR(ROUND($D$35*Table65[[#This Row],[Pet ID]]+$E$35,3),"")</f>
        <v/>
      </c>
    </row>
    <row r="112" spans="1:5" x14ac:dyDescent="0.25">
      <c r="A112" s="1" t="str">
        <f>IF(A111="Pet ID",1,IF(A111&gt;=Table56['#],"",A111+1))</f>
        <v/>
      </c>
      <c r="B112" s="1" t="str">
        <f>IF(Table65[[#This Row],[Pet ID]]="","",_xlfn.IFNA(IF(Table65[[#This Row],[Pet ID]]=Table56['#],MAX(Table4853[Item]),1+MATCH(Table65[[#This Row],[Pet ID]],Table4853[Last ID],1)),1))</f>
        <v/>
      </c>
      <c r="C112" s="1"/>
      <c r="D112" s="1" t="str">
        <f>IFERROR(ROUND($B$35*Table65[[#This Row],[Pet ID]]+$C$35,2),"")</f>
        <v/>
      </c>
      <c r="E112" s="1" t="str">
        <f>IFERROR(ROUND($D$35*Table65[[#This Row],[Pet ID]]+$E$35,3),"")</f>
        <v/>
      </c>
    </row>
    <row r="113" spans="1:5" x14ac:dyDescent="0.25">
      <c r="A113" s="1" t="str">
        <f>IF(A112="Pet ID",1,IF(A112&gt;=Table56['#],"",A112+1))</f>
        <v/>
      </c>
      <c r="B113" s="1" t="str">
        <f>IF(Table65[[#This Row],[Pet ID]]="","",_xlfn.IFNA(IF(Table65[[#This Row],[Pet ID]]=Table56['#],MAX(Table4853[Item]),1+MATCH(Table65[[#This Row],[Pet ID]],Table4853[Last ID],1)),1))</f>
        <v/>
      </c>
      <c r="C113" s="1"/>
      <c r="D113" s="1" t="str">
        <f>IFERROR(ROUND($B$35*Table65[[#This Row],[Pet ID]]+$C$35,2),"")</f>
        <v/>
      </c>
      <c r="E113" s="1" t="str">
        <f>IFERROR(ROUND($D$35*Table65[[#This Row],[Pet ID]]+$E$35,3),"")</f>
        <v/>
      </c>
    </row>
    <row r="114" spans="1:5" x14ac:dyDescent="0.25">
      <c r="A114" s="1" t="str">
        <f>IF(A113="Pet ID",1,IF(A113&gt;=Table56['#],"",A113+1))</f>
        <v/>
      </c>
      <c r="B114" s="1" t="str">
        <f>IF(Table65[[#This Row],[Pet ID]]="","",_xlfn.IFNA(IF(Table65[[#This Row],[Pet ID]]=Table56['#],MAX(Table4853[Item]),1+MATCH(Table65[[#This Row],[Pet ID]],Table4853[Last ID],1)),1))</f>
        <v/>
      </c>
      <c r="C114" s="1"/>
      <c r="D114" s="1" t="str">
        <f>IFERROR(ROUND($B$35*Table65[[#This Row],[Pet ID]]+$C$35,2),"")</f>
        <v/>
      </c>
      <c r="E114" s="1" t="str">
        <f>IFERROR(ROUND($D$35*Table65[[#This Row],[Pet ID]]+$E$35,3),"")</f>
        <v/>
      </c>
    </row>
    <row r="115" spans="1:5" x14ac:dyDescent="0.25">
      <c r="A115" s="1" t="str">
        <f>IF(A114="Pet ID",1,IF(A114&gt;=Table56['#],"",A114+1))</f>
        <v/>
      </c>
      <c r="B115" s="1" t="str">
        <f>IF(Table65[[#This Row],[Pet ID]]="","",_xlfn.IFNA(IF(Table65[[#This Row],[Pet ID]]=Table56['#],MAX(Table4853[Item]),1+MATCH(Table65[[#This Row],[Pet ID]],Table4853[Last ID],1)),1))</f>
        <v/>
      </c>
      <c r="C115" s="1"/>
      <c r="D115" s="1" t="str">
        <f>IFERROR(ROUND($B$35*Table65[[#This Row],[Pet ID]]+$C$35,2),"")</f>
        <v/>
      </c>
      <c r="E115" s="1" t="str">
        <f>IFERROR(ROUND($D$35*Table65[[#This Row],[Pet ID]]+$E$35,3),"")</f>
        <v/>
      </c>
    </row>
    <row r="116" spans="1:5" x14ac:dyDescent="0.25">
      <c r="A116" s="1" t="str">
        <f>IF(A115="Pet ID",1,IF(A115&gt;=Table56['#],"",A115+1))</f>
        <v/>
      </c>
      <c r="B116" s="1" t="str">
        <f>IF(Table65[[#This Row],[Pet ID]]="","",_xlfn.IFNA(IF(Table65[[#This Row],[Pet ID]]=Table56['#],MAX(Table4853[Item]),1+MATCH(Table65[[#This Row],[Pet ID]],Table4853[Last ID],1)),1))</f>
        <v/>
      </c>
      <c r="C116" s="1"/>
      <c r="D116" s="1" t="str">
        <f>IFERROR(ROUND($B$35*Table65[[#This Row],[Pet ID]]+$C$35,2),"")</f>
        <v/>
      </c>
      <c r="E116" s="1" t="str">
        <f>IFERROR(ROUND($D$35*Table65[[#This Row],[Pet ID]]+$E$35,3),"")</f>
        <v/>
      </c>
    </row>
    <row r="117" spans="1:5" x14ac:dyDescent="0.25">
      <c r="A117" s="1" t="str">
        <f>IF(A116="Pet ID",1,IF(A116&gt;=Table56['#],"",A116+1))</f>
        <v/>
      </c>
      <c r="B117" s="1" t="str">
        <f>IF(Table65[[#This Row],[Pet ID]]="","",_xlfn.IFNA(IF(Table65[[#This Row],[Pet ID]]=Table56['#],MAX(Table4853[Item]),1+MATCH(Table65[[#This Row],[Pet ID]],Table4853[Last ID],1)),1))</f>
        <v/>
      </c>
      <c r="C117" s="1"/>
      <c r="D117" s="1" t="str">
        <f>IFERROR(ROUND($B$35*Table65[[#This Row],[Pet ID]]+$C$35,2),"")</f>
        <v/>
      </c>
      <c r="E117" s="1" t="str">
        <f>IFERROR(ROUND($D$35*Table65[[#This Row],[Pet ID]]+$E$35,3),"")</f>
        <v/>
      </c>
    </row>
    <row r="118" spans="1:5" x14ac:dyDescent="0.25">
      <c r="A118" s="1" t="str">
        <f>IF(A117="Pet ID",1,IF(A117&gt;=Table56['#],"",A117+1))</f>
        <v/>
      </c>
      <c r="B118" s="1" t="str">
        <f>IF(Table65[[#This Row],[Pet ID]]="","",_xlfn.IFNA(IF(Table65[[#This Row],[Pet ID]]=Table56['#],MAX(Table4853[Item]),1+MATCH(Table65[[#This Row],[Pet ID]],Table4853[Last ID],1)),1))</f>
        <v/>
      </c>
      <c r="C118" s="1"/>
      <c r="D118" s="1" t="str">
        <f>IFERROR(ROUND($B$35*Table65[[#This Row],[Pet ID]]+$C$35,2),"")</f>
        <v/>
      </c>
      <c r="E118" s="1" t="str">
        <f>IFERROR(ROUND($D$35*Table65[[#This Row],[Pet ID]]+$E$35,3),"")</f>
        <v/>
      </c>
    </row>
    <row r="119" spans="1:5" x14ac:dyDescent="0.25">
      <c r="A119" s="1" t="str">
        <f>IF(A118="Pet ID",1,IF(A118&gt;=Table56['#],"",A118+1))</f>
        <v/>
      </c>
      <c r="B119" s="1" t="str">
        <f>IF(Table65[[#This Row],[Pet ID]]="","",_xlfn.IFNA(IF(Table65[[#This Row],[Pet ID]]=Table56['#],MAX(Table4853[Item]),1+MATCH(Table65[[#This Row],[Pet ID]],Table4853[Last ID],1)),1))</f>
        <v/>
      </c>
      <c r="C119" s="1"/>
      <c r="D119" s="1" t="str">
        <f>IFERROR(ROUND($B$35*Table65[[#This Row],[Pet ID]]+$C$35,2),"")</f>
        <v/>
      </c>
      <c r="E119" s="1" t="str">
        <f>IFERROR(ROUND($D$35*Table65[[#This Row],[Pet ID]]+$E$35,3),"")</f>
        <v/>
      </c>
    </row>
    <row r="120" spans="1:5" x14ac:dyDescent="0.25">
      <c r="A120" s="1" t="str">
        <f>IF(A119="Pet ID",1,IF(A119&gt;=Table56['#],"",A119+1))</f>
        <v/>
      </c>
      <c r="B120" s="1" t="str">
        <f>IF(Table65[[#This Row],[Pet ID]]="","",_xlfn.IFNA(IF(Table65[[#This Row],[Pet ID]]=Table56['#],MAX(Table4853[Item]),1+MATCH(Table65[[#This Row],[Pet ID]],Table4853[Last ID],1)),1))</f>
        <v/>
      </c>
      <c r="C120" s="1"/>
      <c r="D120" s="1" t="str">
        <f>IFERROR(ROUND($B$35*Table65[[#This Row],[Pet ID]]+$C$35,2),"")</f>
        <v/>
      </c>
      <c r="E120" s="1" t="str">
        <f>IFERROR(ROUND($D$35*Table65[[#This Row],[Pet ID]]+$E$35,3),"")</f>
        <v/>
      </c>
    </row>
    <row r="121" spans="1:5" x14ac:dyDescent="0.25">
      <c r="A121" s="1" t="str">
        <f>IF(A120="Pet ID",1,IF(A120&gt;=Table56['#],"",A120+1))</f>
        <v/>
      </c>
      <c r="B121" s="1" t="str">
        <f>IF(Table65[[#This Row],[Pet ID]]="","",_xlfn.IFNA(IF(Table65[[#This Row],[Pet ID]]=Table56['#],MAX(Table4853[Item]),1+MATCH(Table65[[#This Row],[Pet ID]],Table4853[Last ID],1)),1))</f>
        <v/>
      </c>
      <c r="C121" s="1"/>
      <c r="D121" s="1" t="str">
        <f>IFERROR(ROUND($B$35*Table65[[#This Row],[Pet ID]]+$C$35,2),"")</f>
        <v/>
      </c>
      <c r="E121" s="1" t="str">
        <f>IFERROR(ROUND($D$35*Table65[[#This Row],[Pet ID]]+$E$35,3),"")</f>
        <v/>
      </c>
    </row>
    <row r="122" spans="1:5" x14ac:dyDescent="0.25">
      <c r="A122" s="1" t="str">
        <f>IF(A121="Pet ID",1,IF(A121&gt;=Table56['#],"",A121+1))</f>
        <v/>
      </c>
      <c r="B122" s="1" t="str">
        <f>IF(Table65[[#This Row],[Pet ID]]="","",_xlfn.IFNA(IF(Table65[[#This Row],[Pet ID]]=Table56['#],MAX(Table4853[Item]),1+MATCH(Table65[[#This Row],[Pet ID]],Table4853[Last ID],1)),1))</f>
        <v/>
      </c>
      <c r="C122" s="1"/>
      <c r="D122" s="1" t="str">
        <f>IFERROR(ROUND($B$35*Table65[[#This Row],[Pet ID]]+$C$35,2),"")</f>
        <v/>
      </c>
      <c r="E122" s="1" t="str">
        <f>IFERROR(ROUND($D$35*Table65[[#This Row],[Pet ID]]+$E$35,3),"")</f>
        <v/>
      </c>
    </row>
    <row r="123" spans="1:5" x14ac:dyDescent="0.25">
      <c r="A123" s="1" t="str">
        <f>IF(A122="Pet ID",1,IF(A122&gt;=Table56['#],"",A122+1))</f>
        <v/>
      </c>
      <c r="B123" s="1" t="str">
        <f>IF(Table65[[#This Row],[Pet ID]]="","",_xlfn.IFNA(IF(Table65[[#This Row],[Pet ID]]=Table56['#],MAX(Table4853[Item]),1+MATCH(Table65[[#This Row],[Pet ID]],Table4853[Last ID],1)),1))</f>
        <v/>
      </c>
      <c r="C123" s="1"/>
      <c r="D123" s="1" t="str">
        <f>IFERROR(ROUND($B$35*Table65[[#This Row],[Pet ID]]+$C$35,2),"")</f>
        <v/>
      </c>
      <c r="E123" s="1" t="str">
        <f>IFERROR(ROUND($D$35*Table65[[#This Row],[Pet ID]]+$E$35,3),"")</f>
        <v/>
      </c>
    </row>
    <row r="124" spans="1:5" x14ac:dyDescent="0.25">
      <c r="A124" s="1" t="str">
        <f>IF(A123="Pet ID",1,IF(A123&gt;=Table56['#],"",A123+1))</f>
        <v/>
      </c>
      <c r="B124" s="1" t="str">
        <f>IF(Table65[[#This Row],[Pet ID]]="","",_xlfn.IFNA(IF(Table65[[#This Row],[Pet ID]]=Table56['#],MAX(Table4853[Item]),1+MATCH(Table65[[#This Row],[Pet ID]],Table4853[Last ID],1)),1))</f>
        <v/>
      </c>
      <c r="C124" s="1"/>
      <c r="D124" s="1" t="str">
        <f>IFERROR(ROUND($B$35*Table65[[#This Row],[Pet ID]]+$C$35,2),"")</f>
        <v/>
      </c>
      <c r="E124" s="1" t="str">
        <f>IFERROR(ROUND($D$35*Table65[[#This Row],[Pet ID]]+$E$35,3),"")</f>
        <v/>
      </c>
    </row>
    <row r="125" spans="1:5" x14ac:dyDescent="0.25">
      <c r="A125" s="1" t="str">
        <f>IF(A124="Pet ID",1,IF(A124&gt;=Table56['#],"",A124+1))</f>
        <v/>
      </c>
      <c r="B125" s="1" t="str">
        <f>IF(Table65[[#This Row],[Pet ID]]="","",_xlfn.IFNA(IF(Table65[[#This Row],[Pet ID]]=Table56['#],MAX(Table4853[Item]),1+MATCH(Table65[[#This Row],[Pet ID]],Table4853[Last ID],1)),1))</f>
        <v/>
      </c>
      <c r="C125" s="1"/>
      <c r="D125" s="1" t="str">
        <f>IFERROR(ROUND($B$35*Table65[[#This Row],[Pet ID]]+$C$35,2),"")</f>
        <v/>
      </c>
      <c r="E125" s="1" t="str">
        <f>IFERROR(ROUND($D$35*Table65[[#This Row],[Pet ID]]+$E$35,3),"")</f>
        <v/>
      </c>
    </row>
  </sheetData>
  <dataConsolidate/>
  <mergeCells count="3">
    <mergeCell ref="B33:C33"/>
    <mergeCell ref="D33:E33"/>
    <mergeCell ref="A19:C20"/>
  </mergeCells>
  <pageMargins left="0.7" right="0.7" top="0.75" bottom="0.75" header="0.3" footer="0.3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>
    <tabColor theme="7"/>
  </sheetPr>
  <dimension ref="A1:W96"/>
  <sheetViews>
    <sheetView topLeftCell="C1" workbookViewId="0">
      <selection activeCell="K12" sqref="K12"/>
    </sheetView>
  </sheetViews>
  <sheetFormatPr defaultRowHeight="15" x14ac:dyDescent="0.25"/>
  <cols>
    <col min="1" max="1" width="18.140625" customWidth="1"/>
    <col min="2" max="2" width="14.5703125" customWidth="1"/>
    <col min="3" max="3" width="11" customWidth="1"/>
    <col min="4" max="4" width="23.5703125" bestFit="1" customWidth="1"/>
    <col min="5" max="5" width="13.5703125" bestFit="1" customWidth="1"/>
    <col min="6" max="6" width="19.28515625" bestFit="1" customWidth="1"/>
    <col min="7" max="7" width="23.85546875" customWidth="1"/>
    <col min="8" max="8" width="10.28515625" bestFit="1" customWidth="1"/>
    <col min="9" max="9" width="11.28515625" customWidth="1"/>
    <col min="10" max="10" width="11.28515625" bestFit="1" customWidth="1"/>
    <col min="12" max="12" width="14.140625" customWidth="1"/>
    <col min="13" max="13" width="9.5703125" customWidth="1"/>
    <col min="14" max="14" width="13.5703125" bestFit="1" customWidth="1"/>
    <col min="15" max="15" width="19.28515625" bestFit="1" customWidth="1"/>
    <col min="17" max="17" width="36.140625" bestFit="1" customWidth="1"/>
    <col min="18" max="18" width="13.5703125" bestFit="1" customWidth="1"/>
    <col min="19" max="19" width="9.5703125" bestFit="1" customWidth="1"/>
    <col min="20" max="20" width="11.5703125" customWidth="1"/>
  </cols>
  <sheetData>
    <row r="1" spans="1:20" ht="18.75" x14ac:dyDescent="0.3">
      <c r="A1" s="7" t="s">
        <v>45</v>
      </c>
      <c r="B1" s="6"/>
      <c r="C1" s="6"/>
    </row>
    <row r="3" spans="1:20" x14ac:dyDescent="0.25">
      <c r="A3" s="4" t="s">
        <v>32</v>
      </c>
      <c r="B3" s="11">
        <v>9</v>
      </c>
      <c r="Q3" t="s">
        <v>113</v>
      </c>
      <c r="R3" t="s">
        <v>114</v>
      </c>
    </row>
    <row r="4" spans="1:20" x14ac:dyDescent="0.25">
      <c r="Q4" t="s">
        <v>115</v>
      </c>
    </row>
    <row r="5" spans="1:20" ht="15.75" x14ac:dyDescent="0.25">
      <c r="A5" s="14" t="s">
        <v>43</v>
      </c>
      <c r="B5" s="18"/>
      <c r="C5" s="19">
        <v>0.3</v>
      </c>
      <c r="L5" s="14" t="s">
        <v>21</v>
      </c>
      <c r="M5" s="14"/>
      <c r="N5" s="14"/>
      <c r="Q5" t="s">
        <v>116</v>
      </c>
    </row>
    <row r="6" spans="1:20" hidden="1" x14ac:dyDescent="0.25">
      <c r="A6" t="s">
        <v>27</v>
      </c>
      <c r="B6" t="s">
        <v>33</v>
      </c>
    </row>
    <row r="7" spans="1:20" hidden="1" x14ac:dyDescent="0.25">
      <c r="A7">
        <v>1</v>
      </c>
      <c r="B7" s="8">
        <f>1/POWER(Table17[[#This Row],[Quality]],$C$5)</f>
        <v>1</v>
      </c>
      <c r="D7" s="16" t="s">
        <v>30</v>
      </c>
    </row>
    <row r="8" spans="1:20" hidden="1" x14ac:dyDescent="0.25">
      <c r="A8">
        <v>3</v>
      </c>
      <c r="B8" s="8">
        <f>1/POWER(Table17[[#This Row],[Quality]],$C$5)</f>
        <v>0.71922309332486445</v>
      </c>
      <c r="D8" s="16" t="s">
        <v>31</v>
      </c>
    </row>
    <row r="9" spans="1:20" hidden="1" x14ac:dyDescent="0.25">
      <c r="A9">
        <v>4</v>
      </c>
      <c r="B9" s="8">
        <f>1/POWER(Table17[[#This Row],[Quality]],$C$5)</f>
        <v>0.65975395538644721</v>
      </c>
      <c r="D9" s="16"/>
    </row>
    <row r="10" spans="1:20" hidden="1" x14ac:dyDescent="0.25"/>
    <row r="11" spans="1:20" x14ac:dyDescent="0.25">
      <c r="A11" t="s">
        <v>27</v>
      </c>
      <c r="B11" t="s">
        <v>34</v>
      </c>
      <c r="C11" t="s">
        <v>23</v>
      </c>
      <c r="L11" s="1" t="s">
        <v>46</v>
      </c>
      <c r="M11" s="1" t="s">
        <v>27</v>
      </c>
      <c r="N11" s="1" t="s">
        <v>193</v>
      </c>
      <c r="O11" s="1" t="s">
        <v>194</v>
      </c>
      <c r="Q11" t="s">
        <v>117</v>
      </c>
    </row>
    <row r="12" spans="1:20" x14ac:dyDescent="0.25">
      <c r="A12" t="s">
        <v>28</v>
      </c>
      <c r="B12" s="8">
        <f>B7/SUM(Table17[Caclulation])</f>
        <v>0.42034873793410427</v>
      </c>
      <c r="C12">
        <f>ROUND(Table18[[#This Row],[Reparition]]*$B$3,0)</f>
        <v>4</v>
      </c>
      <c r="L12" s="1" t="s">
        <v>47</v>
      </c>
      <c r="M12" s="1" t="s">
        <v>29</v>
      </c>
      <c r="N12" s="5">
        <v>0.05</v>
      </c>
      <c r="O12" s="5">
        <v>0</v>
      </c>
      <c r="Q12" t="s">
        <v>118</v>
      </c>
    </row>
    <row r="13" spans="1:20" x14ac:dyDescent="0.25">
      <c r="A13" t="s">
        <v>29</v>
      </c>
      <c r="B13" s="8">
        <f>B8/SUM(Table17[Caclulation])</f>
        <v>0.30232451957216927</v>
      </c>
      <c r="C13">
        <f>ROUND(Table18[[#This Row],[Reparition]]*$B$3,0)</f>
        <v>3</v>
      </c>
      <c r="L13" s="1" t="s">
        <v>48</v>
      </c>
      <c r="M13" s="1" t="s">
        <v>29</v>
      </c>
      <c r="N13" s="13">
        <v>0</v>
      </c>
      <c r="O13" s="13">
        <v>0.05</v>
      </c>
    </row>
    <row r="14" spans="1:20" ht="15.75" x14ac:dyDescent="0.25">
      <c r="A14" t="s">
        <v>30</v>
      </c>
      <c r="B14" s="8">
        <f>B9/SUM(Table17[Caclulation])</f>
        <v>0.27732674249372641</v>
      </c>
      <c r="C14">
        <f>ROUND(Table18[[#This Row],[Reparition]]*$B$3,0)</f>
        <v>2</v>
      </c>
      <c r="L14" s="1" t="s">
        <v>49</v>
      </c>
      <c r="M14" s="1" t="s">
        <v>29</v>
      </c>
      <c r="N14" s="5">
        <v>0</v>
      </c>
      <c r="O14" s="5">
        <v>0.05</v>
      </c>
      <c r="Q14" s="23" t="s">
        <v>184</v>
      </c>
      <c r="R14" s="23"/>
      <c r="S14" s="23"/>
      <c r="T14" s="23"/>
    </row>
    <row r="15" spans="1:20" x14ac:dyDescent="0.25">
      <c r="L15" s="1" t="s">
        <v>50</v>
      </c>
      <c r="M15" s="1" t="s">
        <v>29</v>
      </c>
      <c r="N15" s="13">
        <v>0.1</v>
      </c>
      <c r="O15" s="13">
        <v>0</v>
      </c>
      <c r="Q15" s="5">
        <v>50</v>
      </c>
      <c r="R15" s="5"/>
      <c r="S15" s="5"/>
      <c r="T15" s="5"/>
    </row>
    <row r="16" spans="1:20" x14ac:dyDescent="0.25">
      <c r="A16" s="1" t="s">
        <v>4</v>
      </c>
      <c r="B16" s="1" t="s">
        <v>26</v>
      </c>
      <c r="C16" s="1" t="s">
        <v>27</v>
      </c>
      <c r="D16" s="1" t="s">
        <v>186</v>
      </c>
      <c r="E16" s="1" t="s">
        <v>193</v>
      </c>
      <c r="F16" s="1" t="s">
        <v>194</v>
      </c>
      <c r="G16" s="1" t="s">
        <v>203</v>
      </c>
      <c r="H16" s="1" t="s">
        <v>202</v>
      </c>
      <c r="L16" s="1" t="s">
        <v>51</v>
      </c>
      <c r="M16" s="1" t="s">
        <v>29</v>
      </c>
      <c r="N16" s="5">
        <v>0.1</v>
      </c>
      <c r="O16" s="5">
        <v>0.2</v>
      </c>
      <c r="Q16" s="5">
        <v>1.2</v>
      </c>
      <c r="R16" s="5">
        <v>2</v>
      </c>
      <c r="S16" s="5">
        <v>4</v>
      </c>
      <c r="T16" s="5">
        <v>6</v>
      </c>
    </row>
    <row r="17" spans="1:23" x14ac:dyDescent="0.25">
      <c r="A17" s="1">
        <v>1</v>
      </c>
      <c r="B17" s="1">
        <v>1</v>
      </c>
      <c r="C17" s="1" t="s">
        <v>28</v>
      </c>
      <c r="D17" s="1">
        <f>HLOOKUP(Table16[[#This Row],[Quality]],Table95[[#All],[Common]:[Epic]],Table16[[#This Row],[Dragon]]+1,FALSE)</f>
        <v>100</v>
      </c>
      <c r="E17" s="5">
        <v>0.2</v>
      </c>
      <c r="F17" s="5">
        <v>0</v>
      </c>
      <c r="G17" s="1">
        <v>5</v>
      </c>
      <c r="H17" s="1">
        <f>2*Table16[[#This Row],[Duration Bonus]]</f>
        <v>0</v>
      </c>
      <c r="L17" s="1" t="s">
        <v>52</v>
      </c>
      <c r="M17" s="1" t="s">
        <v>29</v>
      </c>
      <c r="N17" s="13">
        <v>0.25</v>
      </c>
      <c r="O17" s="13">
        <v>0.7</v>
      </c>
      <c r="Q17" s="1" t="s">
        <v>185</v>
      </c>
      <c r="R17" s="1" t="s">
        <v>28</v>
      </c>
      <c r="S17" s="1" t="s">
        <v>29</v>
      </c>
      <c r="T17" s="1" t="s">
        <v>30</v>
      </c>
      <c r="W17" s="5"/>
    </row>
    <row r="18" spans="1:23" x14ac:dyDescent="0.25">
      <c r="A18" s="1">
        <v>1</v>
      </c>
      <c r="B18" s="1">
        <v>2</v>
      </c>
      <c r="C18" s="1" t="s">
        <v>28</v>
      </c>
      <c r="D18" s="1">
        <f>HLOOKUP(Table16[[#This Row],[Quality]],Table95[[#All],[Common]:[Epic]],Table16[[#This Row],[Dragon]]+1,FALSE)</f>
        <v>100</v>
      </c>
      <c r="E18" s="13">
        <v>0</v>
      </c>
      <c r="F18" s="13">
        <v>0.2</v>
      </c>
      <c r="G18" s="1">
        <v>10</v>
      </c>
      <c r="H18" s="1">
        <f>2*Table16[[#This Row],[Duration Bonus]]</f>
        <v>0.4</v>
      </c>
      <c r="L18" s="1" t="s">
        <v>53</v>
      </c>
      <c r="M18" s="1" t="s">
        <v>30</v>
      </c>
      <c r="N18" s="5">
        <v>0.7</v>
      </c>
      <c r="O18" s="5">
        <v>0.3</v>
      </c>
      <c r="Q18" s="1">
        <v>1</v>
      </c>
      <c r="R18" s="1">
        <f>ROUND($Q$15*POWER(Table95[[#This Row],[Dragon egg / Disguise quality]],$Q$16)*R$16,-2)</f>
        <v>100</v>
      </c>
      <c r="S18" s="1">
        <f t="shared" ref="S18:S27" si="0">ROUND($Q$15*POWER(Q18,$Q$16)*S$16,-2)</f>
        <v>200</v>
      </c>
      <c r="T18" s="1">
        <f t="shared" ref="T18:T27" si="1">ROUND($Q$15*POWER(Q18,$Q$16)*T$16,-2)</f>
        <v>300</v>
      </c>
    </row>
    <row r="19" spans="1:23" x14ac:dyDescent="0.25">
      <c r="A19" s="1">
        <v>1</v>
      </c>
      <c r="B19" s="1">
        <v>3</v>
      </c>
      <c r="C19" s="1" t="s">
        <v>28</v>
      </c>
      <c r="D19" s="1">
        <f>HLOOKUP(Table16[[#This Row],[Quality]],Table95[[#All],[Common]:[Epic]],Table16[[#This Row],[Dragon]]+1,FALSE)</f>
        <v>100</v>
      </c>
      <c r="E19" s="5">
        <v>0</v>
      </c>
      <c r="F19" s="5">
        <v>0.2</v>
      </c>
      <c r="G19" s="1">
        <v>15</v>
      </c>
      <c r="H19" s="1">
        <f>2*Table16[[#This Row],[Duration Bonus]]</f>
        <v>0.4</v>
      </c>
      <c r="L19" s="1" t="s">
        <v>54</v>
      </c>
      <c r="M19" s="1" t="s">
        <v>30</v>
      </c>
      <c r="N19" s="13">
        <v>1</v>
      </c>
      <c r="O19" s="13">
        <v>0</v>
      </c>
      <c r="Q19" s="1">
        <v>2</v>
      </c>
      <c r="R19" s="1">
        <f>ROUND($Q$15*POWER(Table95[[#This Row],[Dragon egg / Disguise quality]],$Q$16)*R$16,-2)</f>
        <v>200</v>
      </c>
      <c r="S19" s="1">
        <f t="shared" si="0"/>
        <v>500</v>
      </c>
      <c r="T19" s="1">
        <f t="shared" si="1"/>
        <v>700</v>
      </c>
    </row>
    <row r="20" spans="1:23" x14ac:dyDescent="0.25">
      <c r="A20" s="1">
        <v>1</v>
      </c>
      <c r="B20" s="1">
        <v>4</v>
      </c>
      <c r="C20" s="1" t="s">
        <v>28</v>
      </c>
      <c r="D20" s="1">
        <f>HLOOKUP(Table16[[#This Row],[Quality]],Table95[[#All],[Common]:[Epic]],Table16[[#This Row],[Dragon]]+1,FALSE)</f>
        <v>100</v>
      </c>
      <c r="E20" s="13">
        <v>0.4</v>
      </c>
      <c r="F20" s="13">
        <v>0</v>
      </c>
      <c r="G20" s="1">
        <v>20</v>
      </c>
      <c r="H20" s="1">
        <f>2*Table16[[#This Row],[Duration Bonus]]</f>
        <v>0</v>
      </c>
      <c r="L20" s="1" t="s">
        <v>55</v>
      </c>
      <c r="M20" s="1" t="s">
        <v>30</v>
      </c>
      <c r="N20" s="1">
        <v>0</v>
      </c>
      <c r="O20" s="1">
        <v>1</v>
      </c>
      <c r="Q20" s="1">
        <v>3</v>
      </c>
      <c r="R20" s="1">
        <f>ROUND($Q$15*POWER(Table95[[#This Row],[Dragon egg / Disguise quality]],$Q$16)*R$16,-2)</f>
        <v>400</v>
      </c>
      <c r="S20" s="1">
        <f t="shared" si="0"/>
        <v>700</v>
      </c>
      <c r="T20" s="1">
        <f t="shared" si="1"/>
        <v>1100</v>
      </c>
    </row>
    <row r="21" spans="1:23" x14ac:dyDescent="0.25">
      <c r="A21" s="1">
        <v>1</v>
      </c>
      <c r="B21" s="1">
        <v>5</v>
      </c>
      <c r="C21" s="1" t="s">
        <v>29</v>
      </c>
      <c r="D21" s="1">
        <f>HLOOKUP(Table16[[#This Row],[Quality]],Table95[[#All],[Common]:[Epic]],Table16[[#This Row],[Dragon]]+1,FALSE)</f>
        <v>200</v>
      </c>
      <c r="E21" s="5">
        <v>0.4</v>
      </c>
      <c r="F21" s="5">
        <v>0.8</v>
      </c>
      <c r="G21" s="1">
        <v>25</v>
      </c>
      <c r="H21" s="1">
        <f>2*Table16[[#This Row],[Duration Bonus]]</f>
        <v>1.6</v>
      </c>
      <c r="L21" s="1" t="s">
        <v>56</v>
      </c>
      <c r="M21" s="1" t="s">
        <v>30</v>
      </c>
      <c r="N21" s="1">
        <v>1</v>
      </c>
      <c r="O21" s="1">
        <v>1</v>
      </c>
      <c r="Q21" s="1">
        <v>4</v>
      </c>
      <c r="R21" s="1">
        <f>ROUND($Q$15*POWER(Table95[[#This Row],[Dragon egg / Disguise quality]],$Q$16)*R$16,-2)</f>
        <v>500</v>
      </c>
      <c r="S21" s="1">
        <f t="shared" si="0"/>
        <v>1100</v>
      </c>
      <c r="T21" s="1">
        <f t="shared" si="1"/>
        <v>1600</v>
      </c>
    </row>
    <row r="22" spans="1:23" x14ac:dyDescent="0.25">
      <c r="A22" s="1">
        <v>1</v>
      </c>
      <c r="B22" s="1">
        <v>6</v>
      </c>
      <c r="C22" s="1" t="s">
        <v>29</v>
      </c>
      <c r="D22" s="1">
        <f>HLOOKUP(Table16[[#This Row],[Quality]],Table95[[#All],[Common]:[Epic]],Table16[[#This Row],[Dragon]]+1,FALSE)</f>
        <v>200</v>
      </c>
      <c r="E22" s="13">
        <v>1</v>
      </c>
      <c r="F22" s="13">
        <v>2.8</v>
      </c>
      <c r="G22" s="1">
        <v>30</v>
      </c>
      <c r="H22" s="1">
        <f>2*Table16[[#This Row],[Duration Bonus]]</f>
        <v>5.6</v>
      </c>
      <c r="Q22" s="1">
        <v>5</v>
      </c>
      <c r="R22" s="1">
        <f>ROUND($Q$15*POWER(Table95[[#This Row],[Dragon egg / Disguise quality]],$Q$16)*R$16,-2)</f>
        <v>700</v>
      </c>
      <c r="S22" s="1">
        <f t="shared" si="0"/>
        <v>1400</v>
      </c>
      <c r="T22" s="1">
        <f t="shared" si="1"/>
        <v>2100</v>
      </c>
    </row>
    <row r="23" spans="1:23" x14ac:dyDescent="0.25">
      <c r="A23" s="1">
        <v>1</v>
      </c>
      <c r="B23" s="1">
        <v>7</v>
      </c>
      <c r="C23" s="1" t="s">
        <v>29</v>
      </c>
      <c r="D23" s="1">
        <f>HLOOKUP(Table16[[#This Row],[Quality]],Table95[[#All],[Common]:[Epic]],Table16[[#This Row],[Dragon]]+1,FALSE)</f>
        <v>200</v>
      </c>
      <c r="E23" s="5">
        <v>2.8</v>
      </c>
      <c r="F23" s="5">
        <v>1.2</v>
      </c>
      <c r="G23" s="1">
        <v>35</v>
      </c>
      <c r="H23" s="1">
        <f>2*Table16[[#This Row],[Duration Bonus]]</f>
        <v>2.4</v>
      </c>
      <c r="Q23" s="1">
        <v>6</v>
      </c>
      <c r="R23" s="1">
        <f>ROUND($Q$15*POWER(Table95[[#This Row],[Dragon egg / Disguise quality]],$Q$16)*R$16,-2)</f>
        <v>900</v>
      </c>
      <c r="S23" s="1">
        <f t="shared" si="0"/>
        <v>1700</v>
      </c>
      <c r="T23" s="1">
        <f t="shared" si="1"/>
        <v>2600</v>
      </c>
    </row>
    <row r="24" spans="1:23" ht="15.75" x14ac:dyDescent="0.25">
      <c r="A24" s="1">
        <v>1</v>
      </c>
      <c r="B24" s="1">
        <v>8</v>
      </c>
      <c r="C24" s="1" t="s">
        <v>30</v>
      </c>
      <c r="D24" s="1">
        <f>HLOOKUP(Table16[[#This Row],[Quality]],Table95[[#All],[Common]:[Epic]],Table16[[#This Row],[Dragon]]+1,FALSE)</f>
        <v>300</v>
      </c>
      <c r="E24" s="13">
        <v>4</v>
      </c>
      <c r="F24" s="13">
        <v>0</v>
      </c>
      <c r="G24" s="1">
        <v>40</v>
      </c>
      <c r="H24" s="1">
        <f>2*Table16[[#This Row],[Duration Bonus]]</f>
        <v>0</v>
      </c>
      <c r="L24" s="23" t="s">
        <v>22</v>
      </c>
      <c r="M24" s="23"/>
      <c r="N24" s="14"/>
      <c r="Q24" s="1">
        <v>7</v>
      </c>
      <c r="R24" s="1">
        <f>ROUND($Q$15*POWER(Table95[[#This Row],[Dragon egg / Disguise quality]],$Q$16)*R$16,-2)</f>
        <v>1000</v>
      </c>
      <c r="S24" s="1">
        <f t="shared" si="0"/>
        <v>2100</v>
      </c>
      <c r="T24" s="1">
        <f t="shared" si="1"/>
        <v>3100</v>
      </c>
    </row>
    <row r="25" spans="1:23" x14ac:dyDescent="0.25">
      <c r="A25" s="1">
        <v>2</v>
      </c>
      <c r="B25" s="1">
        <v>9</v>
      </c>
      <c r="C25" s="1" t="s">
        <v>28</v>
      </c>
      <c r="D25" s="1">
        <f>HLOOKUP(Table16[[#This Row],[Quality]],Table95[[#All],[Common]:[Epic]],Table16[[#This Row],[Dragon]]+1,FALSE)</f>
        <v>200</v>
      </c>
      <c r="E25" s="5">
        <v>0.2</v>
      </c>
      <c r="F25" s="5">
        <v>0</v>
      </c>
      <c r="G25" s="1">
        <v>5</v>
      </c>
      <c r="H25" s="1">
        <f>2*Table16[[#This Row],[Duration Bonus]]</f>
        <v>0</v>
      </c>
      <c r="L25" s="12" t="s">
        <v>57</v>
      </c>
      <c r="M25" s="12" t="s">
        <v>27</v>
      </c>
      <c r="Q25" s="1">
        <v>8</v>
      </c>
      <c r="R25" s="1">
        <f>ROUND($Q$15*POWER(Table95[[#This Row],[Dragon egg / Disguise quality]],$Q$16)*R$16,-2)</f>
        <v>1200</v>
      </c>
      <c r="S25" s="1">
        <f t="shared" si="0"/>
        <v>2400</v>
      </c>
      <c r="T25" s="1">
        <f t="shared" si="1"/>
        <v>3600</v>
      </c>
    </row>
    <row r="26" spans="1:23" x14ac:dyDescent="0.25">
      <c r="A26" s="1">
        <v>2</v>
      </c>
      <c r="B26" s="1">
        <v>10</v>
      </c>
      <c r="C26" s="1" t="s">
        <v>28</v>
      </c>
      <c r="D26" s="1">
        <f>HLOOKUP(Table16[[#This Row],[Quality]],Table95[[#All],[Common]:[Epic]],Table16[[#This Row],[Dragon]]+1,FALSE)</f>
        <v>200</v>
      </c>
      <c r="E26" s="13">
        <v>0</v>
      </c>
      <c r="F26" s="13">
        <v>0.2</v>
      </c>
      <c r="G26" s="1">
        <v>10</v>
      </c>
      <c r="H26" s="1">
        <f>2*Table16[[#This Row],[Duration Bonus]]</f>
        <v>0.4</v>
      </c>
      <c r="L26" s="5" t="s">
        <v>58</v>
      </c>
      <c r="M26" s="5" t="s">
        <v>30</v>
      </c>
      <c r="Q26" s="1">
        <v>9</v>
      </c>
      <c r="R26" s="1">
        <f>ROUND($Q$15*POWER(Table95[[#This Row],[Dragon egg / Disguise quality]],$Q$16)*R$16,-2)</f>
        <v>1400</v>
      </c>
      <c r="S26" s="1">
        <f t="shared" si="0"/>
        <v>2800</v>
      </c>
      <c r="T26" s="1">
        <f t="shared" si="1"/>
        <v>4200</v>
      </c>
    </row>
    <row r="27" spans="1:23" x14ac:dyDescent="0.25">
      <c r="A27" s="1">
        <v>2</v>
      </c>
      <c r="B27" s="1">
        <v>11</v>
      </c>
      <c r="C27" s="1" t="s">
        <v>28</v>
      </c>
      <c r="D27" s="1">
        <f>HLOOKUP(Table16[[#This Row],[Quality]],Table95[[#All],[Common]:[Epic]],Table16[[#This Row],[Dragon]]+1,FALSE)</f>
        <v>200</v>
      </c>
      <c r="E27" s="5">
        <v>0</v>
      </c>
      <c r="F27" s="5">
        <v>0.2</v>
      </c>
      <c r="G27" s="1">
        <v>15</v>
      </c>
      <c r="H27" s="1">
        <f>2*Table16[[#This Row],[Duration Bonus]]</f>
        <v>0.4</v>
      </c>
      <c r="L27" s="13" t="s">
        <v>59</v>
      </c>
      <c r="M27" s="13" t="s">
        <v>30</v>
      </c>
      <c r="Q27" s="1">
        <v>10</v>
      </c>
      <c r="R27" s="1">
        <f>ROUND($Q$15*POWER(Table95[[#This Row],[Dragon egg / Disguise quality]],$Q$16)*R$16,-2)</f>
        <v>1600</v>
      </c>
      <c r="S27" s="1">
        <f t="shared" si="0"/>
        <v>3200</v>
      </c>
      <c r="T27" s="1">
        <f t="shared" si="1"/>
        <v>4800</v>
      </c>
    </row>
    <row r="28" spans="1:23" x14ac:dyDescent="0.25">
      <c r="A28" s="1">
        <v>2</v>
      </c>
      <c r="B28" s="1">
        <v>12</v>
      </c>
      <c r="C28" s="1" t="s">
        <v>28</v>
      </c>
      <c r="D28" s="1">
        <f>HLOOKUP(Table16[[#This Row],[Quality]],Table95[[#All],[Common]:[Epic]],Table16[[#This Row],[Dragon]]+1,FALSE)</f>
        <v>200</v>
      </c>
      <c r="E28" s="13">
        <v>0.4</v>
      </c>
      <c r="F28" s="13">
        <v>0</v>
      </c>
      <c r="G28" s="1">
        <v>20</v>
      </c>
      <c r="H28" s="1">
        <f>2*Table16[[#This Row],[Duration Bonus]]</f>
        <v>0</v>
      </c>
      <c r="L28" s="5" t="s">
        <v>60</v>
      </c>
      <c r="M28" s="5" t="s">
        <v>30</v>
      </c>
    </row>
    <row r="29" spans="1:23" x14ac:dyDescent="0.25">
      <c r="A29" s="1">
        <v>2</v>
      </c>
      <c r="B29" s="1">
        <v>13</v>
      </c>
      <c r="C29" s="1" t="s">
        <v>29</v>
      </c>
      <c r="D29" s="1">
        <f>HLOOKUP(Table16[[#This Row],[Quality]],Table95[[#All],[Common]:[Epic]],Table16[[#This Row],[Dragon]]+1,FALSE)</f>
        <v>500</v>
      </c>
      <c r="E29" s="5">
        <v>0.4</v>
      </c>
      <c r="F29" s="5">
        <v>0.8</v>
      </c>
      <c r="G29" s="1">
        <v>25</v>
      </c>
      <c r="H29" s="1">
        <f>2*Table16[[#This Row],[Duration Bonus]]</f>
        <v>1.6</v>
      </c>
    </row>
    <row r="30" spans="1:23" x14ac:dyDescent="0.25">
      <c r="A30" s="1">
        <v>2</v>
      </c>
      <c r="B30" s="1">
        <v>14</v>
      </c>
      <c r="C30" s="1" t="s">
        <v>29</v>
      </c>
      <c r="D30" s="1">
        <f>HLOOKUP(Table16[[#This Row],[Quality]],Table95[[#All],[Common]:[Epic]],Table16[[#This Row],[Dragon]]+1,FALSE)</f>
        <v>500</v>
      </c>
      <c r="E30" s="13">
        <v>1</v>
      </c>
      <c r="F30" s="13">
        <v>2.8</v>
      </c>
      <c r="G30" s="1">
        <v>30</v>
      </c>
      <c r="H30" s="1">
        <f>2*Table16[[#This Row],[Duration Bonus]]</f>
        <v>5.6</v>
      </c>
    </row>
    <row r="31" spans="1:23" ht="15.75" x14ac:dyDescent="0.25">
      <c r="A31" s="1">
        <v>2</v>
      </c>
      <c r="B31" s="1">
        <v>15</v>
      </c>
      <c r="C31" s="1" t="s">
        <v>29</v>
      </c>
      <c r="D31" s="1">
        <f>HLOOKUP(Table16[[#This Row],[Quality]],Table95[[#All],[Common]:[Epic]],Table16[[#This Row],[Dragon]]+1,FALSE)</f>
        <v>500</v>
      </c>
      <c r="E31" s="5">
        <v>2.8</v>
      </c>
      <c r="F31" s="5">
        <v>1.2</v>
      </c>
      <c r="G31" s="1">
        <v>35</v>
      </c>
      <c r="H31" s="1">
        <f>2*Table16[[#This Row],[Duration Bonus]]</f>
        <v>2.4</v>
      </c>
      <c r="L31" s="23" t="s">
        <v>182</v>
      </c>
      <c r="M31" s="23"/>
      <c r="N31" s="14"/>
    </row>
    <row r="32" spans="1:23" x14ac:dyDescent="0.25">
      <c r="A32" s="1">
        <v>2</v>
      </c>
      <c r="B32" s="1">
        <v>16</v>
      </c>
      <c r="C32" s="1" t="s">
        <v>30</v>
      </c>
      <c r="D32" s="1">
        <f>HLOOKUP(Table16[[#This Row],[Quality]],Table95[[#All],[Common]:[Epic]],Table16[[#This Row],[Dragon]]+1,FALSE)</f>
        <v>700</v>
      </c>
      <c r="E32" s="13">
        <v>4</v>
      </c>
      <c r="F32" s="13">
        <v>0</v>
      </c>
      <c r="G32" s="1">
        <v>40</v>
      </c>
      <c r="H32" s="1">
        <f>2*Table16[[#This Row],[Duration Bonus]]</f>
        <v>0</v>
      </c>
      <c r="L32" s="12" t="s">
        <v>181</v>
      </c>
      <c r="M32" s="12" t="s">
        <v>183</v>
      </c>
    </row>
    <row r="33" spans="1:13" x14ac:dyDescent="0.25">
      <c r="A33" s="1">
        <v>3</v>
      </c>
      <c r="B33" s="1">
        <v>17</v>
      </c>
      <c r="C33" s="1" t="s">
        <v>28</v>
      </c>
      <c r="D33" s="1">
        <f>HLOOKUP(Table16[[#This Row],[Quality]],Table95[[#All],[Common]:[Epic]],Table16[[#This Row],[Dragon]]+1,FALSE)</f>
        <v>400</v>
      </c>
      <c r="E33" s="5">
        <v>0.2</v>
      </c>
      <c r="F33" s="5">
        <v>0</v>
      </c>
      <c r="G33" s="1">
        <v>5</v>
      </c>
      <c r="H33" s="1">
        <f>2*Table16[[#This Row],[Duration Bonus]]</f>
        <v>0</v>
      </c>
      <c r="L33" s="5">
        <v>1</v>
      </c>
      <c r="M33" s="3">
        <f>Table2395[[#This Row],[Rank]]/3</f>
        <v>0.33333333333333331</v>
      </c>
    </row>
    <row r="34" spans="1:13" x14ac:dyDescent="0.25">
      <c r="A34" s="1">
        <v>3</v>
      </c>
      <c r="B34" s="1">
        <v>18</v>
      </c>
      <c r="C34" s="1" t="s">
        <v>28</v>
      </c>
      <c r="D34" s="1">
        <f>HLOOKUP(Table16[[#This Row],[Quality]],Table95[[#All],[Common]:[Epic]],Table16[[#This Row],[Dragon]]+1,FALSE)</f>
        <v>400</v>
      </c>
      <c r="E34" s="13">
        <v>0</v>
      </c>
      <c r="F34" s="13">
        <v>0.2</v>
      </c>
      <c r="G34" s="1">
        <v>10</v>
      </c>
      <c r="H34" s="1">
        <f>2*Table16[[#This Row],[Duration Bonus]]</f>
        <v>0.4</v>
      </c>
      <c r="L34" s="13">
        <v>2</v>
      </c>
      <c r="M34" s="3">
        <f>Table2395[[#This Row],[Rank]]/3</f>
        <v>0.66666666666666663</v>
      </c>
    </row>
    <row r="35" spans="1:13" x14ac:dyDescent="0.25">
      <c r="A35" s="1">
        <v>3</v>
      </c>
      <c r="B35" s="1">
        <v>19</v>
      </c>
      <c r="C35" s="1" t="s">
        <v>28</v>
      </c>
      <c r="D35" s="1">
        <f>HLOOKUP(Table16[[#This Row],[Quality]],Table95[[#All],[Common]:[Epic]],Table16[[#This Row],[Dragon]]+1,FALSE)</f>
        <v>400</v>
      </c>
      <c r="E35" s="5">
        <v>0</v>
      </c>
      <c r="F35" s="5">
        <v>0.2</v>
      </c>
      <c r="G35" s="1">
        <v>15</v>
      </c>
      <c r="H35" s="1">
        <f>2*Table16[[#This Row],[Duration Bonus]]</f>
        <v>0.4</v>
      </c>
      <c r="L35" s="5">
        <v>3</v>
      </c>
      <c r="M35" s="3">
        <f>Table2395[[#This Row],[Rank]]/3</f>
        <v>1</v>
      </c>
    </row>
    <row r="36" spans="1:13" x14ac:dyDescent="0.25">
      <c r="A36" s="1">
        <v>3</v>
      </c>
      <c r="B36" s="1">
        <v>20</v>
      </c>
      <c r="C36" s="1" t="s">
        <v>28</v>
      </c>
      <c r="D36" s="1">
        <f>HLOOKUP(Table16[[#This Row],[Quality]],Table95[[#All],[Common]:[Epic]],Table16[[#This Row],[Dragon]]+1,FALSE)</f>
        <v>400</v>
      </c>
      <c r="E36" s="13">
        <v>0.4</v>
      </c>
      <c r="F36" s="13">
        <v>0</v>
      </c>
      <c r="G36" s="1">
        <v>20</v>
      </c>
      <c r="H36" s="1">
        <f>2*Table16[[#This Row],[Duration Bonus]]</f>
        <v>0</v>
      </c>
    </row>
    <row r="37" spans="1:13" x14ac:dyDescent="0.25">
      <c r="A37" s="1">
        <v>3</v>
      </c>
      <c r="B37" s="1">
        <v>21</v>
      </c>
      <c r="C37" s="1" t="s">
        <v>29</v>
      </c>
      <c r="D37" s="1">
        <f>HLOOKUP(Table16[[#This Row],[Quality]],Table95[[#All],[Common]:[Epic]],Table16[[#This Row],[Dragon]]+1,FALSE)</f>
        <v>700</v>
      </c>
      <c r="E37" s="5">
        <v>0.4</v>
      </c>
      <c r="F37" s="5">
        <v>0.8</v>
      </c>
      <c r="G37" s="1">
        <v>25</v>
      </c>
      <c r="H37" s="1">
        <f>2*Table16[[#This Row],[Duration Bonus]]</f>
        <v>1.6</v>
      </c>
    </row>
    <row r="38" spans="1:13" x14ac:dyDescent="0.25">
      <c r="A38" s="1">
        <v>3</v>
      </c>
      <c r="B38" s="1">
        <v>22</v>
      </c>
      <c r="C38" s="1" t="s">
        <v>29</v>
      </c>
      <c r="D38" s="1">
        <f>HLOOKUP(Table16[[#This Row],[Quality]],Table95[[#All],[Common]:[Epic]],Table16[[#This Row],[Dragon]]+1,FALSE)</f>
        <v>700</v>
      </c>
      <c r="E38" s="13">
        <v>1</v>
      </c>
      <c r="F38" s="13">
        <v>2.8</v>
      </c>
      <c r="G38" s="1">
        <v>30</v>
      </c>
      <c r="H38" s="1">
        <f>2*Table16[[#This Row],[Duration Bonus]]</f>
        <v>5.6</v>
      </c>
    </row>
    <row r="39" spans="1:13" x14ac:dyDescent="0.25">
      <c r="A39" s="1">
        <v>3</v>
      </c>
      <c r="B39" s="1">
        <v>23</v>
      </c>
      <c r="C39" s="1" t="s">
        <v>29</v>
      </c>
      <c r="D39" s="1">
        <f>HLOOKUP(Table16[[#This Row],[Quality]],Table95[[#All],[Common]:[Epic]],Table16[[#This Row],[Dragon]]+1,FALSE)</f>
        <v>700</v>
      </c>
      <c r="E39" s="5">
        <v>2.8</v>
      </c>
      <c r="F39" s="5">
        <v>1.2</v>
      </c>
      <c r="G39" s="1">
        <v>35</v>
      </c>
      <c r="H39" s="1">
        <f>2*Table16[[#This Row],[Duration Bonus]]</f>
        <v>2.4</v>
      </c>
    </row>
    <row r="40" spans="1:13" x14ac:dyDescent="0.25">
      <c r="A40" s="1">
        <v>3</v>
      </c>
      <c r="B40" s="1">
        <v>24</v>
      </c>
      <c r="C40" s="1" t="s">
        <v>30</v>
      </c>
      <c r="D40" s="1">
        <f>HLOOKUP(Table16[[#This Row],[Quality]],Table95[[#All],[Common]:[Epic]],Table16[[#This Row],[Dragon]]+1,FALSE)</f>
        <v>1100</v>
      </c>
      <c r="E40" s="13">
        <v>4</v>
      </c>
      <c r="F40" s="13">
        <v>0</v>
      </c>
      <c r="G40" s="1">
        <v>40</v>
      </c>
      <c r="H40" s="1">
        <f>2*Table16[[#This Row],[Duration Bonus]]</f>
        <v>0</v>
      </c>
    </row>
    <row r="41" spans="1:13" x14ac:dyDescent="0.25">
      <c r="A41" s="1">
        <v>4</v>
      </c>
      <c r="B41" s="1">
        <v>25</v>
      </c>
      <c r="C41" s="1" t="s">
        <v>28</v>
      </c>
      <c r="D41" s="1">
        <f>HLOOKUP(Table16[[#This Row],[Quality]],Table95[[#All],[Common]:[Epic]],Table16[[#This Row],[Dragon]]+1,FALSE)</f>
        <v>500</v>
      </c>
      <c r="E41" s="5">
        <v>0.2</v>
      </c>
      <c r="F41" s="5">
        <v>0</v>
      </c>
      <c r="G41" s="1">
        <v>5</v>
      </c>
      <c r="H41" s="1">
        <f>2*Table16[[#This Row],[Duration Bonus]]</f>
        <v>0</v>
      </c>
    </row>
    <row r="42" spans="1:13" x14ac:dyDescent="0.25">
      <c r="A42" s="1">
        <v>4</v>
      </c>
      <c r="B42" s="1">
        <v>26</v>
      </c>
      <c r="C42" s="1" t="s">
        <v>28</v>
      </c>
      <c r="D42" s="1">
        <f>HLOOKUP(Table16[[#This Row],[Quality]],Table95[[#All],[Common]:[Epic]],Table16[[#This Row],[Dragon]]+1,FALSE)</f>
        <v>500</v>
      </c>
      <c r="E42" s="13">
        <v>0</v>
      </c>
      <c r="F42" s="13">
        <v>0.2</v>
      </c>
      <c r="G42" s="1">
        <v>10</v>
      </c>
      <c r="H42" s="1">
        <f>2*Table16[[#This Row],[Duration Bonus]]</f>
        <v>0.4</v>
      </c>
    </row>
    <row r="43" spans="1:13" x14ac:dyDescent="0.25">
      <c r="A43" s="1">
        <v>4</v>
      </c>
      <c r="B43" s="1">
        <v>27</v>
      </c>
      <c r="C43" s="1" t="s">
        <v>28</v>
      </c>
      <c r="D43" s="1">
        <f>HLOOKUP(Table16[[#This Row],[Quality]],Table95[[#All],[Common]:[Epic]],Table16[[#This Row],[Dragon]]+1,FALSE)</f>
        <v>500</v>
      </c>
      <c r="E43" s="5">
        <v>0</v>
      </c>
      <c r="F43" s="5">
        <v>0.2</v>
      </c>
      <c r="G43" s="1">
        <v>15</v>
      </c>
      <c r="H43" s="1">
        <f>2*Table16[[#This Row],[Duration Bonus]]</f>
        <v>0.4</v>
      </c>
    </row>
    <row r="44" spans="1:13" x14ac:dyDescent="0.25">
      <c r="A44" s="1">
        <v>4</v>
      </c>
      <c r="B44" s="1">
        <v>28</v>
      </c>
      <c r="C44" s="1" t="s">
        <v>28</v>
      </c>
      <c r="D44" s="1">
        <f>HLOOKUP(Table16[[#This Row],[Quality]],Table95[[#All],[Common]:[Epic]],Table16[[#This Row],[Dragon]]+1,FALSE)</f>
        <v>500</v>
      </c>
      <c r="E44" s="13">
        <v>0.4</v>
      </c>
      <c r="F44" s="13">
        <v>0</v>
      </c>
      <c r="G44" s="1">
        <v>20</v>
      </c>
      <c r="H44" s="1">
        <f>2*Table16[[#This Row],[Duration Bonus]]</f>
        <v>0</v>
      </c>
    </row>
    <row r="45" spans="1:13" x14ac:dyDescent="0.25">
      <c r="A45" s="1">
        <v>4</v>
      </c>
      <c r="B45" s="1">
        <v>29</v>
      </c>
      <c r="C45" s="1" t="s">
        <v>29</v>
      </c>
      <c r="D45" s="1">
        <f>HLOOKUP(Table16[[#This Row],[Quality]],Table95[[#All],[Common]:[Epic]],Table16[[#This Row],[Dragon]]+1,FALSE)</f>
        <v>1100</v>
      </c>
      <c r="E45" s="5">
        <v>0.4</v>
      </c>
      <c r="F45" s="5">
        <v>0.8</v>
      </c>
      <c r="G45" s="1">
        <v>25</v>
      </c>
      <c r="H45" s="1">
        <f>2*Table16[[#This Row],[Duration Bonus]]</f>
        <v>1.6</v>
      </c>
    </row>
    <row r="46" spans="1:13" x14ac:dyDescent="0.25">
      <c r="A46" s="1">
        <v>4</v>
      </c>
      <c r="B46" s="1">
        <v>30</v>
      </c>
      <c r="C46" s="1" t="s">
        <v>29</v>
      </c>
      <c r="D46" s="1">
        <f>HLOOKUP(Table16[[#This Row],[Quality]],Table95[[#All],[Common]:[Epic]],Table16[[#This Row],[Dragon]]+1,FALSE)</f>
        <v>1100</v>
      </c>
      <c r="E46" s="13">
        <v>1</v>
      </c>
      <c r="F46" s="13">
        <v>2.8</v>
      </c>
      <c r="G46" s="1">
        <v>30</v>
      </c>
      <c r="H46" s="1">
        <f>2*Table16[[#This Row],[Duration Bonus]]</f>
        <v>5.6</v>
      </c>
    </row>
    <row r="47" spans="1:13" x14ac:dyDescent="0.25">
      <c r="A47" s="1">
        <v>4</v>
      </c>
      <c r="B47" s="1">
        <v>31</v>
      </c>
      <c r="C47" s="1" t="s">
        <v>29</v>
      </c>
      <c r="D47" s="1">
        <f>HLOOKUP(Table16[[#This Row],[Quality]],Table95[[#All],[Common]:[Epic]],Table16[[#This Row],[Dragon]]+1,FALSE)</f>
        <v>1100</v>
      </c>
      <c r="E47" s="5">
        <v>2.8</v>
      </c>
      <c r="F47" s="5">
        <v>1.2</v>
      </c>
      <c r="G47" s="1">
        <v>35</v>
      </c>
      <c r="H47" s="1">
        <f>2*Table16[[#This Row],[Duration Bonus]]</f>
        <v>2.4</v>
      </c>
    </row>
    <row r="48" spans="1:13" x14ac:dyDescent="0.25">
      <c r="A48" s="1">
        <v>4</v>
      </c>
      <c r="B48" s="1">
        <v>32</v>
      </c>
      <c r="C48" s="1" t="s">
        <v>30</v>
      </c>
      <c r="D48" s="1">
        <f>HLOOKUP(Table16[[#This Row],[Quality]],Table95[[#All],[Common]:[Epic]],Table16[[#This Row],[Dragon]]+1,FALSE)</f>
        <v>1600</v>
      </c>
      <c r="E48" s="13">
        <v>4</v>
      </c>
      <c r="F48" s="13">
        <v>0</v>
      </c>
      <c r="G48" s="1">
        <v>40</v>
      </c>
      <c r="H48" s="1">
        <f>2*Table16[[#This Row],[Duration Bonus]]</f>
        <v>0</v>
      </c>
    </row>
    <row r="49" spans="1:8" x14ac:dyDescent="0.25">
      <c r="A49" s="1">
        <v>5</v>
      </c>
      <c r="B49" s="1">
        <v>33</v>
      </c>
      <c r="C49" s="1" t="s">
        <v>28</v>
      </c>
      <c r="D49" s="1">
        <f>HLOOKUP(Table16[[#This Row],[Quality]],Table95[[#All],[Common]:[Epic]],Table16[[#This Row],[Dragon]]+1,FALSE)</f>
        <v>700</v>
      </c>
      <c r="E49" s="5">
        <v>0.2</v>
      </c>
      <c r="F49" s="5">
        <v>0</v>
      </c>
      <c r="G49" s="1">
        <v>5</v>
      </c>
      <c r="H49" s="1">
        <f>2*Table16[[#This Row],[Duration Bonus]]</f>
        <v>0</v>
      </c>
    </row>
    <row r="50" spans="1:8" x14ac:dyDescent="0.25">
      <c r="A50" s="1">
        <v>5</v>
      </c>
      <c r="B50" s="1">
        <v>34</v>
      </c>
      <c r="C50" s="1" t="s">
        <v>28</v>
      </c>
      <c r="D50" s="1">
        <f>HLOOKUP(Table16[[#This Row],[Quality]],Table95[[#All],[Common]:[Epic]],Table16[[#This Row],[Dragon]]+1,FALSE)</f>
        <v>700</v>
      </c>
      <c r="E50" s="13">
        <v>0</v>
      </c>
      <c r="F50" s="13">
        <v>0.2</v>
      </c>
      <c r="G50" s="1">
        <v>10</v>
      </c>
      <c r="H50" s="1">
        <f>2*Table16[[#This Row],[Duration Bonus]]</f>
        <v>0.4</v>
      </c>
    </row>
    <row r="51" spans="1:8" x14ac:dyDescent="0.25">
      <c r="A51" s="1">
        <v>5</v>
      </c>
      <c r="B51" s="1">
        <v>35</v>
      </c>
      <c r="C51" s="1" t="s">
        <v>28</v>
      </c>
      <c r="D51" s="1">
        <f>HLOOKUP(Table16[[#This Row],[Quality]],Table95[[#All],[Common]:[Epic]],Table16[[#This Row],[Dragon]]+1,FALSE)</f>
        <v>700</v>
      </c>
      <c r="E51" s="5">
        <v>0</v>
      </c>
      <c r="F51" s="5">
        <v>0.2</v>
      </c>
      <c r="G51" s="1">
        <v>15</v>
      </c>
      <c r="H51" s="1">
        <f>2*Table16[[#This Row],[Duration Bonus]]</f>
        <v>0.4</v>
      </c>
    </row>
    <row r="52" spans="1:8" x14ac:dyDescent="0.25">
      <c r="A52" s="1">
        <v>5</v>
      </c>
      <c r="B52" s="1">
        <v>36</v>
      </c>
      <c r="C52" s="1" t="s">
        <v>28</v>
      </c>
      <c r="D52" s="1">
        <f>HLOOKUP(Table16[[#This Row],[Quality]],Table95[[#All],[Common]:[Epic]],Table16[[#This Row],[Dragon]]+1,FALSE)</f>
        <v>700</v>
      </c>
      <c r="E52" s="13">
        <v>0.4</v>
      </c>
      <c r="F52" s="13">
        <v>0</v>
      </c>
      <c r="G52" s="1">
        <v>20</v>
      </c>
      <c r="H52" s="1">
        <f>2*Table16[[#This Row],[Duration Bonus]]</f>
        <v>0</v>
      </c>
    </row>
    <row r="53" spans="1:8" x14ac:dyDescent="0.25">
      <c r="A53" s="1">
        <v>5</v>
      </c>
      <c r="B53" s="1">
        <v>37</v>
      </c>
      <c r="C53" s="1" t="s">
        <v>29</v>
      </c>
      <c r="D53" s="1">
        <f>HLOOKUP(Table16[[#This Row],[Quality]],Table95[[#All],[Common]:[Epic]],Table16[[#This Row],[Dragon]]+1,FALSE)</f>
        <v>1400</v>
      </c>
      <c r="E53" s="5">
        <v>0.4</v>
      </c>
      <c r="F53" s="5">
        <v>0.8</v>
      </c>
      <c r="G53" s="1">
        <v>25</v>
      </c>
      <c r="H53" s="1">
        <f>2*Table16[[#This Row],[Duration Bonus]]</f>
        <v>1.6</v>
      </c>
    </row>
    <row r="54" spans="1:8" x14ac:dyDescent="0.25">
      <c r="A54" s="1">
        <v>5</v>
      </c>
      <c r="B54" s="1">
        <v>38</v>
      </c>
      <c r="C54" s="1" t="s">
        <v>29</v>
      </c>
      <c r="D54" s="1">
        <f>HLOOKUP(Table16[[#This Row],[Quality]],Table95[[#All],[Common]:[Epic]],Table16[[#This Row],[Dragon]]+1,FALSE)</f>
        <v>1400</v>
      </c>
      <c r="E54" s="13">
        <v>1</v>
      </c>
      <c r="F54" s="13">
        <v>2.8</v>
      </c>
      <c r="G54" s="1">
        <v>30</v>
      </c>
      <c r="H54" s="1">
        <f>2*Table16[[#This Row],[Duration Bonus]]</f>
        <v>5.6</v>
      </c>
    </row>
    <row r="55" spans="1:8" x14ac:dyDescent="0.25">
      <c r="A55" s="1">
        <v>5</v>
      </c>
      <c r="B55" s="1">
        <v>39</v>
      </c>
      <c r="C55" s="1" t="s">
        <v>29</v>
      </c>
      <c r="D55" s="1">
        <f>HLOOKUP(Table16[[#This Row],[Quality]],Table95[[#All],[Common]:[Epic]],Table16[[#This Row],[Dragon]]+1,FALSE)</f>
        <v>1400</v>
      </c>
      <c r="E55" s="5">
        <v>2.8</v>
      </c>
      <c r="F55" s="5">
        <v>1.2</v>
      </c>
      <c r="G55" s="1">
        <v>35</v>
      </c>
      <c r="H55" s="1">
        <f>2*Table16[[#This Row],[Duration Bonus]]</f>
        <v>2.4</v>
      </c>
    </row>
    <row r="56" spans="1:8" x14ac:dyDescent="0.25">
      <c r="A56" s="1">
        <v>5</v>
      </c>
      <c r="B56" s="1">
        <v>40</v>
      </c>
      <c r="C56" s="1" t="s">
        <v>30</v>
      </c>
      <c r="D56" s="1">
        <f>HLOOKUP(Table16[[#This Row],[Quality]],Table95[[#All],[Common]:[Epic]],Table16[[#This Row],[Dragon]]+1,FALSE)</f>
        <v>2100</v>
      </c>
      <c r="E56" s="13">
        <v>4</v>
      </c>
      <c r="F56" s="13">
        <v>0</v>
      </c>
      <c r="G56" s="1">
        <v>40</v>
      </c>
      <c r="H56" s="1">
        <f>2*Table16[[#This Row],[Duration Bonus]]</f>
        <v>0</v>
      </c>
    </row>
    <row r="57" spans="1:8" x14ac:dyDescent="0.25">
      <c r="A57" s="1">
        <v>6</v>
      </c>
      <c r="B57" s="1">
        <v>41</v>
      </c>
      <c r="C57" s="1" t="s">
        <v>28</v>
      </c>
      <c r="D57" s="1">
        <f>HLOOKUP(Table16[[#This Row],[Quality]],Table95[[#All],[Common]:[Epic]],Table16[[#This Row],[Dragon]]+1,FALSE)</f>
        <v>900</v>
      </c>
      <c r="E57" s="5">
        <v>0.2</v>
      </c>
      <c r="F57" s="5">
        <v>0</v>
      </c>
      <c r="G57" s="1">
        <v>5</v>
      </c>
      <c r="H57" s="1">
        <f>2*Table16[[#This Row],[Duration Bonus]]</f>
        <v>0</v>
      </c>
    </row>
    <row r="58" spans="1:8" x14ac:dyDescent="0.25">
      <c r="A58" s="1">
        <v>6</v>
      </c>
      <c r="B58" s="1">
        <v>42</v>
      </c>
      <c r="C58" s="1" t="s">
        <v>28</v>
      </c>
      <c r="D58" s="1">
        <f>HLOOKUP(Table16[[#This Row],[Quality]],Table95[[#All],[Common]:[Epic]],Table16[[#This Row],[Dragon]]+1,FALSE)</f>
        <v>900</v>
      </c>
      <c r="E58" s="13">
        <v>0</v>
      </c>
      <c r="F58" s="13">
        <v>0.2</v>
      </c>
      <c r="G58" s="1">
        <v>10</v>
      </c>
      <c r="H58" s="1">
        <f>2*Table16[[#This Row],[Duration Bonus]]</f>
        <v>0.4</v>
      </c>
    </row>
    <row r="59" spans="1:8" x14ac:dyDescent="0.25">
      <c r="A59" s="1">
        <v>6</v>
      </c>
      <c r="B59" s="1">
        <v>43</v>
      </c>
      <c r="C59" s="1" t="s">
        <v>28</v>
      </c>
      <c r="D59" s="1">
        <f>HLOOKUP(Table16[[#This Row],[Quality]],Table95[[#All],[Common]:[Epic]],Table16[[#This Row],[Dragon]]+1,FALSE)</f>
        <v>900</v>
      </c>
      <c r="E59" s="5">
        <v>0</v>
      </c>
      <c r="F59" s="5">
        <v>0.2</v>
      </c>
      <c r="G59" s="1">
        <v>15</v>
      </c>
      <c r="H59" s="1">
        <f>2*Table16[[#This Row],[Duration Bonus]]</f>
        <v>0.4</v>
      </c>
    </row>
    <row r="60" spans="1:8" x14ac:dyDescent="0.25">
      <c r="A60" s="1">
        <v>6</v>
      </c>
      <c r="B60" s="1">
        <v>44</v>
      </c>
      <c r="C60" s="1" t="s">
        <v>28</v>
      </c>
      <c r="D60" s="1">
        <f>HLOOKUP(Table16[[#This Row],[Quality]],Table95[[#All],[Common]:[Epic]],Table16[[#This Row],[Dragon]]+1,FALSE)</f>
        <v>900</v>
      </c>
      <c r="E60" s="13">
        <v>0.4</v>
      </c>
      <c r="F60" s="13">
        <v>0</v>
      </c>
      <c r="G60" s="1">
        <v>20</v>
      </c>
      <c r="H60" s="1">
        <f>2*Table16[[#This Row],[Duration Bonus]]</f>
        <v>0</v>
      </c>
    </row>
    <row r="61" spans="1:8" x14ac:dyDescent="0.25">
      <c r="A61" s="1">
        <v>6</v>
      </c>
      <c r="B61" s="1">
        <v>45</v>
      </c>
      <c r="C61" s="1" t="s">
        <v>29</v>
      </c>
      <c r="D61" s="1">
        <f>HLOOKUP(Table16[[#This Row],[Quality]],Table95[[#All],[Common]:[Epic]],Table16[[#This Row],[Dragon]]+1,FALSE)</f>
        <v>1700</v>
      </c>
      <c r="E61" s="5">
        <v>0.4</v>
      </c>
      <c r="F61" s="5">
        <v>0.8</v>
      </c>
      <c r="G61" s="1">
        <v>25</v>
      </c>
      <c r="H61" s="1">
        <f>2*Table16[[#This Row],[Duration Bonus]]</f>
        <v>1.6</v>
      </c>
    </row>
    <row r="62" spans="1:8" x14ac:dyDescent="0.25">
      <c r="A62" s="1">
        <v>6</v>
      </c>
      <c r="B62" s="1">
        <v>46</v>
      </c>
      <c r="C62" s="1" t="s">
        <v>29</v>
      </c>
      <c r="D62" s="1">
        <f>HLOOKUP(Table16[[#This Row],[Quality]],Table95[[#All],[Common]:[Epic]],Table16[[#This Row],[Dragon]]+1,FALSE)</f>
        <v>1700</v>
      </c>
      <c r="E62" s="13">
        <v>1</v>
      </c>
      <c r="F62" s="13">
        <v>2.8</v>
      </c>
      <c r="G62" s="1">
        <v>30</v>
      </c>
      <c r="H62" s="1">
        <f>2*Table16[[#This Row],[Duration Bonus]]</f>
        <v>5.6</v>
      </c>
    </row>
    <row r="63" spans="1:8" x14ac:dyDescent="0.25">
      <c r="A63" s="1">
        <v>6</v>
      </c>
      <c r="B63" s="1">
        <v>47</v>
      </c>
      <c r="C63" s="1" t="s">
        <v>29</v>
      </c>
      <c r="D63" s="1">
        <f>HLOOKUP(Table16[[#This Row],[Quality]],Table95[[#All],[Common]:[Epic]],Table16[[#This Row],[Dragon]]+1,FALSE)</f>
        <v>1700</v>
      </c>
      <c r="E63" s="5">
        <v>2.8</v>
      </c>
      <c r="F63" s="5">
        <v>1.2</v>
      </c>
      <c r="G63" s="1">
        <v>35</v>
      </c>
      <c r="H63" s="1">
        <f>2*Table16[[#This Row],[Duration Bonus]]</f>
        <v>2.4</v>
      </c>
    </row>
    <row r="64" spans="1:8" x14ac:dyDescent="0.25">
      <c r="A64" s="1">
        <v>6</v>
      </c>
      <c r="B64" s="1">
        <v>48</v>
      </c>
      <c r="C64" s="1" t="s">
        <v>30</v>
      </c>
      <c r="D64" s="1">
        <f>HLOOKUP(Table16[[#This Row],[Quality]],Table95[[#All],[Common]:[Epic]],Table16[[#This Row],[Dragon]]+1,FALSE)</f>
        <v>2600</v>
      </c>
      <c r="E64" s="13">
        <v>4</v>
      </c>
      <c r="F64" s="13">
        <v>0</v>
      </c>
      <c r="G64" s="1">
        <v>40</v>
      </c>
      <c r="H64" s="1">
        <f>2*Table16[[#This Row],[Duration Bonus]]</f>
        <v>0</v>
      </c>
    </row>
    <row r="65" spans="1:8" x14ac:dyDescent="0.25">
      <c r="A65" s="1">
        <v>7</v>
      </c>
      <c r="B65" s="1">
        <v>49</v>
      </c>
      <c r="C65" s="1" t="s">
        <v>28</v>
      </c>
      <c r="D65" s="1">
        <f>HLOOKUP(Table16[[#This Row],[Quality]],Table95[[#All],[Common]:[Epic]],Table16[[#This Row],[Dragon]]+1,FALSE)</f>
        <v>1000</v>
      </c>
      <c r="E65" s="5">
        <v>0.2</v>
      </c>
      <c r="F65" s="5">
        <v>0</v>
      </c>
      <c r="G65" s="1">
        <v>5</v>
      </c>
      <c r="H65" s="1">
        <f>2*Table16[[#This Row],[Duration Bonus]]</f>
        <v>0</v>
      </c>
    </row>
    <row r="66" spans="1:8" x14ac:dyDescent="0.25">
      <c r="A66" s="1">
        <v>7</v>
      </c>
      <c r="B66" s="1">
        <v>50</v>
      </c>
      <c r="C66" s="1" t="s">
        <v>28</v>
      </c>
      <c r="D66" s="1">
        <f>HLOOKUP(Table16[[#This Row],[Quality]],Table95[[#All],[Common]:[Epic]],Table16[[#This Row],[Dragon]]+1,FALSE)</f>
        <v>1000</v>
      </c>
      <c r="E66" s="13">
        <v>0</v>
      </c>
      <c r="F66" s="13">
        <v>0.2</v>
      </c>
      <c r="G66" s="1">
        <v>10</v>
      </c>
      <c r="H66" s="1">
        <f>2*Table16[[#This Row],[Duration Bonus]]</f>
        <v>0.4</v>
      </c>
    </row>
    <row r="67" spans="1:8" x14ac:dyDescent="0.25">
      <c r="A67" s="1">
        <v>7</v>
      </c>
      <c r="B67" s="1">
        <v>51</v>
      </c>
      <c r="C67" s="1" t="s">
        <v>28</v>
      </c>
      <c r="D67" s="1">
        <f>HLOOKUP(Table16[[#This Row],[Quality]],Table95[[#All],[Common]:[Epic]],Table16[[#This Row],[Dragon]]+1,FALSE)</f>
        <v>1000</v>
      </c>
      <c r="E67" s="5">
        <v>0</v>
      </c>
      <c r="F67" s="5">
        <v>0.2</v>
      </c>
      <c r="G67" s="1">
        <v>15</v>
      </c>
      <c r="H67" s="1">
        <f>2*Table16[[#This Row],[Duration Bonus]]</f>
        <v>0.4</v>
      </c>
    </row>
    <row r="68" spans="1:8" x14ac:dyDescent="0.25">
      <c r="A68" s="1">
        <v>7</v>
      </c>
      <c r="B68" s="1">
        <v>52</v>
      </c>
      <c r="C68" s="1" t="s">
        <v>28</v>
      </c>
      <c r="D68" s="1">
        <f>HLOOKUP(Table16[[#This Row],[Quality]],Table95[[#All],[Common]:[Epic]],Table16[[#This Row],[Dragon]]+1,FALSE)</f>
        <v>1000</v>
      </c>
      <c r="E68" s="13">
        <v>0.4</v>
      </c>
      <c r="F68" s="13">
        <v>0</v>
      </c>
      <c r="G68" s="1">
        <v>20</v>
      </c>
      <c r="H68" s="1">
        <f>2*Table16[[#This Row],[Duration Bonus]]</f>
        <v>0</v>
      </c>
    </row>
    <row r="69" spans="1:8" x14ac:dyDescent="0.25">
      <c r="A69" s="1">
        <v>7</v>
      </c>
      <c r="B69" s="1">
        <v>53</v>
      </c>
      <c r="C69" s="1" t="s">
        <v>29</v>
      </c>
      <c r="D69" s="1">
        <f>HLOOKUP(Table16[[#This Row],[Quality]],Table95[[#All],[Common]:[Epic]],Table16[[#This Row],[Dragon]]+1,FALSE)</f>
        <v>2100</v>
      </c>
      <c r="E69" s="5">
        <v>0.4</v>
      </c>
      <c r="F69" s="5">
        <v>0.8</v>
      </c>
      <c r="G69" s="1">
        <v>25</v>
      </c>
      <c r="H69" s="1">
        <f>2*Table16[[#This Row],[Duration Bonus]]</f>
        <v>1.6</v>
      </c>
    </row>
    <row r="70" spans="1:8" x14ac:dyDescent="0.25">
      <c r="A70" s="1">
        <v>7</v>
      </c>
      <c r="B70" s="1">
        <v>54</v>
      </c>
      <c r="C70" s="1" t="s">
        <v>29</v>
      </c>
      <c r="D70" s="1">
        <f>HLOOKUP(Table16[[#This Row],[Quality]],Table95[[#All],[Common]:[Epic]],Table16[[#This Row],[Dragon]]+1,FALSE)</f>
        <v>2100</v>
      </c>
      <c r="E70" s="13">
        <v>1</v>
      </c>
      <c r="F70" s="13">
        <v>2.8</v>
      </c>
      <c r="G70" s="1">
        <v>30</v>
      </c>
      <c r="H70" s="1">
        <f>2*Table16[[#This Row],[Duration Bonus]]</f>
        <v>5.6</v>
      </c>
    </row>
    <row r="71" spans="1:8" x14ac:dyDescent="0.25">
      <c r="A71" s="1">
        <v>7</v>
      </c>
      <c r="B71" s="1">
        <v>55</v>
      </c>
      <c r="C71" s="1" t="s">
        <v>29</v>
      </c>
      <c r="D71" s="1">
        <f>HLOOKUP(Table16[[#This Row],[Quality]],Table95[[#All],[Common]:[Epic]],Table16[[#This Row],[Dragon]]+1,FALSE)</f>
        <v>2100</v>
      </c>
      <c r="E71" s="5">
        <v>2.8</v>
      </c>
      <c r="F71" s="5">
        <v>1.2</v>
      </c>
      <c r="G71" s="1">
        <v>35</v>
      </c>
      <c r="H71" s="1">
        <f>2*Table16[[#This Row],[Duration Bonus]]</f>
        <v>2.4</v>
      </c>
    </row>
    <row r="72" spans="1:8" x14ac:dyDescent="0.25">
      <c r="A72" s="1">
        <v>7</v>
      </c>
      <c r="B72" s="1">
        <v>56</v>
      </c>
      <c r="C72" s="1" t="s">
        <v>30</v>
      </c>
      <c r="D72" s="1">
        <f>HLOOKUP(Table16[[#This Row],[Quality]],Table95[[#All],[Common]:[Epic]],Table16[[#This Row],[Dragon]]+1,FALSE)</f>
        <v>3100</v>
      </c>
      <c r="E72" s="13">
        <v>4</v>
      </c>
      <c r="F72" s="13">
        <v>0</v>
      </c>
      <c r="G72" s="1">
        <v>40</v>
      </c>
      <c r="H72" s="1">
        <f>2*Table16[[#This Row],[Duration Bonus]]</f>
        <v>0</v>
      </c>
    </row>
    <row r="73" spans="1:8" x14ac:dyDescent="0.25">
      <c r="A73" s="1">
        <v>8</v>
      </c>
      <c r="B73" s="1">
        <v>57</v>
      </c>
      <c r="C73" s="1" t="s">
        <v>28</v>
      </c>
      <c r="D73" s="1">
        <f>HLOOKUP(Table16[[#This Row],[Quality]],Table95[[#All],[Common]:[Epic]],Table16[[#This Row],[Dragon]]+1,FALSE)</f>
        <v>1200</v>
      </c>
      <c r="E73" s="5">
        <v>0.2</v>
      </c>
      <c r="F73" s="5">
        <v>0</v>
      </c>
      <c r="G73" s="1">
        <v>5</v>
      </c>
      <c r="H73" s="1">
        <f>2*Table16[[#This Row],[Duration Bonus]]</f>
        <v>0</v>
      </c>
    </row>
    <row r="74" spans="1:8" x14ac:dyDescent="0.25">
      <c r="A74" s="1">
        <v>8</v>
      </c>
      <c r="B74" s="1">
        <v>58</v>
      </c>
      <c r="C74" s="1" t="s">
        <v>28</v>
      </c>
      <c r="D74" s="1">
        <f>HLOOKUP(Table16[[#This Row],[Quality]],Table95[[#All],[Common]:[Epic]],Table16[[#This Row],[Dragon]]+1,FALSE)</f>
        <v>1200</v>
      </c>
      <c r="E74" s="13">
        <v>0</v>
      </c>
      <c r="F74" s="13">
        <v>0.2</v>
      </c>
      <c r="G74" s="1">
        <v>10</v>
      </c>
      <c r="H74" s="1">
        <f>2*Table16[[#This Row],[Duration Bonus]]</f>
        <v>0.4</v>
      </c>
    </row>
    <row r="75" spans="1:8" x14ac:dyDescent="0.25">
      <c r="A75" s="1">
        <v>8</v>
      </c>
      <c r="B75" s="1">
        <v>59</v>
      </c>
      <c r="C75" s="1" t="s">
        <v>28</v>
      </c>
      <c r="D75" s="1">
        <f>HLOOKUP(Table16[[#This Row],[Quality]],Table95[[#All],[Common]:[Epic]],Table16[[#This Row],[Dragon]]+1,FALSE)</f>
        <v>1200</v>
      </c>
      <c r="E75" s="5">
        <v>0</v>
      </c>
      <c r="F75" s="5">
        <v>0.2</v>
      </c>
      <c r="G75" s="1">
        <v>15</v>
      </c>
      <c r="H75" s="1">
        <f>2*Table16[[#This Row],[Duration Bonus]]</f>
        <v>0.4</v>
      </c>
    </row>
    <row r="76" spans="1:8" x14ac:dyDescent="0.25">
      <c r="A76" s="1">
        <v>8</v>
      </c>
      <c r="B76" s="1">
        <v>60</v>
      </c>
      <c r="C76" s="1" t="s">
        <v>28</v>
      </c>
      <c r="D76" s="1">
        <f>HLOOKUP(Table16[[#This Row],[Quality]],Table95[[#All],[Common]:[Epic]],Table16[[#This Row],[Dragon]]+1,FALSE)</f>
        <v>1200</v>
      </c>
      <c r="E76" s="13">
        <v>0.4</v>
      </c>
      <c r="F76" s="13">
        <v>0</v>
      </c>
      <c r="G76" s="1">
        <v>20</v>
      </c>
      <c r="H76" s="1">
        <f>2*Table16[[#This Row],[Duration Bonus]]</f>
        <v>0</v>
      </c>
    </row>
    <row r="77" spans="1:8" x14ac:dyDescent="0.25">
      <c r="A77" s="1">
        <v>8</v>
      </c>
      <c r="B77" s="1">
        <v>61</v>
      </c>
      <c r="C77" s="1" t="s">
        <v>29</v>
      </c>
      <c r="D77" s="1">
        <f>HLOOKUP(Table16[[#This Row],[Quality]],Table95[[#All],[Common]:[Epic]],Table16[[#This Row],[Dragon]]+1,FALSE)</f>
        <v>2400</v>
      </c>
      <c r="E77" s="5">
        <v>0.4</v>
      </c>
      <c r="F77" s="5">
        <v>0.8</v>
      </c>
      <c r="G77" s="1">
        <v>25</v>
      </c>
      <c r="H77" s="1">
        <f>2*Table16[[#This Row],[Duration Bonus]]</f>
        <v>1.6</v>
      </c>
    </row>
    <row r="78" spans="1:8" x14ac:dyDescent="0.25">
      <c r="A78" s="1">
        <v>8</v>
      </c>
      <c r="B78" s="1">
        <v>62</v>
      </c>
      <c r="C78" s="1" t="s">
        <v>29</v>
      </c>
      <c r="D78" s="1">
        <f>HLOOKUP(Table16[[#This Row],[Quality]],Table95[[#All],[Common]:[Epic]],Table16[[#This Row],[Dragon]]+1,FALSE)</f>
        <v>2400</v>
      </c>
      <c r="E78" s="13">
        <v>1</v>
      </c>
      <c r="F78" s="13">
        <v>2.8</v>
      </c>
      <c r="G78" s="1">
        <v>30</v>
      </c>
      <c r="H78" s="1">
        <f>2*Table16[[#This Row],[Duration Bonus]]</f>
        <v>5.6</v>
      </c>
    </row>
    <row r="79" spans="1:8" x14ac:dyDescent="0.25">
      <c r="A79" s="1">
        <v>8</v>
      </c>
      <c r="B79" s="1">
        <v>63</v>
      </c>
      <c r="C79" s="1" t="s">
        <v>29</v>
      </c>
      <c r="D79" s="1">
        <f>HLOOKUP(Table16[[#This Row],[Quality]],Table95[[#All],[Common]:[Epic]],Table16[[#This Row],[Dragon]]+1,FALSE)</f>
        <v>2400</v>
      </c>
      <c r="E79" s="5">
        <v>2.8</v>
      </c>
      <c r="F79" s="5">
        <v>1.2</v>
      </c>
      <c r="G79" s="1">
        <v>35</v>
      </c>
      <c r="H79" s="1">
        <f>2*Table16[[#This Row],[Duration Bonus]]</f>
        <v>2.4</v>
      </c>
    </row>
    <row r="80" spans="1:8" x14ac:dyDescent="0.25">
      <c r="A80" s="1">
        <v>8</v>
      </c>
      <c r="B80" s="1">
        <v>64</v>
      </c>
      <c r="C80" s="1" t="s">
        <v>30</v>
      </c>
      <c r="D80" s="1">
        <f>HLOOKUP(Table16[[#This Row],[Quality]],Table95[[#All],[Common]:[Epic]],Table16[[#This Row],[Dragon]]+1,FALSE)</f>
        <v>3600</v>
      </c>
      <c r="E80" s="13">
        <v>4</v>
      </c>
      <c r="F80" s="13">
        <v>0</v>
      </c>
      <c r="G80" s="1">
        <v>40</v>
      </c>
      <c r="H80" s="1">
        <f>2*Table16[[#This Row],[Duration Bonus]]</f>
        <v>0</v>
      </c>
    </row>
    <row r="81" spans="1:8" x14ac:dyDescent="0.25">
      <c r="A81" s="1">
        <v>9</v>
      </c>
      <c r="B81" s="1">
        <v>65</v>
      </c>
      <c r="C81" s="1" t="s">
        <v>28</v>
      </c>
      <c r="D81" s="1">
        <f>HLOOKUP(Table16[[#This Row],[Quality]],Table95[[#All],[Common]:[Epic]],Table16[[#This Row],[Dragon]]+1,FALSE)</f>
        <v>1400</v>
      </c>
      <c r="E81" s="5">
        <v>0.2</v>
      </c>
      <c r="F81" s="5">
        <v>0</v>
      </c>
      <c r="G81" s="1">
        <v>5</v>
      </c>
      <c r="H81" s="1">
        <f>2*Table16[[#This Row],[Duration Bonus]]</f>
        <v>0</v>
      </c>
    </row>
    <row r="82" spans="1:8" x14ac:dyDescent="0.25">
      <c r="A82" s="1">
        <v>9</v>
      </c>
      <c r="B82" s="1">
        <v>66</v>
      </c>
      <c r="C82" s="1" t="s">
        <v>28</v>
      </c>
      <c r="D82" s="1">
        <f>HLOOKUP(Table16[[#This Row],[Quality]],Table95[[#All],[Common]:[Epic]],Table16[[#This Row],[Dragon]]+1,FALSE)</f>
        <v>1400</v>
      </c>
      <c r="E82" s="13">
        <v>0</v>
      </c>
      <c r="F82" s="13">
        <v>0.2</v>
      </c>
      <c r="G82" s="1">
        <v>10</v>
      </c>
      <c r="H82" s="1">
        <f>2*Table16[[#This Row],[Duration Bonus]]</f>
        <v>0.4</v>
      </c>
    </row>
    <row r="83" spans="1:8" x14ac:dyDescent="0.25">
      <c r="A83" s="1">
        <v>9</v>
      </c>
      <c r="B83" s="1">
        <v>67</v>
      </c>
      <c r="C83" s="1" t="s">
        <v>28</v>
      </c>
      <c r="D83" s="1">
        <f>HLOOKUP(Table16[[#This Row],[Quality]],Table95[[#All],[Common]:[Epic]],Table16[[#This Row],[Dragon]]+1,FALSE)</f>
        <v>1400</v>
      </c>
      <c r="E83" s="5">
        <v>0</v>
      </c>
      <c r="F83" s="5">
        <v>0.2</v>
      </c>
      <c r="G83" s="1">
        <v>15</v>
      </c>
      <c r="H83" s="1">
        <f>2*Table16[[#This Row],[Duration Bonus]]</f>
        <v>0.4</v>
      </c>
    </row>
    <row r="84" spans="1:8" x14ac:dyDescent="0.25">
      <c r="A84" s="1">
        <v>9</v>
      </c>
      <c r="B84" s="1">
        <v>68</v>
      </c>
      <c r="C84" s="1" t="s">
        <v>28</v>
      </c>
      <c r="D84" s="1">
        <f>HLOOKUP(Table16[[#This Row],[Quality]],Table95[[#All],[Common]:[Epic]],Table16[[#This Row],[Dragon]]+1,FALSE)</f>
        <v>1400</v>
      </c>
      <c r="E84" s="13">
        <v>0.4</v>
      </c>
      <c r="F84" s="13">
        <v>0</v>
      </c>
      <c r="G84" s="1">
        <v>20</v>
      </c>
      <c r="H84" s="1">
        <f>2*Table16[[#This Row],[Duration Bonus]]</f>
        <v>0</v>
      </c>
    </row>
    <row r="85" spans="1:8" x14ac:dyDescent="0.25">
      <c r="A85" s="1">
        <v>9</v>
      </c>
      <c r="B85" s="1">
        <v>69</v>
      </c>
      <c r="C85" s="1" t="s">
        <v>29</v>
      </c>
      <c r="D85" s="1">
        <f>HLOOKUP(Table16[[#This Row],[Quality]],Table95[[#All],[Common]:[Epic]],Table16[[#This Row],[Dragon]]+1,FALSE)</f>
        <v>2800</v>
      </c>
      <c r="E85" s="5">
        <v>0.4</v>
      </c>
      <c r="F85" s="5">
        <v>0.8</v>
      </c>
      <c r="G85" s="1">
        <v>25</v>
      </c>
      <c r="H85" s="1">
        <f>2*Table16[[#This Row],[Duration Bonus]]</f>
        <v>1.6</v>
      </c>
    </row>
    <row r="86" spans="1:8" x14ac:dyDescent="0.25">
      <c r="A86" s="1">
        <v>9</v>
      </c>
      <c r="B86" s="1">
        <v>70</v>
      </c>
      <c r="C86" s="1" t="s">
        <v>29</v>
      </c>
      <c r="D86" s="1">
        <f>HLOOKUP(Table16[[#This Row],[Quality]],Table95[[#All],[Common]:[Epic]],Table16[[#This Row],[Dragon]]+1,FALSE)</f>
        <v>2800</v>
      </c>
      <c r="E86" s="13">
        <v>1</v>
      </c>
      <c r="F86" s="13">
        <v>2.8</v>
      </c>
      <c r="G86" s="1">
        <v>30</v>
      </c>
      <c r="H86" s="1">
        <f>2*Table16[[#This Row],[Duration Bonus]]</f>
        <v>5.6</v>
      </c>
    </row>
    <row r="87" spans="1:8" x14ac:dyDescent="0.25">
      <c r="A87" s="1">
        <v>9</v>
      </c>
      <c r="B87" s="1">
        <v>71</v>
      </c>
      <c r="C87" s="1" t="s">
        <v>29</v>
      </c>
      <c r="D87" s="1">
        <f>HLOOKUP(Table16[[#This Row],[Quality]],Table95[[#All],[Common]:[Epic]],Table16[[#This Row],[Dragon]]+1,FALSE)</f>
        <v>2800</v>
      </c>
      <c r="E87" s="5">
        <v>2.8</v>
      </c>
      <c r="F87" s="5">
        <v>1.2</v>
      </c>
      <c r="G87" s="1">
        <v>35</v>
      </c>
      <c r="H87" s="1">
        <f>2*Table16[[#This Row],[Duration Bonus]]</f>
        <v>2.4</v>
      </c>
    </row>
    <row r="88" spans="1:8" x14ac:dyDescent="0.25">
      <c r="A88" s="1">
        <v>9</v>
      </c>
      <c r="B88" s="1">
        <v>72</v>
      </c>
      <c r="C88" s="1" t="s">
        <v>30</v>
      </c>
      <c r="D88" s="1">
        <f>HLOOKUP(Table16[[#This Row],[Quality]],Table95[[#All],[Common]:[Epic]],Table16[[#This Row],[Dragon]]+1,FALSE)</f>
        <v>4200</v>
      </c>
      <c r="E88" s="13">
        <v>4</v>
      </c>
      <c r="F88" s="13">
        <v>0</v>
      </c>
      <c r="G88" s="1">
        <v>40</v>
      </c>
      <c r="H88" s="1">
        <f>2*Table16[[#This Row],[Duration Bonus]]</f>
        <v>0</v>
      </c>
    </row>
    <row r="89" spans="1:8" x14ac:dyDescent="0.25">
      <c r="A89" s="1">
        <v>10</v>
      </c>
      <c r="B89" s="1">
        <v>73</v>
      </c>
      <c r="C89" s="1" t="s">
        <v>28</v>
      </c>
      <c r="D89" s="1">
        <f>HLOOKUP(Table16[[#This Row],[Quality]],Table95[[#All],[Common]:[Epic]],Table16[[#This Row],[Dragon]]+1,FALSE)</f>
        <v>1600</v>
      </c>
      <c r="E89" s="5">
        <v>0.2</v>
      </c>
      <c r="F89" s="5">
        <v>0</v>
      </c>
      <c r="G89" s="1">
        <v>5</v>
      </c>
      <c r="H89" s="1">
        <f>2*Table16[[#This Row],[Duration Bonus]]</f>
        <v>0</v>
      </c>
    </row>
    <row r="90" spans="1:8" x14ac:dyDescent="0.25">
      <c r="A90" s="1">
        <v>10</v>
      </c>
      <c r="B90" s="1">
        <v>74</v>
      </c>
      <c r="C90" s="1" t="s">
        <v>28</v>
      </c>
      <c r="D90" s="1">
        <f>HLOOKUP(Table16[[#This Row],[Quality]],Table95[[#All],[Common]:[Epic]],Table16[[#This Row],[Dragon]]+1,FALSE)</f>
        <v>1600</v>
      </c>
      <c r="E90" s="13">
        <v>0</v>
      </c>
      <c r="F90" s="13">
        <v>0.2</v>
      </c>
      <c r="G90" s="1">
        <v>10</v>
      </c>
      <c r="H90" s="1">
        <f>2*Table16[[#This Row],[Duration Bonus]]</f>
        <v>0.4</v>
      </c>
    </row>
    <row r="91" spans="1:8" x14ac:dyDescent="0.25">
      <c r="A91" s="1">
        <v>10</v>
      </c>
      <c r="B91" s="1">
        <v>75</v>
      </c>
      <c r="C91" s="1" t="s">
        <v>28</v>
      </c>
      <c r="D91" s="1">
        <f>HLOOKUP(Table16[[#This Row],[Quality]],Table95[[#All],[Common]:[Epic]],Table16[[#This Row],[Dragon]]+1,FALSE)</f>
        <v>1600</v>
      </c>
      <c r="E91" s="5">
        <v>0</v>
      </c>
      <c r="F91" s="5">
        <v>0.2</v>
      </c>
      <c r="G91" s="1">
        <v>15</v>
      </c>
      <c r="H91" s="1">
        <f>2*Table16[[#This Row],[Duration Bonus]]</f>
        <v>0.4</v>
      </c>
    </row>
    <row r="92" spans="1:8" x14ac:dyDescent="0.25">
      <c r="A92" s="1">
        <v>10</v>
      </c>
      <c r="B92" s="1">
        <v>76</v>
      </c>
      <c r="C92" s="1" t="s">
        <v>28</v>
      </c>
      <c r="D92" s="1">
        <f>HLOOKUP(Table16[[#This Row],[Quality]],Table95[[#All],[Common]:[Epic]],Table16[[#This Row],[Dragon]]+1,FALSE)</f>
        <v>1600</v>
      </c>
      <c r="E92" s="13">
        <v>0.4</v>
      </c>
      <c r="F92" s="13">
        <v>0</v>
      </c>
      <c r="G92" s="1">
        <v>20</v>
      </c>
      <c r="H92" s="1">
        <f>2*Table16[[#This Row],[Duration Bonus]]</f>
        <v>0</v>
      </c>
    </row>
    <row r="93" spans="1:8" x14ac:dyDescent="0.25">
      <c r="A93" s="1">
        <v>10</v>
      </c>
      <c r="B93" s="1">
        <v>77</v>
      </c>
      <c r="C93" s="1" t="s">
        <v>29</v>
      </c>
      <c r="D93" s="1">
        <f>HLOOKUP(Table16[[#This Row],[Quality]],Table95[[#All],[Common]:[Epic]],Table16[[#This Row],[Dragon]]+1,FALSE)</f>
        <v>3200</v>
      </c>
      <c r="E93" s="5">
        <v>0.4</v>
      </c>
      <c r="F93" s="5">
        <v>0.8</v>
      </c>
      <c r="G93" s="1">
        <v>25</v>
      </c>
      <c r="H93" s="1">
        <f>2*Table16[[#This Row],[Duration Bonus]]</f>
        <v>1.6</v>
      </c>
    </row>
    <row r="94" spans="1:8" x14ac:dyDescent="0.25">
      <c r="A94" s="1">
        <v>10</v>
      </c>
      <c r="B94" s="1">
        <v>78</v>
      </c>
      <c r="C94" s="1" t="s">
        <v>29</v>
      </c>
      <c r="D94" s="1">
        <f>HLOOKUP(Table16[[#This Row],[Quality]],Table95[[#All],[Common]:[Epic]],Table16[[#This Row],[Dragon]]+1,FALSE)</f>
        <v>3200</v>
      </c>
      <c r="E94" s="13">
        <v>1</v>
      </c>
      <c r="F94" s="13">
        <v>2.8</v>
      </c>
      <c r="G94" s="1">
        <v>30</v>
      </c>
      <c r="H94" s="1">
        <f>2*Table16[[#This Row],[Duration Bonus]]</f>
        <v>5.6</v>
      </c>
    </row>
    <row r="95" spans="1:8" x14ac:dyDescent="0.25">
      <c r="A95" s="1">
        <v>10</v>
      </c>
      <c r="B95" s="1">
        <v>79</v>
      </c>
      <c r="C95" s="1" t="s">
        <v>29</v>
      </c>
      <c r="D95" s="1">
        <f>HLOOKUP(Table16[[#This Row],[Quality]],Table95[[#All],[Common]:[Epic]],Table16[[#This Row],[Dragon]]+1,FALSE)</f>
        <v>3200</v>
      </c>
      <c r="E95" s="5">
        <v>2.8</v>
      </c>
      <c r="F95" s="5">
        <v>1.2</v>
      </c>
      <c r="G95" s="1">
        <v>35</v>
      </c>
      <c r="H95" s="1">
        <f>2*Table16[[#This Row],[Duration Bonus]]</f>
        <v>2.4</v>
      </c>
    </row>
    <row r="96" spans="1:8" x14ac:dyDescent="0.25">
      <c r="A96" s="1">
        <v>10</v>
      </c>
      <c r="B96" s="1">
        <v>80</v>
      </c>
      <c r="C96" s="1" t="s">
        <v>30</v>
      </c>
      <c r="D96" s="1">
        <f>HLOOKUP(Table16[[#This Row],[Quality]],Table95[[#All],[Common]:[Epic]],Table16[[#This Row],[Dragon]]+1,FALSE)</f>
        <v>4800</v>
      </c>
      <c r="E96" s="13">
        <v>4</v>
      </c>
      <c r="F96" s="13">
        <v>0</v>
      </c>
      <c r="G96" s="1">
        <v>40</v>
      </c>
      <c r="H96" s="1">
        <f>2*Table16[[#This Row],[Duration Bonus]]</f>
        <v>0</v>
      </c>
    </row>
  </sheetData>
  <pageMargins left="0.7" right="0.7" top="0.75" bottom="0.75" header="0.3" footer="0.3"/>
  <drawing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>
    <tabColor theme="7"/>
  </sheetPr>
  <dimension ref="A1:S51"/>
  <sheetViews>
    <sheetView topLeftCell="A19" workbookViewId="0">
      <selection activeCell="F29" sqref="F29"/>
    </sheetView>
  </sheetViews>
  <sheetFormatPr defaultRowHeight="15" x14ac:dyDescent="0.25"/>
  <cols>
    <col min="1" max="1" width="26.140625" bestFit="1" customWidth="1"/>
    <col min="2" max="2" width="22.140625" bestFit="1" customWidth="1"/>
    <col min="3" max="3" width="12" bestFit="1" customWidth="1"/>
    <col min="4" max="4" width="14.5703125" bestFit="1" customWidth="1"/>
    <col min="5" max="5" width="51.42578125" bestFit="1" customWidth="1"/>
    <col min="6" max="6" width="55.5703125" bestFit="1" customWidth="1"/>
    <col min="7" max="7" width="23" bestFit="1" customWidth="1"/>
    <col min="8" max="8" width="26.140625" bestFit="1" customWidth="1"/>
    <col min="9" max="9" width="23.28515625" bestFit="1" customWidth="1"/>
    <col min="10" max="10" width="29.5703125" bestFit="1" customWidth="1"/>
    <col min="11" max="11" width="38.85546875" bestFit="1" customWidth="1"/>
    <col min="12" max="12" width="31.5703125" bestFit="1" customWidth="1"/>
    <col min="13" max="13" width="30.140625" bestFit="1" customWidth="1"/>
    <col min="14" max="14" width="25.140625" bestFit="1" customWidth="1"/>
    <col min="15" max="16" width="26.7109375" bestFit="1" customWidth="1"/>
    <col min="17" max="17" width="27.140625" bestFit="1" customWidth="1"/>
    <col min="18" max="18" width="25.140625" bestFit="1" customWidth="1"/>
    <col min="19" max="19" width="39.5703125" customWidth="1"/>
  </cols>
  <sheetData>
    <row r="1" spans="1:18" ht="18.75" x14ac:dyDescent="0.3">
      <c r="A1" s="7" t="s">
        <v>231</v>
      </c>
      <c r="B1" s="6"/>
      <c r="C1" s="6"/>
      <c r="D1" s="6"/>
      <c r="E1" s="6"/>
    </row>
    <row r="3" spans="1:18" ht="30" x14ac:dyDescent="0.25">
      <c r="E3" s="158" t="s">
        <v>241</v>
      </c>
      <c r="F3" s="12" t="s">
        <v>242</v>
      </c>
      <c r="G3" s="158" t="s">
        <v>244</v>
      </c>
    </row>
    <row r="4" spans="1:18" ht="15.75" thickBot="1" x14ac:dyDescent="0.3">
      <c r="E4" s="9">
        <v>0.3</v>
      </c>
      <c r="F4" s="10">
        <v>1</v>
      </c>
      <c r="G4" s="9">
        <v>0.2</v>
      </c>
      <c r="L4" s="155">
        <v>1</v>
      </c>
      <c r="M4" s="155">
        <v>0.5</v>
      </c>
    </row>
    <row r="5" spans="1:18" ht="15.75" thickTop="1" x14ac:dyDescent="0.25">
      <c r="A5" s="1" t="s">
        <v>4</v>
      </c>
      <c r="B5" s="1" t="s">
        <v>232</v>
      </c>
      <c r="C5" s="1" t="s">
        <v>237</v>
      </c>
      <c r="D5" s="1" t="s">
        <v>238</v>
      </c>
      <c r="E5" s="1" t="s">
        <v>472</v>
      </c>
      <c r="F5" s="1" t="s">
        <v>473</v>
      </c>
      <c r="G5" s="1" t="s">
        <v>240</v>
      </c>
      <c r="H5" s="1" t="s">
        <v>355</v>
      </c>
      <c r="I5" s="1" t="s">
        <v>243</v>
      </c>
      <c r="J5" s="1" t="s">
        <v>245</v>
      </c>
      <c r="K5" s="1" t="s">
        <v>246</v>
      </c>
      <c r="M5" s="1" t="s">
        <v>71</v>
      </c>
      <c r="N5" s="1" t="s">
        <v>233</v>
      </c>
    </row>
    <row r="6" spans="1:18" x14ac:dyDescent="0.25">
      <c r="A6" s="1">
        <v>1</v>
      </c>
      <c r="B6" s="1">
        <f t="shared" ref="B6:B15" si="0">ROUND(N6*30,0)</f>
        <v>1</v>
      </c>
      <c r="C6" s="22">
        <f>Table59[[#This Row],[Last Skin]]-Table59[[#This Row],[Number of skin]]</f>
        <v>0</v>
      </c>
      <c r="D6" s="1">
        <f>SUM($B$6:B6)</f>
        <v>1</v>
      </c>
      <c r="E6" s="1" t="str">
        <f>CONCATENATE("'[Hungry Dragons - Content.xlsm]Gatcha - Skins'!","F",Table59[[#This Row],[First Skin]]+22,":","F",Table59[[#This Row],[Last Skin]]+21)</f>
        <v>'[Hungry Dragons - Content.xlsm]Gatcha - Skins'!F22:F22</v>
      </c>
      <c r="F6" s="1" t="str">
        <f>SUBSTITUTE(Table59[[#This Row],[dragonRange]],"F","A")</f>
        <v>'[Hungry Dragons - Content.xlsm]Gatcha - Skins'!A22:A22</v>
      </c>
      <c r="G6" s="1">
        <f>INDEX('Dragons - Unlock'!$B$8:$L$8,0,Table59[[#This Row],[Dragon]]+1)*$E$4</f>
        <v>600</v>
      </c>
      <c r="H6" s="1">
        <f>Table59[[#This Row],[SC total for Skins]]/Table59[[#This Row],[Number of skin]]</f>
        <v>600</v>
      </c>
      <c r="I6" s="22">
        <f>IF(Table59[[#This Row],[Dragon]]=1,0,Table59[[#This Row],[Last Skin]])</f>
        <v>0</v>
      </c>
      <c r="J6" s="22">
        <f>INDEX('Dragons - Unlock'!$B$10:$K$10,0,Table59[[#This Row],[Dragon]])*$G$4</f>
        <v>0</v>
      </c>
      <c r="K6" s="157">
        <f>Table59[[#This Row],[HC total for Skins]]/'Hard currency'!$B$36</f>
        <v>0</v>
      </c>
      <c r="M6" s="1">
        <f t="shared" ref="M6:M15" si="1">$L$4*POWER(A6,$M$4)</f>
        <v>1</v>
      </c>
      <c r="N6" s="26">
        <f t="shared" ref="N6:N15" si="2">M6/SUM($M$6:$M$15)</f>
        <v>4.4507193284353083E-2</v>
      </c>
      <c r="P6" s="1"/>
      <c r="Q6" s="1"/>
      <c r="R6" s="1"/>
    </row>
    <row r="7" spans="1:18" x14ac:dyDescent="0.25">
      <c r="A7" s="1">
        <v>2</v>
      </c>
      <c r="B7" s="1">
        <f t="shared" si="0"/>
        <v>2</v>
      </c>
      <c r="C7" s="22">
        <f>Table59[[#This Row],[Last Skin]]-Table59[[#This Row],[Number of skin]]</f>
        <v>1</v>
      </c>
      <c r="D7" s="1">
        <f>SUM($B$6:B7)</f>
        <v>3</v>
      </c>
      <c r="E7" s="1" t="str">
        <f>CONCATENATE("'[Hungry Dragons - Content.xlsm]Gatcha - Skins'!","F",Table59[[#This Row],[First Skin]]+22,":","F",Table59[[#This Row],[Last Skin]]+21)</f>
        <v>'[Hungry Dragons - Content.xlsm]Gatcha - Skins'!F23:F24</v>
      </c>
      <c r="F7" s="1" t="str">
        <f>SUBSTITUTE(Table59[[#This Row],[dragonRange]],"F","A")</f>
        <v>'[Hungry Dragons - Content.xlsm]Gatcha - Skins'!A23:A24</v>
      </c>
      <c r="G7" s="1">
        <f>INDEX('Dragons - Unlock'!$B$8:$L$8,0,Table59[[#This Row],[Dragon]]+1)*$E$4</f>
        <v>3300</v>
      </c>
      <c r="H7" s="1">
        <f>Table59[[#This Row],[SC total for Skins]]/Table59[[#This Row],[Number of skin]]</f>
        <v>1650</v>
      </c>
      <c r="I7" s="22">
        <f>IF(Table59[[#This Row],[Dragon]]=1,0,Table59[[#This Row],[Last Skin]])</f>
        <v>3</v>
      </c>
      <c r="J7" s="22">
        <f>INDEX('Dragons - Unlock'!$B$10:$K$10,0,Table59[[#This Row],[Dragon]])*$G$4</f>
        <v>12</v>
      </c>
      <c r="K7" s="88">
        <f>Table59[[#This Row],[HC total for Skins]]/'Hard currency'!$B$36</f>
        <v>1.2</v>
      </c>
      <c r="M7" s="1">
        <f t="shared" si="1"/>
        <v>1.4142135623730951</v>
      </c>
      <c r="N7" s="26">
        <f t="shared" si="2"/>
        <v>6.2942676365892875E-2</v>
      </c>
      <c r="P7" s="1"/>
      <c r="Q7" s="1"/>
      <c r="R7" s="1"/>
    </row>
    <row r="8" spans="1:18" x14ac:dyDescent="0.25">
      <c r="A8" s="1">
        <v>3</v>
      </c>
      <c r="B8" s="1">
        <f t="shared" si="0"/>
        <v>2</v>
      </c>
      <c r="C8" s="22">
        <f>Table59[[#This Row],[Last Skin]]-Table59[[#This Row],[Number of skin]]</f>
        <v>3</v>
      </c>
      <c r="D8" s="1">
        <f>SUM($B$6:B8)</f>
        <v>5</v>
      </c>
      <c r="E8" s="1" t="str">
        <f>CONCATENATE("'[Hungry Dragons - Content.xlsm]Gatcha - Skins'!","F",Table59[[#This Row],[First Skin]]+22,":","F",Table59[[#This Row],[Last Skin]]+21)</f>
        <v>'[Hungry Dragons - Content.xlsm]Gatcha - Skins'!F25:F26</v>
      </c>
      <c r="F8" s="1" t="str">
        <f>SUBSTITUTE(Table59[[#This Row],[dragonRange]],"F","A")</f>
        <v>'[Hungry Dragons - Content.xlsm]Gatcha - Skins'!A25:A26</v>
      </c>
      <c r="G8" s="1">
        <f>INDEX('Dragons - Unlock'!$B$8:$L$8,0,Table59[[#This Row],[Dragon]]+1)*$E$4</f>
        <v>10500</v>
      </c>
      <c r="H8" s="1">
        <f>Table59[[#This Row],[SC total for Skins]]/Table59[[#This Row],[Number of skin]]</f>
        <v>5250</v>
      </c>
      <c r="I8" s="22">
        <f>IF(Table59[[#This Row],[Dragon]]=1,0,Table59[[#This Row],[Last Skin]])</f>
        <v>5</v>
      </c>
      <c r="J8" s="22">
        <f>INDEX('Dragons - Unlock'!$B$10:$K$10,0,Table59[[#This Row],[Dragon]])*$G$4</f>
        <v>20</v>
      </c>
      <c r="K8" s="88">
        <f>Table59[[#This Row],[HC total for Skins]]/'Hard currency'!$B$36</f>
        <v>2</v>
      </c>
      <c r="M8" s="1">
        <f t="shared" si="1"/>
        <v>1.7320508075688772</v>
      </c>
      <c r="N8" s="26">
        <f t="shared" si="2"/>
        <v>7.7088720070787875E-2</v>
      </c>
      <c r="P8" s="1"/>
      <c r="Q8" s="1"/>
      <c r="R8" s="1"/>
    </row>
    <row r="9" spans="1:18" x14ac:dyDescent="0.25">
      <c r="A9" s="1">
        <v>4</v>
      </c>
      <c r="B9" s="1">
        <f t="shared" si="0"/>
        <v>3</v>
      </c>
      <c r="C9" s="22">
        <f>Table59[[#This Row],[Last Skin]]-Table59[[#This Row],[Number of skin]]</f>
        <v>5</v>
      </c>
      <c r="D9" s="1">
        <f>SUM($B$6:B9)</f>
        <v>8</v>
      </c>
      <c r="E9" s="1" t="str">
        <f>CONCATENATE("'[Hungry Dragons - Content.xlsm]Gatcha - Skins'!","F",Table59[[#This Row],[First Skin]]+22,":","F",Table59[[#This Row],[Last Skin]]+21)</f>
        <v>'[Hungry Dragons - Content.xlsm]Gatcha - Skins'!F27:F29</v>
      </c>
      <c r="F9" s="1" t="str">
        <f>SUBSTITUTE(Table59[[#This Row],[dragonRange]],"F","A")</f>
        <v>'[Hungry Dragons - Content.xlsm]Gatcha - Skins'!A27:A29</v>
      </c>
      <c r="G9" s="1">
        <f>INDEX('Dragons - Unlock'!$B$8:$L$8,0,Table59[[#This Row],[Dragon]]+1)*$E$4</f>
        <v>26400</v>
      </c>
      <c r="H9" s="1">
        <f>Table59[[#This Row],[SC total for Skins]]/Table59[[#This Row],[Number of skin]]</f>
        <v>8800</v>
      </c>
      <c r="I9" s="22">
        <f>IF(Table59[[#This Row],[Dragon]]=1,0,Table59[[#This Row],[Last Skin]])</f>
        <v>8</v>
      </c>
      <c r="J9" s="22">
        <f>INDEX('Dragons - Unlock'!$B$10:$K$10,0,Table59[[#This Row],[Dragon]])*$G$4</f>
        <v>30</v>
      </c>
      <c r="K9" s="88">
        <f>Table59[[#This Row],[HC total for Skins]]/'Hard currency'!$B$36</f>
        <v>3</v>
      </c>
      <c r="M9" s="1">
        <f t="shared" si="1"/>
        <v>2</v>
      </c>
      <c r="N9" s="26">
        <f t="shared" si="2"/>
        <v>8.9014386568706166E-2</v>
      </c>
      <c r="P9" s="1"/>
      <c r="Q9" s="1"/>
      <c r="R9" s="1"/>
    </row>
    <row r="10" spans="1:18" x14ac:dyDescent="0.25">
      <c r="A10" s="1">
        <v>5</v>
      </c>
      <c r="B10" s="1">
        <f t="shared" si="0"/>
        <v>3</v>
      </c>
      <c r="C10" s="22">
        <f>Table59[[#This Row],[Last Skin]]-Table59[[#This Row],[Number of skin]]</f>
        <v>8</v>
      </c>
      <c r="D10" s="1">
        <f>SUM($B$6:B10)</f>
        <v>11</v>
      </c>
      <c r="E10" s="1" t="str">
        <f>CONCATENATE("'[Hungry Dragons - Content.xlsm]Gatcha - Skins'!","F",Table59[[#This Row],[First Skin]]+22,":","F",Table59[[#This Row],[Last Skin]]+21)</f>
        <v>'[Hungry Dragons - Content.xlsm]Gatcha - Skins'!F30:F32</v>
      </c>
      <c r="F10" s="1" t="str">
        <f>SUBSTITUTE(Table59[[#This Row],[dragonRange]],"F","A")</f>
        <v>'[Hungry Dragons - Content.xlsm]Gatcha - Skins'!A30:A32</v>
      </c>
      <c r="G10" s="1">
        <f>INDEX('Dragons - Unlock'!$B$8:$L$8,0,Table59[[#This Row],[Dragon]]+1)*$E$4</f>
        <v>78000</v>
      </c>
      <c r="H10" s="1">
        <f>Table59[[#This Row],[SC total for Skins]]/Table59[[#This Row],[Number of skin]]</f>
        <v>26000</v>
      </c>
      <c r="I10" s="22">
        <f>IF(Table59[[#This Row],[Dragon]]=1,0,Table59[[#This Row],[Last Skin]])</f>
        <v>11</v>
      </c>
      <c r="J10" s="22">
        <f>INDEX('Dragons - Unlock'!$B$10:$K$10,0,Table59[[#This Row],[Dragon]])*$G$4</f>
        <v>40</v>
      </c>
      <c r="K10" s="88">
        <f>Table59[[#This Row],[HC total for Skins]]/'Hard currency'!$B$36</f>
        <v>4</v>
      </c>
      <c r="M10" s="1">
        <f t="shared" si="1"/>
        <v>2.2360679774997898</v>
      </c>
      <c r="N10" s="26">
        <f t="shared" si="2"/>
        <v>9.9521109671535629E-2</v>
      </c>
      <c r="P10" s="1"/>
      <c r="Q10" s="1"/>
      <c r="R10" s="1"/>
    </row>
    <row r="11" spans="1:18" x14ac:dyDescent="0.25">
      <c r="A11" s="1">
        <v>6</v>
      </c>
      <c r="B11" s="1">
        <f t="shared" si="0"/>
        <v>3</v>
      </c>
      <c r="C11" s="22">
        <f>Table59[[#This Row],[Last Skin]]-Table59[[#This Row],[Number of skin]]</f>
        <v>11</v>
      </c>
      <c r="D11" s="1">
        <f>SUM($B$6:B11)</f>
        <v>14</v>
      </c>
      <c r="E11" s="1" t="str">
        <f>CONCATENATE("'[Hungry Dragons - Content.xlsm]Gatcha - Skins'!","F",Table59[[#This Row],[First Skin]]+22,":","F",Table59[[#This Row],[Last Skin]]+21)</f>
        <v>'[Hungry Dragons - Content.xlsm]Gatcha - Skins'!F33:F35</v>
      </c>
      <c r="F11" s="1" t="str">
        <f>SUBSTITUTE(Table59[[#This Row],[dragonRange]],"F","A")</f>
        <v>'[Hungry Dragons - Content.xlsm]Gatcha - Skins'!A33:A35</v>
      </c>
      <c r="G11" s="1">
        <f>INDEX('Dragons - Unlock'!$B$8:$L$8,0,Table59[[#This Row],[Dragon]]+1)*$E$4</f>
        <v>150000</v>
      </c>
      <c r="H11" s="1">
        <f>Table59[[#This Row],[SC total for Skins]]/Table59[[#This Row],[Number of skin]]</f>
        <v>50000</v>
      </c>
      <c r="I11" s="22">
        <f>IF(Table59[[#This Row],[Dragon]]=1,0,Table59[[#This Row],[Last Skin]])</f>
        <v>14</v>
      </c>
      <c r="J11" s="22">
        <f>INDEX('Dragons - Unlock'!$B$10:$K$10,0,Table59[[#This Row],[Dragon]])*$G$4</f>
        <v>80</v>
      </c>
      <c r="K11" s="88">
        <f>Table59[[#This Row],[HC total for Skins]]/'Hard currency'!$B$36</f>
        <v>8</v>
      </c>
      <c r="M11" s="1">
        <f t="shared" si="1"/>
        <v>2.4494897427831779</v>
      </c>
      <c r="N11" s="26">
        <f t="shared" si="2"/>
        <v>0.10901991343009122</v>
      </c>
      <c r="P11" s="1"/>
      <c r="Q11" s="1"/>
      <c r="R11" s="1"/>
    </row>
    <row r="12" spans="1:18" x14ac:dyDescent="0.25">
      <c r="A12" s="1">
        <v>7</v>
      </c>
      <c r="B12" s="1">
        <f t="shared" si="0"/>
        <v>4</v>
      </c>
      <c r="C12" s="22">
        <f>Table59[[#This Row],[Last Skin]]-Table59[[#This Row],[Number of skin]]</f>
        <v>14</v>
      </c>
      <c r="D12" s="1">
        <f>SUM($B$6:B12)</f>
        <v>18</v>
      </c>
      <c r="E12" s="1" t="str">
        <f>CONCATENATE("'[Hungry Dragons - Content.xlsm]Gatcha - Skins'!","F",Table59[[#This Row],[First Skin]]+22,":","F",Table59[[#This Row],[Last Skin]]+21)</f>
        <v>'[Hungry Dragons - Content.xlsm]Gatcha - Skins'!F36:F39</v>
      </c>
      <c r="F12" s="1" t="str">
        <f>SUBSTITUTE(Table59[[#This Row],[dragonRange]],"F","A")</f>
        <v>'[Hungry Dragons - Content.xlsm]Gatcha - Skins'!A36:A39</v>
      </c>
      <c r="G12" s="1">
        <f>INDEX('Dragons - Unlock'!$B$8:$L$8,0,Table59[[#This Row],[Dragon]]+1)*$E$4</f>
        <v>261000</v>
      </c>
      <c r="H12" s="1">
        <f>Table59[[#This Row],[SC total for Skins]]/Table59[[#This Row],[Number of skin]]</f>
        <v>65250</v>
      </c>
      <c r="I12" s="22">
        <f>IF(Table59[[#This Row],[Dragon]]=1,0,Table59[[#This Row],[Last Skin]])</f>
        <v>18</v>
      </c>
      <c r="J12" s="22">
        <f>INDEX('Dragons - Unlock'!$B$10:$K$10,0,Table59[[#This Row],[Dragon]])*$G$4</f>
        <v>110</v>
      </c>
      <c r="K12" s="88">
        <f>Table59[[#This Row],[HC total for Skins]]/'Hard currency'!$B$36</f>
        <v>11</v>
      </c>
      <c r="M12" s="1">
        <f t="shared" si="1"/>
        <v>2.6457513110645907</v>
      </c>
      <c r="N12" s="26">
        <f t="shared" si="2"/>
        <v>0.11775496498388233</v>
      </c>
      <c r="P12" s="1"/>
      <c r="Q12" s="1"/>
      <c r="R12" s="1"/>
    </row>
    <row r="13" spans="1:18" x14ac:dyDescent="0.25">
      <c r="A13" s="1">
        <v>8</v>
      </c>
      <c r="B13" s="1">
        <f t="shared" si="0"/>
        <v>4</v>
      </c>
      <c r="C13" s="22">
        <f>Table59[[#This Row],[Last Skin]]-Table59[[#This Row],[Number of skin]]</f>
        <v>18</v>
      </c>
      <c r="D13" s="1">
        <f>SUM($B$6:B13)</f>
        <v>22</v>
      </c>
      <c r="E13" s="1" t="str">
        <f>CONCATENATE("'[Hungry Dragons - Content.xlsm]Gatcha - Skins'!","F",Table59[[#This Row],[First Skin]]+22,":","F",Table59[[#This Row],[Last Skin]]+21)</f>
        <v>'[Hungry Dragons - Content.xlsm]Gatcha - Skins'!F40:F43</v>
      </c>
      <c r="F13" s="1" t="str">
        <f>SUBSTITUTE(Table59[[#This Row],[dragonRange]],"F","A")</f>
        <v>'[Hungry Dragons - Content.xlsm]Gatcha - Skins'!A40:A43</v>
      </c>
      <c r="G13" s="1">
        <f>INDEX('Dragons - Unlock'!$B$8:$L$8,0,Table59[[#This Row],[Dragon]]+1)*$E$4</f>
        <v>420000</v>
      </c>
      <c r="H13" s="1">
        <f>Table59[[#This Row],[SC total for Skins]]/Table59[[#This Row],[Number of skin]]</f>
        <v>105000</v>
      </c>
      <c r="I13" s="22">
        <f>IF(Table59[[#This Row],[Dragon]]=1,0,Table59[[#This Row],[Last Skin]])</f>
        <v>22</v>
      </c>
      <c r="J13" s="22">
        <f>INDEX('Dragons - Unlock'!$B$10:$K$10,0,Table59[[#This Row],[Dragon]])*$G$4</f>
        <v>160</v>
      </c>
      <c r="K13" s="88">
        <f>Table59[[#This Row],[HC total for Skins]]/'Hard currency'!$B$36</f>
        <v>16</v>
      </c>
      <c r="M13" s="1">
        <f t="shared" si="1"/>
        <v>2.8284271247461903</v>
      </c>
      <c r="N13" s="26">
        <f t="shared" si="2"/>
        <v>0.12588535273178575</v>
      </c>
      <c r="P13" s="1"/>
      <c r="Q13" s="1"/>
      <c r="R13" s="1"/>
    </row>
    <row r="14" spans="1:18" x14ac:dyDescent="0.25">
      <c r="A14" s="1">
        <v>9</v>
      </c>
      <c r="B14" s="1">
        <f t="shared" si="0"/>
        <v>4</v>
      </c>
      <c r="C14" s="22">
        <f>Table59[[#This Row],[Last Skin]]-Table59[[#This Row],[Number of skin]]</f>
        <v>22</v>
      </c>
      <c r="D14" s="1">
        <f>SUM($B$6:B14)</f>
        <v>26</v>
      </c>
      <c r="E14" s="1" t="str">
        <f>CONCATENATE("'[Hungry Dragons - Content.xlsm]Gatcha - Skins'!","F",Table59[[#This Row],[First Skin]]+22,":","F",Table59[[#This Row],[Last Skin]]+21)</f>
        <v>'[Hungry Dragons - Content.xlsm]Gatcha - Skins'!F44:F47</v>
      </c>
      <c r="F14" s="1" t="str">
        <f>SUBSTITUTE(Table59[[#This Row],[dragonRange]],"F","A")</f>
        <v>'[Hungry Dragons - Content.xlsm]Gatcha - Skins'!A44:A47</v>
      </c>
      <c r="G14" s="1">
        <f>INDEX('Dragons - Unlock'!$B$8:$L$8,0,Table59[[#This Row],[Dragon]]+1)*$E$4</f>
        <v>660000</v>
      </c>
      <c r="H14" s="1">
        <f>Table59[[#This Row],[SC total for Skins]]/Table59[[#This Row],[Number of skin]]</f>
        <v>165000</v>
      </c>
      <c r="I14" s="22">
        <f>IF(Table59[[#This Row],[Dragon]]=1,0,Table59[[#This Row],[Last Skin]])</f>
        <v>26</v>
      </c>
      <c r="J14" s="22">
        <f>INDEX('Dragons - Unlock'!$B$10:$K$10,0,Table59[[#This Row],[Dragon]])*$G$4</f>
        <v>160</v>
      </c>
      <c r="K14" s="88">
        <f>Table59[[#This Row],[HC total for Skins]]/'Hard currency'!$B$36</f>
        <v>16</v>
      </c>
      <c r="M14" s="1">
        <f t="shared" si="1"/>
        <v>3</v>
      </c>
      <c r="N14" s="26">
        <f t="shared" si="2"/>
        <v>0.13352157985305926</v>
      </c>
      <c r="P14" s="1"/>
      <c r="Q14" s="1"/>
      <c r="R14" s="1"/>
    </row>
    <row r="15" spans="1:18" x14ac:dyDescent="0.25">
      <c r="A15" s="1">
        <v>10</v>
      </c>
      <c r="B15" s="1">
        <f t="shared" si="0"/>
        <v>4</v>
      </c>
      <c r="C15" s="22">
        <f>Table59[[#This Row],[Last Skin]]-Table59[[#This Row],[Number of skin]]</f>
        <v>26</v>
      </c>
      <c r="D15" s="1">
        <f>SUM($B$6:B15)</f>
        <v>30</v>
      </c>
      <c r="E15" s="1" t="str">
        <f>CONCATENATE("'[Hungry Dragons - Content.xlsm]Gatcha - Skins'!","F",Table59[[#This Row],[First Skin]]+22,":","F",Table59[[#This Row],[Last Skin]]+21)</f>
        <v>'[Hungry Dragons - Content.xlsm]Gatcha - Skins'!F48:F51</v>
      </c>
      <c r="F15" s="1" t="str">
        <f>SUBSTITUTE(Table59[[#This Row],[dragonRange]],"F","A")</f>
        <v>'[Hungry Dragons - Content.xlsm]Gatcha - Skins'!A48:A51</v>
      </c>
      <c r="G15" s="1">
        <f>INDEX('Dragons - Unlock'!$B$8:$L$8,0,Table59[[#This Row],[Dragon]]+1)*$E$4</f>
        <v>990000</v>
      </c>
      <c r="H15" s="1">
        <f>Table59[[#This Row],[SC total for Skins]]/Table59[[#This Row],[Number of skin]]</f>
        <v>247500</v>
      </c>
      <c r="I15" s="22">
        <f>IF(Table59[[#This Row],[Dragon]]=1,0,Table59[[#This Row],[Last Skin]])</f>
        <v>30</v>
      </c>
      <c r="J15" s="22">
        <f>INDEX('Dragons - Unlock'!$B$10:$K$10,0,Table59[[#This Row],[Dragon]])*$G$4</f>
        <v>160</v>
      </c>
      <c r="K15" s="88">
        <f>Table59[[#This Row],[HC total for Skins]]/'Hard currency'!$B$36</f>
        <v>16</v>
      </c>
      <c r="M15" s="1">
        <f t="shared" si="1"/>
        <v>3.1622776601683795</v>
      </c>
      <c r="N15" s="26">
        <f t="shared" si="2"/>
        <v>0.14074410303990589</v>
      </c>
      <c r="P15" s="1"/>
      <c r="Q15" s="1"/>
      <c r="R15" s="1"/>
    </row>
    <row r="16" spans="1:18" x14ac:dyDescent="0.25">
      <c r="A16" s="1"/>
      <c r="B16" s="1"/>
      <c r="C16" s="22"/>
      <c r="D16" s="1"/>
      <c r="E16" s="1"/>
      <c r="F16" s="1"/>
      <c r="G16" s="22"/>
      <c r="H16" s="22"/>
      <c r="I16" s="88"/>
      <c r="K16" s="1"/>
      <c r="L16" s="26"/>
      <c r="N16" s="1"/>
      <c r="O16" s="1"/>
      <c r="P16" s="1"/>
    </row>
    <row r="17" spans="1:19" x14ac:dyDescent="0.25">
      <c r="A17" s="74" t="s">
        <v>249</v>
      </c>
      <c r="B17" s="74" t="s">
        <v>250</v>
      </c>
      <c r="C17" s="74"/>
      <c r="D17" s="74"/>
      <c r="E17" s="1"/>
      <c r="G17" s="1"/>
    </row>
    <row r="18" spans="1:19" x14ac:dyDescent="0.25">
      <c r="A18" s="75">
        <f>MIN(Table63[Skin ID])</f>
        <v>1</v>
      </c>
      <c r="B18" s="75">
        <v>0.02</v>
      </c>
      <c r="C18" s="74" t="s">
        <v>211</v>
      </c>
      <c r="D18" s="74" t="s">
        <v>212</v>
      </c>
      <c r="E18" s="1"/>
      <c r="F18" s="1"/>
      <c r="H18" s="74" t="s">
        <v>252</v>
      </c>
      <c r="K18" s="74" t="s">
        <v>379</v>
      </c>
      <c r="L18" s="74" t="s">
        <v>380</v>
      </c>
      <c r="M18" s="187" t="s">
        <v>381</v>
      </c>
    </row>
    <row r="19" spans="1:19" x14ac:dyDescent="0.25">
      <c r="A19" s="75">
        <f>MAX(Table63[Skin ID])</f>
        <v>30</v>
      </c>
      <c r="B19" s="75">
        <v>0.3</v>
      </c>
      <c r="C19" s="75">
        <f t="array" ref="C19:D19">LINEST($B$18:$B$19,$A$18:$A$19,TRUE)</f>
        <v>9.655172413793104E-3</v>
      </c>
      <c r="D19" s="75">
        <v>1.0344827586206889E-2</v>
      </c>
      <c r="H19" s="75">
        <v>20</v>
      </c>
      <c r="I19" s="74" t="s">
        <v>211</v>
      </c>
      <c r="J19" s="74" t="s">
        <v>212</v>
      </c>
      <c r="K19" s="75">
        <v>6</v>
      </c>
      <c r="L19" s="75">
        <f>MIN(Table63[theorical_powerSet_perceivedValue])</f>
        <v>15</v>
      </c>
      <c r="M19" s="75">
        <f>MIN(Table70[power_ID])</f>
        <v>1</v>
      </c>
      <c r="N19" s="74" t="s">
        <v>211</v>
      </c>
      <c r="O19" s="74" t="s">
        <v>212</v>
      </c>
    </row>
    <row r="20" spans="1:19" ht="15.75" x14ac:dyDescent="0.25">
      <c r="A20" s="156" t="s">
        <v>234</v>
      </c>
      <c r="B20" s="156"/>
      <c r="C20" s="156"/>
      <c r="D20" s="156"/>
      <c r="E20" s="156"/>
      <c r="H20" s="75">
        <v>40</v>
      </c>
      <c r="I20" s="75">
        <f t="array" ref="I20:J20">LINEST($H$19:$H$20,$A$18:$A$19,TRUE)</f>
        <v>0.68965517241379315</v>
      </c>
      <c r="J20" s="75">
        <v>19.310344827586206</v>
      </c>
      <c r="K20" s="75">
        <v>5</v>
      </c>
      <c r="L20" s="75">
        <f>MAX(Table63[theorical_powerSet_perceivedValue])</f>
        <v>149</v>
      </c>
      <c r="M20" s="75">
        <f>COUNTIF(Table70[For skins?],1)</f>
        <v>14</v>
      </c>
      <c r="N20" s="75">
        <f t="array" ref="N20:O20">LINEST(M19:M20,L19:L20,TRUE,FALSE)</f>
        <v>9.7014925373134331E-2</v>
      </c>
      <c r="O20" s="75">
        <v>-0.45522388059701502</v>
      </c>
    </row>
    <row r="21" spans="1:19" x14ac:dyDescent="0.25">
      <c r="A21" s="1" t="s">
        <v>235</v>
      </c>
      <c r="B21" s="1" t="s">
        <v>236</v>
      </c>
      <c r="C21" s="1" t="s">
        <v>198</v>
      </c>
      <c r="D21" s="1" t="s">
        <v>112</v>
      </c>
      <c r="E21" s="1" t="s">
        <v>239</v>
      </c>
      <c r="F21" s="1" t="s">
        <v>264</v>
      </c>
      <c r="G21" s="1" t="s">
        <v>265</v>
      </c>
      <c r="H21" s="1" t="s">
        <v>247</v>
      </c>
      <c r="I21" s="1" t="s">
        <v>248</v>
      </c>
      <c r="J21" s="1" t="s">
        <v>251</v>
      </c>
      <c r="K21" s="1" t="s">
        <v>352</v>
      </c>
      <c r="L21" s="1" t="s">
        <v>353</v>
      </c>
      <c r="M21" s="1" t="s">
        <v>382</v>
      </c>
      <c r="N21" s="1" t="s">
        <v>385</v>
      </c>
      <c r="O21" s="1" t="s">
        <v>386</v>
      </c>
      <c r="P21" s="1" t="s">
        <v>387</v>
      </c>
      <c r="Q21" s="1" t="s">
        <v>388</v>
      </c>
      <c r="R21" s="1" t="s">
        <v>389</v>
      </c>
      <c r="S21" s="1" t="s">
        <v>391</v>
      </c>
    </row>
    <row r="22" spans="1:19" x14ac:dyDescent="0.25">
      <c r="A22" s="191">
        <v>1</v>
      </c>
      <c r="B22" s="191">
        <f>MATCH(Table63[[#This Row],[Skin ID]]-1,Table59[First Skin],1)</f>
        <v>1</v>
      </c>
      <c r="C22" s="191">
        <f>IF(INDEX(Table59[ID of HC Skin],Table63[[#This Row],[Associated Dragon]])=Table63[[#This Row],[Skin ID]],0,ROUND(IF(Table63[[#This Row],[Associated Dragon]]=B21,C21+INDEX(Table59[SC step per skin],Table63[[#This Row],[Associated Dragon]])/INDEX(Table59[Number of skin],Table63[[#This Row],[Associated Dragon]]),INDEX(Table59[SC total for Skins],Table63[[#This Row],[Associated Dragon]])/INDEX(Table59[Number of skin],Table63[[#This Row],[Associated Dragon]])),-1))</f>
        <v>600</v>
      </c>
      <c r="D22" s="191">
        <f>IF(Table63[[#This Row],[Cost SC]]=0,INDEX(Table59[HC total for Skins],Table63[[#This Row],[Associated Dragon]]),0)</f>
        <v>0</v>
      </c>
      <c r="E22" s="191">
        <f>ROUND(INDEX('Balance - XP points'!$B$11:$B$20,Table63[[#This Row],[Associated Dragon]])/(1+COUNTIF(Table63[Associated Dragon],Table63[[#This Row],[Associated Dragon]])),0)</f>
        <v>4</v>
      </c>
      <c r="F22" s="191">
        <f>ROUND(IF(Table63[[#This Row],[Associated Dragon]]&lt;&gt;B21,0+Table63[[#This Row],[XP between unlocks]],F21+Table63[[#This Row],[XP between unlocks]]),0)</f>
        <v>4</v>
      </c>
      <c r="G22" s="191">
        <f ca="1">INDEX(Table73[[1]:[19]],Table63[[#This Row],[Associated Dragon]],Table63[[#This Row],[Level to unlock]])</f>
        <v>5714</v>
      </c>
      <c r="H22" s="191">
        <f>ROUND(Table63[[#This Row],[Skin ID]]*$C$19+$D$19,2)</f>
        <v>0.02</v>
      </c>
      <c r="I22" s="191">
        <f>ROUND(Table63[[#This Row],[Skin ID]]*$C$19+$D$19,2)</f>
        <v>0.02</v>
      </c>
      <c r="J22" s="192">
        <f>ROUND($I$20*Table63[[#This Row],[Skin ID]]+$J$20,0)</f>
        <v>20</v>
      </c>
      <c r="K22" s="192">
        <f>ROUND($K$19*SIN(Table63[[#This Row],[Skin ID]])+$K$20*Table63[[#This Row],[Skin ID]]+$K$20,0)</f>
        <v>15</v>
      </c>
      <c r="L22" s="192">
        <f>ROUND($N$20*Table63[[#This Row],[theorical_powerSet_perceivedValue]]+$O$20,0)</f>
        <v>1</v>
      </c>
      <c r="M22" s="192">
        <f>INDEX(Table70[PotentialOrder],MATCH(Table63[[#This Row],[theorical_powerSet_minID]],Table70[power_ID],0))</f>
        <v>13</v>
      </c>
      <c r="N22" s="192" t="b">
        <v>1</v>
      </c>
      <c r="O22" s="192" t="s">
        <v>288</v>
      </c>
      <c r="P22" s="192" t="str">
        <f>IF(Table63[[#This Row],[uses_generated_set]],Table63[[#This Row],[userSelectedPowerup]],INDEX(Table70[Power],MATCH(Table63[[#This Row],[theorical_powerup]],Table70[PotentialOrder],0)))</f>
        <v>Food +</v>
      </c>
      <c r="Q22" s="192">
        <f>COUNTIF(Table63[current_powerup],Table63[[#This Row],[current_powerup]])</f>
        <v>2</v>
      </c>
      <c r="R22" s="192">
        <f>INDEX(Table70[PotentialOrder],MATCH(Table63[[#This Row],[current_powerup]],Table70[Power],0))</f>
        <v>4</v>
      </c>
      <c r="S22" s="186" t="s">
        <v>392</v>
      </c>
    </row>
    <row r="23" spans="1:19" x14ac:dyDescent="0.25">
      <c r="A23" s="193">
        <v>2</v>
      </c>
      <c r="B23" s="193">
        <f>MATCH(Table63[[#This Row],[Skin ID]]-1,Table59[First Skin],1)</f>
        <v>2</v>
      </c>
      <c r="C23" s="193">
        <f>IF(INDEX(Table59[ID of HC Skin],Table63[[#This Row],[Associated Dragon]])=Table63[[#This Row],[Skin ID]],0,ROUND(IF(Table63[[#This Row],[Associated Dragon]]=B22,C22+INDEX(Table59[SC step per skin],Table63[[#This Row],[Associated Dragon]])/INDEX(Table59[Number of skin],Table63[[#This Row],[Associated Dragon]]),INDEX(Table59[SC total for Skins],Table63[[#This Row],[Associated Dragon]])/INDEX(Table59[Number of skin],Table63[[#This Row],[Associated Dragon]])),-1))</f>
        <v>1650</v>
      </c>
      <c r="D23" s="193">
        <f>IF(Table63[[#This Row],[Cost SC]]=0,INDEX(Table59[HC total for Skins],Table63[[#This Row],[Associated Dragon]]),0)</f>
        <v>0</v>
      </c>
      <c r="E23" s="193">
        <f>ROUND(INDEX('Balance - XP points'!$B$11:$B$20,Table63[[#This Row],[Associated Dragon]])/(1+COUNTIF(Table63[Associated Dragon],Table63[[#This Row],[Associated Dragon]])),0)</f>
        <v>3</v>
      </c>
      <c r="F23" s="193">
        <f>ROUND(IF(Table63[[#This Row],[Associated Dragon]]&lt;&gt;B22,0+Table63[[#This Row],[XP between unlocks]],F22+Table63[[#This Row],[XP between unlocks]]),0)</f>
        <v>3</v>
      </c>
      <c r="G23" s="193">
        <f ca="1">INDEX(Table73[[1]:[19]],Table63[[#This Row],[Associated Dragon]],Table63[[#This Row],[Level to unlock]])</f>
        <v>6127</v>
      </c>
      <c r="H23" s="194">
        <f>ROUND(Table63[[#This Row],[Skin ID]]*$C$19+$D$19,2)</f>
        <v>0.03</v>
      </c>
      <c r="I23" s="194">
        <f>ROUND(Table63[[#This Row],[Skin ID]]*$C$19+$D$19,2)</f>
        <v>0.03</v>
      </c>
      <c r="J23" s="194">
        <f>ROUND($I$20*Table63[[#This Row],[Skin ID]]+$J$20,0)</f>
        <v>21</v>
      </c>
      <c r="K23" s="194">
        <f>ROUND($K$19*SIN(Table63[[#This Row],[Skin ID]])+$K$20*Table63[[#This Row],[Skin ID]]+$K$20,0)</f>
        <v>20</v>
      </c>
      <c r="L23" s="194">
        <f>ROUND($N$20*Table63[[#This Row],[theorical_powerSet_perceivedValue]]+$O$20,0)</f>
        <v>1</v>
      </c>
      <c r="M23" s="194">
        <f>INDEX(Table70[PotentialOrder],MATCH(Table63[[#This Row],[theorical_powerSet_minID]],Table70[power_ID],0))</f>
        <v>13</v>
      </c>
      <c r="N23" s="195" t="b">
        <v>1</v>
      </c>
      <c r="O23" s="195" t="s">
        <v>299</v>
      </c>
      <c r="P23" s="195" t="str">
        <f>IF(Table63[[#This Row],[uses_generated_set]],Table63[[#This Row],[userSelectedPowerup]],INDEX(Table70[Power],MATCH(Table63[[#This Row],[theorical_powerup]],Table70[PotentialOrder],0)))</f>
        <v xml:space="preserve">Lower damage from poison </v>
      </c>
      <c r="Q23" s="195">
        <f>COUNTIF(Table63[current_powerup],Table63[[#This Row],[current_powerup]])</f>
        <v>1</v>
      </c>
      <c r="R23" s="194">
        <f>INDEX(Table70[PotentialOrder],MATCH(Table63[[#This Row],[current_powerup]],Table70[Power],0))</f>
        <v>3</v>
      </c>
      <c r="S23" s="186" t="s">
        <v>399</v>
      </c>
    </row>
    <row r="24" spans="1:19" x14ac:dyDescent="0.25">
      <c r="A24" s="191">
        <v>3</v>
      </c>
      <c r="B24" s="191">
        <f>MATCH(Table63[[#This Row],[Skin ID]]-1,Table59[First Skin],1)</f>
        <v>2</v>
      </c>
      <c r="C24" s="191">
        <f>IF(INDEX(Table59[ID of HC Skin],Table63[[#This Row],[Associated Dragon]])=Table63[[#This Row],[Skin ID]],0,ROUND(IF(Table63[[#This Row],[Associated Dragon]]=B23,C23+INDEX(Table59[SC step per skin],Table63[[#This Row],[Associated Dragon]])/INDEX(Table59[Number of skin],Table63[[#This Row],[Associated Dragon]]),INDEX(Table59[SC total for Skins],Table63[[#This Row],[Associated Dragon]])/INDEX(Table59[Number of skin],Table63[[#This Row],[Associated Dragon]])),-1))</f>
        <v>0</v>
      </c>
      <c r="D24" s="191">
        <f>IF(Table63[[#This Row],[Cost SC]]=0,INDEX(Table59[HC total for Skins],Table63[[#This Row],[Associated Dragon]]),0)</f>
        <v>12</v>
      </c>
      <c r="E24" s="191">
        <f>ROUND(INDEX('Balance - XP points'!$B$11:$B$20,Table63[[#This Row],[Associated Dragon]])/(1+COUNTIF(Table63[Associated Dragon],Table63[[#This Row],[Associated Dragon]])),0)</f>
        <v>3</v>
      </c>
      <c r="F24" s="191">
        <f>ROUND(IF(Table63[[#This Row],[Associated Dragon]]&lt;&gt;B23,0+Table63[[#This Row],[XP between unlocks]],F23+Table63[[#This Row],[XP between unlocks]]),0)</f>
        <v>6</v>
      </c>
      <c r="G24" s="191">
        <f ca="1">INDEX(Table73[[1]:[19]],Table63[[#This Row],[Associated Dragon]],Table63[[#This Row],[Level to unlock]])</f>
        <v>21443</v>
      </c>
      <c r="H24" s="192">
        <f>ROUND(Table63[[#This Row],[Skin ID]]*$C$19+$D$19,2)</f>
        <v>0.04</v>
      </c>
      <c r="I24" s="192">
        <f>ROUND(Table63[[#This Row],[Skin ID]]*$C$19+$D$19,2)</f>
        <v>0.04</v>
      </c>
      <c r="J24" s="192">
        <f>ROUND($I$20*Table63[[#This Row],[Skin ID]]+$J$20,0)</f>
        <v>21</v>
      </c>
      <c r="K24" s="192">
        <f>ROUND($K$19*SIN(Table63[[#This Row],[Skin ID]])+$K$20*Table63[[#This Row],[Skin ID]]+$K$20,0)</f>
        <v>21</v>
      </c>
      <c r="L24" s="192">
        <f>ROUND($N$20*Table63[[#This Row],[theorical_powerSet_perceivedValue]]+$O$20,0)</f>
        <v>2</v>
      </c>
      <c r="M24" s="192">
        <f>INDEX(Table70[PotentialOrder],MATCH(Table63[[#This Row],[theorical_powerSet_minID]],Table70[power_ID],0))</f>
        <v>14</v>
      </c>
      <c r="N24" s="192" t="b">
        <v>1</v>
      </c>
      <c r="O24" s="192" t="s">
        <v>377</v>
      </c>
      <c r="P24" s="192" t="str">
        <f>IF(Table63[[#This Row],[uses_generated_set]],Table63[[#This Row],[userSelectedPowerup]],INDEX(Table70[Power],MATCH(Table63[[#This Row],[theorical_powerup]],Table70[PotentialOrder],0)))</f>
        <v>XP +</v>
      </c>
      <c r="Q24" s="192">
        <f>COUNTIF(Table63[current_powerup],Table63[[#This Row],[current_powerup]])</f>
        <v>3</v>
      </c>
      <c r="R24" s="192">
        <f>INDEX(Table70[PotentialOrder],MATCH(Table63[[#This Row],[current_powerup]],Table70[Power],0))</f>
        <v>12</v>
      </c>
      <c r="S24" s="186" t="s">
        <v>393</v>
      </c>
    </row>
    <row r="25" spans="1:19" x14ac:dyDescent="0.25">
      <c r="A25" s="193">
        <v>4</v>
      </c>
      <c r="B25" s="193">
        <f>MATCH(Table63[[#This Row],[Skin ID]]-1,Table59[First Skin],1)</f>
        <v>3</v>
      </c>
      <c r="C25" s="193">
        <f>IF(INDEX(Table59[ID of HC Skin],Table63[[#This Row],[Associated Dragon]])=Table63[[#This Row],[Skin ID]],0,ROUND(IF(Table63[[#This Row],[Associated Dragon]]=B24,C24+INDEX(Table59[SC step per skin],Table63[[#This Row],[Associated Dragon]])/INDEX(Table59[Number of skin],Table63[[#This Row],[Associated Dragon]]),INDEX(Table59[SC total for Skins],Table63[[#This Row],[Associated Dragon]])/INDEX(Table59[Number of skin],Table63[[#This Row],[Associated Dragon]])),-1))</f>
        <v>5250</v>
      </c>
      <c r="D25" s="193">
        <f>IF(Table63[[#This Row],[Cost SC]]=0,INDEX(Table59[HC total for Skins],Table63[[#This Row],[Associated Dragon]]),0)</f>
        <v>0</v>
      </c>
      <c r="E25" s="193">
        <f>ROUND(INDEX('Balance - XP points'!$B$11:$B$20,Table63[[#This Row],[Associated Dragon]])/(1+COUNTIF(Table63[Associated Dragon],Table63[[#This Row],[Associated Dragon]])),0)</f>
        <v>3</v>
      </c>
      <c r="F25" s="193">
        <f>ROUND(IF(Table63[[#This Row],[Associated Dragon]]&lt;&gt;B24,0+Table63[[#This Row],[XP between unlocks]],F24+Table63[[#This Row],[XP between unlocks]]),0)</f>
        <v>3</v>
      </c>
      <c r="G25" s="193">
        <f ca="1">INDEX(Table73[[1]:[19]],Table63[[#This Row],[Associated Dragon]],Table63[[#This Row],[Level to unlock]])</f>
        <v>9966</v>
      </c>
      <c r="H25" s="194">
        <f>ROUND(Table63[[#This Row],[Skin ID]]*$C$19+$D$19,2)</f>
        <v>0.05</v>
      </c>
      <c r="I25" s="194">
        <f>ROUND(Table63[[#This Row],[Skin ID]]*$C$19+$D$19,2)</f>
        <v>0.05</v>
      </c>
      <c r="J25" s="194">
        <f>ROUND($I$20*Table63[[#This Row],[Skin ID]]+$J$20,0)</f>
        <v>22</v>
      </c>
      <c r="K25" s="194">
        <f>ROUND($K$19*SIN(Table63[[#This Row],[Skin ID]])+$K$20*Table63[[#This Row],[Skin ID]]+$K$20,0)</f>
        <v>20</v>
      </c>
      <c r="L25" s="194">
        <f>ROUND($N$20*Table63[[#This Row],[theorical_powerSet_perceivedValue]]+$O$20,0)</f>
        <v>1</v>
      </c>
      <c r="M25" s="194">
        <f>INDEX(Table70[PotentialOrder],MATCH(Table63[[#This Row],[theorical_powerSet_minID]],Table70[power_ID],0))</f>
        <v>13</v>
      </c>
      <c r="N25" s="195" t="b">
        <v>1</v>
      </c>
      <c r="O25" s="195" t="s">
        <v>295</v>
      </c>
      <c r="P25" s="195" t="str">
        <f>IF(Table63[[#This Row],[uses_generated_set]],Table63[[#This Row],[userSelectedPowerup]],INDEX(Table70[Power],MATCH(Table63[[#This Row],[theorical_powerup]],Table70[PotentialOrder],0)))</f>
        <v xml:space="preserve">Lower damage from ghosts </v>
      </c>
      <c r="Q25" s="195">
        <f>COUNTIF(Table63[current_powerup],Table63[[#This Row],[current_powerup]])</f>
        <v>1</v>
      </c>
      <c r="R25" s="194">
        <f>INDEX(Table70[PotentialOrder],MATCH(Table63[[#This Row],[current_powerup]],Table70[Power],0))</f>
        <v>1</v>
      </c>
      <c r="S25" s="186" t="s">
        <v>398</v>
      </c>
    </row>
    <row r="26" spans="1:19" x14ac:dyDescent="0.25">
      <c r="A26" s="191">
        <v>5</v>
      </c>
      <c r="B26" s="191">
        <f>MATCH(Table63[[#This Row],[Skin ID]]-1,Table59[First Skin],1)</f>
        <v>3</v>
      </c>
      <c r="C26" s="191">
        <f>IF(INDEX(Table59[ID of HC Skin],Table63[[#This Row],[Associated Dragon]])=Table63[[#This Row],[Skin ID]],0,ROUND(IF(Table63[[#This Row],[Associated Dragon]]=B25,C25+INDEX(Table59[SC step per skin],Table63[[#This Row],[Associated Dragon]])/INDEX(Table59[Number of skin],Table63[[#This Row],[Associated Dragon]]),INDEX(Table59[SC total for Skins],Table63[[#This Row],[Associated Dragon]])/INDEX(Table59[Number of skin],Table63[[#This Row],[Associated Dragon]])),-1))</f>
        <v>0</v>
      </c>
      <c r="D26" s="191">
        <f>IF(Table63[[#This Row],[Cost SC]]=0,INDEX(Table59[HC total for Skins],Table63[[#This Row],[Associated Dragon]]),0)</f>
        <v>20</v>
      </c>
      <c r="E26" s="191">
        <f>ROUND(INDEX('Balance - XP points'!$B$11:$B$20,Table63[[#This Row],[Associated Dragon]])/(1+COUNTIF(Table63[Associated Dragon],Table63[[#This Row],[Associated Dragon]])),0)</f>
        <v>3</v>
      </c>
      <c r="F26" s="191">
        <f>ROUND(IF(Table63[[#This Row],[Associated Dragon]]&lt;&gt;B25,0+Table63[[#This Row],[XP between unlocks]],F25+Table63[[#This Row],[XP between unlocks]]),0)</f>
        <v>6</v>
      </c>
      <c r="G26" s="191">
        <f ca="1">INDEX(Table73[[1]:[19]],Table63[[#This Row],[Associated Dragon]],Table63[[#This Row],[Level to unlock]])</f>
        <v>34881</v>
      </c>
      <c r="H26" s="192">
        <f>ROUND(Table63[[#This Row],[Skin ID]]*$C$19+$D$19,2)</f>
        <v>0.06</v>
      </c>
      <c r="I26" s="192">
        <f>ROUND(Table63[[#This Row],[Skin ID]]*$C$19+$D$19,2)</f>
        <v>0.06</v>
      </c>
      <c r="J26" s="192">
        <f>ROUND($I$20*Table63[[#This Row],[Skin ID]]+$J$20,0)</f>
        <v>23</v>
      </c>
      <c r="K26" s="192">
        <f>ROUND($K$19*SIN(Table63[[#This Row],[Skin ID]])+$K$20*Table63[[#This Row],[Skin ID]]+$K$20,0)</f>
        <v>24</v>
      </c>
      <c r="L26" s="192">
        <f>ROUND($N$20*Table63[[#This Row],[theorical_powerSet_perceivedValue]]+$O$20,0)</f>
        <v>2</v>
      </c>
      <c r="M26" s="192">
        <f>INDEX(Table70[PotentialOrder],MATCH(Table63[[#This Row],[theorical_powerSet_minID]],Table70[power_ID],0))</f>
        <v>14</v>
      </c>
      <c r="N26" s="192" t="b">
        <v>1</v>
      </c>
      <c r="O26" s="192" t="s">
        <v>274</v>
      </c>
      <c r="P26" s="192" t="str">
        <f>IF(Table63[[#This Row],[uses_generated_set]],Table63[[#This Row],[userSelectedPowerup]],INDEX(Table70[Power],MATCH(Table63[[#This Row],[theorical_powerup]],Table70[PotentialOrder],0)))</f>
        <v>Boost +</v>
      </c>
      <c r="Q26" s="192">
        <f>COUNTIF(Table63[current_powerup],Table63[[#This Row],[current_powerup]])</f>
        <v>3</v>
      </c>
      <c r="R26" s="192">
        <f>INDEX(Table70[PotentialOrder],MATCH(Table63[[#This Row],[current_powerup]],Table70[Power],0))</f>
        <v>9</v>
      </c>
      <c r="S26" s="186" t="s">
        <v>415</v>
      </c>
    </row>
    <row r="27" spans="1:19" x14ac:dyDescent="0.25">
      <c r="A27" s="193">
        <v>6</v>
      </c>
      <c r="B27" s="193">
        <f>MATCH(Table63[[#This Row],[Skin ID]]-1,Table59[First Skin],1)</f>
        <v>4</v>
      </c>
      <c r="C27" s="193">
        <f>IF(INDEX(Table59[ID of HC Skin],Table63[[#This Row],[Associated Dragon]])=Table63[[#This Row],[Skin ID]],0,ROUND(IF(Table63[[#This Row],[Associated Dragon]]=B26,C26+INDEX(Table59[SC step per skin],Table63[[#This Row],[Associated Dragon]])/INDEX(Table59[Number of skin],Table63[[#This Row],[Associated Dragon]]),INDEX(Table59[SC total for Skins],Table63[[#This Row],[Associated Dragon]])/INDEX(Table59[Number of skin],Table63[[#This Row],[Associated Dragon]])),-1))</f>
        <v>8800</v>
      </c>
      <c r="D27" s="193">
        <f>IF(Table63[[#This Row],[Cost SC]]=0,INDEX(Table59[HC total for Skins],Table63[[#This Row],[Associated Dragon]]),0)</f>
        <v>0</v>
      </c>
      <c r="E27" s="193">
        <f>ROUND(INDEX('Balance - XP points'!$B$11:$B$20,Table63[[#This Row],[Associated Dragon]])/(1+COUNTIF(Table63[Associated Dragon],Table63[[#This Row],[Associated Dragon]])),0)</f>
        <v>3</v>
      </c>
      <c r="F27" s="193">
        <f>ROUND(IF(Table63[[#This Row],[Associated Dragon]]&lt;&gt;B26,0+Table63[[#This Row],[XP between unlocks]],F26+Table63[[#This Row],[XP between unlocks]]),0)</f>
        <v>3</v>
      </c>
      <c r="G27" s="193">
        <f ca="1">INDEX(Table73[[1]:[19]],Table63[[#This Row],[Associated Dragon]],Table63[[#This Row],[Level to unlock]])</f>
        <v>14075</v>
      </c>
      <c r="H27" s="194">
        <f>ROUND(Table63[[#This Row],[Skin ID]]*$C$19+$D$19,2)</f>
        <v>7.0000000000000007E-2</v>
      </c>
      <c r="I27" s="194">
        <f>ROUND(Table63[[#This Row],[Skin ID]]*$C$19+$D$19,2)</f>
        <v>7.0000000000000007E-2</v>
      </c>
      <c r="J27" s="194">
        <f>ROUND($I$20*Table63[[#This Row],[Skin ID]]+$J$20,0)</f>
        <v>23</v>
      </c>
      <c r="K27" s="194">
        <f>ROUND($K$19*SIN(Table63[[#This Row],[Skin ID]])+$K$20*Table63[[#This Row],[Skin ID]]+$K$20,0)</f>
        <v>33</v>
      </c>
      <c r="L27" s="194">
        <f>ROUND($N$20*Table63[[#This Row],[theorical_powerSet_perceivedValue]]+$O$20,0)</f>
        <v>3</v>
      </c>
      <c r="M27" s="194">
        <f>INDEX(Table70[PotentialOrder],MATCH(Table63[[#This Row],[theorical_powerSet_minID]],Table70[power_ID],0))</f>
        <v>7</v>
      </c>
      <c r="N27" s="195" t="b">
        <v>1</v>
      </c>
      <c r="O27" s="195" t="s">
        <v>275</v>
      </c>
      <c r="P27" s="195" t="str">
        <f>IF(Table63[[#This Row],[uses_generated_set]],Table63[[#This Row],[userSelectedPowerup]],INDEX(Table70[Power],MATCH(Table63[[#This Row],[theorical_powerup]],Table70[PotentialOrder],0)))</f>
        <v>Fire (size) +</v>
      </c>
      <c r="Q27" s="195">
        <f>COUNTIF(Table63[current_powerup],Table63[[#This Row],[current_powerup]])</f>
        <v>3</v>
      </c>
      <c r="R27" s="194">
        <f>INDEX(Table70[PotentialOrder],MATCH(Table63[[#This Row],[current_powerup]],Table70[Power],0))</f>
        <v>5</v>
      </c>
      <c r="S27" s="186" t="s">
        <v>400</v>
      </c>
    </row>
    <row r="28" spans="1:19" x14ac:dyDescent="0.25">
      <c r="A28" s="184">
        <v>7</v>
      </c>
      <c r="B28" s="184">
        <f>MATCH(Table63[[#This Row],[Skin ID]]-1,Table59[First Skin],1)</f>
        <v>4</v>
      </c>
      <c r="C28" s="184">
        <f>IF(INDEX(Table59[ID of HC Skin],Table63[[#This Row],[Associated Dragon]])=Table63[[#This Row],[Skin ID]],0,ROUND(IF(Table63[[#This Row],[Associated Dragon]]=B27,C27+INDEX(Table59[SC step per skin],Table63[[#This Row],[Associated Dragon]])/INDEX(Table59[Number of skin],Table63[[#This Row],[Associated Dragon]]),INDEX(Table59[SC total for Skins],Table63[[#This Row],[Associated Dragon]])/INDEX(Table59[Number of skin],Table63[[#This Row],[Associated Dragon]])),-1))</f>
        <v>11730</v>
      </c>
      <c r="D28" s="184">
        <f>IF(Table63[[#This Row],[Cost SC]]=0,INDEX(Table59[HC total for Skins],Table63[[#This Row],[Associated Dragon]]),0)</f>
        <v>0</v>
      </c>
      <c r="E28" s="184">
        <f>ROUND(INDEX('Balance - XP points'!$B$11:$B$20,Table63[[#This Row],[Associated Dragon]])/(1+COUNTIF(Table63[Associated Dragon],Table63[[#This Row],[Associated Dragon]])),0)</f>
        <v>3</v>
      </c>
      <c r="F28" s="184">
        <f>ROUND(IF(Table63[[#This Row],[Associated Dragon]]&lt;&gt;B27,0+Table63[[#This Row],[XP between unlocks]],F27+Table63[[#This Row],[XP between unlocks]]),0)</f>
        <v>6</v>
      </c>
      <c r="G28" s="184">
        <f ca="1">INDEX(Table73[[1]:[19]],Table63[[#This Row],[Associated Dragon]],Table63[[#This Row],[Level to unlock]])</f>
        <v>49261</v>
      </c>
      <c r="H28" s="186">
        <f>ROUND(Table63[[#This Row],[Skin ID]]*$C$19+$D$19,2)</f>
        <v>0.08</v>
      </c>
      <c r="I28" s="186">
        <f>ROUND(Table63[[#This Row],[Skin ID]]*$C$19+$D$19,2)</f>
        <v>0.08</v>
      </c>
      <c r="J28" s="186">
        <f>ROUND($I$20*Table63[[#This Row],[Skin ID]]+$J$20,0)</f>
        <v>24</v>
      </c>
      <c r="K28" s="186">
        <f>ROUND($K$19*SIN(Table63[[#This Row],[Skin ID]])+$K$20*Table63[[#This Row],[Skin ID]]+$K$20,0)</f>
        <v>44</v>
      </c>
      <c r="L28" s="186">
        <f>ROUND($N$20*Table63[[#This Row],[theorical_powerSet_perceivedValue]]+$O$20,0)</f>
        <v>4</v>
      </c>
      <c r="M28" s="186">
        <f>INDEX(Table70[PotentialOrder],MATCH(Table63[[#This Row],[theorical_powerSet_minID]],Table70[power_ID],0))</f>
        <v>9</v>
      </c>
      <c r="N28" s="185" t="b">
        <v>0</v>
      </c>
      <c r="O28" s="185"/>
      <c r="P28" s="185" t="str">
        <f>IF(Table63[[#This Row],[uses_generated_set]],Table63[[#This Row],[userSelectedPowerup]],INDEX(Table70[Power],MATCH(Table63[[#This Row],[theorical_powerup]],Table70[PotentialOrder],0)))</f>
        <v>Boost +</v>
      </c>
      <c r="Q28" s="185">
        <f>COUNTIF(Table63[current_powerup],Table63[[#This Row],[current_powerup]])</f>
        <v>3</v>
      </c>
      <c r="R28" s="186">
        <f>INDEX(Table70[PotentialOrder],MATCH(Table63[[#This Row],[current_powerup]],Table70[Power],0))</f>
        <v>9</v>
      </c>
      <c r="S28" s="186" t="s">
        <v>401</v>
      </c>
    </row>
    <row r="29" spans="1:19" x14ac:dyDescent="0.25">
      <c r="A29" s="191">
        <v>8</v>
      </c>
      <c r="B29" s="191">
        <f>MATCH(Table63[[#This Row],[Skin ID]]-1,Table59[First Skin],1)</f>
        <v>4</v>
      </c>
      <c r="C29" s="191">
        <f>IF(INDEX(Table59[ID of HC Skin],Table63[[#This Row],[Associated Dragon]])=Table63[[#This Row],[Skin ID]],0,ROUND(IF(Table63[[#This Row],[Associated Dragon]]=B28,C28+INDEX(Table59[SC step per skin],Table63[[#This Row],[Associated Dragon]])/INDEX(Table59[Number of skin],Table63[[#This Row],[Associated Dragon]]),INDEX(Table59[SC total for Skins],Table63[[#This Row],[Associated Dragon]])/INDEX(Table59[Number of skin],Table63[[#This Row],[Associated Dragon]])),-1))</f>
        <v>0</v>
      </c>
      <c r="D29" s="191">
        <f>IF(Table63[[#This Row],[Cost SC]]=0,INDEX(Table59[HC total for Skins],Table63[[#This Row],[Associated Dragon]]),0)</f>
        <v>30</v>
      </c>
      <c r="E29" s="191">
        <f>ROUND(INDEX('Balance - XP points'!$B$11:$B$20,Table63[[#This Row],[Associated Dragon]])/(1+COUNTIF(Table63[Associated Dragon],Table63[[#This Row],[Associated Dragon]])),0)</f>
        <v>3</v>
      </c>
      <c r="F29" s="191">
        <f>ROUND(IF(Table63[[#This Row],[Associated Dragon]]&lt;&gt;B28,0+Table63[[#This Row],[XP between unlocks]],F28+Table63[[#This Row],[XP between unlocks]]),0)</f>
        <v>9</v>
      </c>
      <c r="G29" s="191">
        <f ca="1">INDEX(Table73[[1]:[19]],Table63[[#This Row],[Associated Dragon]],Table63[[#This Row],[Level to unlock]])</f>
        <v>105560</v>
      </c>
      <c r="H29" s="192">
        <f>ROUND(Table63[[#This Row],[Skin ID]]*$C$19+$D$19,2)</f>
        <v>0.09</v>
      </c>
      <c r="I29" s="192">
        <f>ROUND(Table63[[#This Row],[Skin ID]]*$C$19+$D$19,2)</f>
        <v>0.09</v>
      </c>
      <c r="J29" s="192">
        <f>ROUND($I$20*Table63[[#This Row],[Skin ID]]+$J$20,0)</f>
        <v>25</v>
      </c>
      <c r="K29" s="192">
        <f>ROUND($K$19*SIN(Table63[[#This Row],[Skin ID]])+$K$20*Table63[[#This Row],[Skin ID]]+$K$20,0)</f>
        <v>51</v>
      </c>
      <c r="L29" s="192">
        <f>ROUND($N$20*Table63[[#This Row],[theorical_powerSet_perceivedValue]]+$O$20,0)</f>
        <v>4</v>
      </c>
      <c r="M29" s="192">
        <f>INDEX(Table70[PotentialOrder],MATCH(Table63[[#This Row],[theorical_powerSet_minID]],Table70[power_ID],0))</f>
        <v>9</v>
      </c>
      <c r="N29" s="192" t="b">
        <v>1</v>
      </c>
      <c r="O29" s="192" t="s">
        <v>278</v>
      </c>
      <c r="P29" s="192" t="str">
        <f>IF(Table63[[#This Row],[uses_generated_set]],Table63[[#This Row],[userSelectedPowerup]],INDEX(Table70[Power],MATCH(Table63[[#This Row],[theorical_powerup]],Table70[PotentialOrder],0)))</f>
        <v>Score +</v>
      </c>
      <c r="Q29" s="192">
        <f>COUNTIF(Table63[current_powerup],Table63[[#This Row],[current_powerup]])</f>
        <v>3</v>
      </c>
      <c r="R29" s="192">
        <f>INDEX(Table70[PotentialOrder],MATCH(Table63[[#This Row],[current_powerup]],Table70[Power],0))</f>
        <v>10</v>
      </c>
      <c r="S29" s="186" t="s">
        <v>416</v>
      </c>
    </row>
    <row r="30" spans="1:19" x14ac:dyDescent="0.25">
      <c r="A30" s="193">
        <v>9</v>
      </c>
      <c r="B30" s="193">
        <f>MATCH(Table63[[#This Row],[Skin ID]]-1,Table59[First Skin],1)</f>
        <v>5</v>
      </c>
      <c r="C30" s="193">
        <f>IF(INDEX(Table59[ID of HC Skin],Table63[[#This Row],[Associated Dragon]])=Table63[[#This Row],[Skin ID]],0,ROUND(IF(Table63[[#This Row],[Associated Dragon]]=B29,C29+INDEX(Table59[SC step per skin],Table63[[#This Row],[Associated Dragon]])/INDEX(Table59[Number of skin],Table63[[#This Row],[Associated Dragon]]),INDEX(Table59[SC total for Skins],Table63[[#This Row],[Associated Dragon]])/INDEX(Table59[Number of skin],Table63[[#This Row],[Associated Dragon]])),-1))</f>
        <v>26000</v>
      </c>
      <c r="D30" s="193">
        <f>IF(Table63[[#This Row],[Cost SC]]=0,INDEX(Table59[HC total for Skins],Table63[[#This Row],[Associated Dragon]]),0)</f>
        <v>0</v>
      </c>
      <c r="E30" s="193">
        <f>ROUND(INDEX('Balance - XP points'!$B$11:$B$20,Table63[[#This Row],[Associated Dragon]])/(1+COUNTIF(Table63[Associated Dragon],Table63[[#This Row],[Associated Dragon]])),0)</f>
        <v>4</v>
      </c>
      <c r="F30" s="193">
        <f>ROUND(IF(Table63[[#This Row],[Associated Dragon]]&lt;&gt;B29,0+Table63[[#This Row],[XP between unlocks]],F29+Table63[[#This Row],[XP between unlocks]]),0)</f>
        <v>4</v>
      </c>
      <c r="G30" s="193">
        <f ca="1">INDEX(Table73[[1]:[19]],Table63[[#This Row],[Associated Dragon]],Table63[[#This Row],[Level to unlock]])</f>
        <v>19711</v>
      </c>
      <c r="H30" s="194">
        <f>ROUND(Table63[[#This Row],[Skin ID]]*$C$19+$D$19,2)</f>
        <v>0.1</v>
      </c>
      <c r="I30" s="194">
        <f>ROUND(Table63[[#This Row],[Skin ID]]*$C$19+$D$19,2)</f>
        <v>0.1</v>
      </c>
      <c r="J30" s="194">
        <f>ROUND($I$20*Table63[[#This Row],[Skin ID]]+$J$20,0)</f>
        <v>26</v>
      </c>
      <c r="K30" s="194">
        <f>ROUND($K$19*SIN(Table63[[#This Row],[Skin ID]])+$K$20*Table63[[#This Row],[Skin ID]]+$K$20,0)</f>
        <v>52</v>
      </c>
      <c r="L30" s="194">
        <f>ROUND($N$20*Table63[[#This Row],[theorical_powerSet_perceivedValue]]+$O$20,0)</f>
        <v>5</v>
      </c>
      <c r="M30" s="194">
        <f>INDEX(Table70[PotentialOrder],MATCH(Table63[[#This Row],[theorical_powerSet_minID]],Table70[power_ID],0))</f>
        <v>5</v>
      </c>
      <c r="N30" s="195" t="b">
        <v>0</v>
      </c>
      <c r="O30" s="195"/>
      <c r="P30" s="195" t="str">
        <f>IF(Table63[[#This Row],[uses_generated_set]],Table63[[#This Row],[userSelectedPowerup]],INDEX(Table70[Power],MATCH(Table63[[#This Row],[theorical_powerup]],Table70[PotentialOrder],0)))</f>
        <v>Fire (size) +</v>
      </c>
      <c r="Q30" s="195">
        <f>COUNTIF(Table63[current_powerup],Table63[[#This Row],[current_powerup]])</f>
        <v>3</v>
      </c>
      <c r="R30" s="194">
        <f>INDEX(Table70[PotentialOrder],MATCH(Table63[[#This Row],[current_powerup]],Table70[Power],0))</f>
        <v>5</v>
      </c>
      <c r="S30" s="186" t="s">
        <v>404</v>
      </c>
    </row>
    <row r="31" spans="1:19" x14ac:dyDescent="0.25">
      <c r="A31" s="184">
        <v>10</v>
      </c>
      <c r="B31" s="184">
        <f>MATCH(Table63[[#This Row],[Skin ID]]-1,Table59[First Skin],1)</f>
        <v>5</v>
      </c>
      <c r="C31" s="184">
        <f>IF(INDEX(Table59[ID of HC Skin],Table63[[#This Row],[Associated Dragon]])=Table63[[#This Row],[Skin ID]],0,ROUND(IF(Table63[[#This Row],[Associated Dragon]]=B30,C30+INDEX(Table59[SC step per skin],Table63[[#This Row],[Associated Dragon]])/INDEX(Table59[Number of skin],Table63[[#This Row],[Associated Dragon]]),INDEX(Table59[SC total for Skins],Table63[[#This Row],[Associated Dragon]])/INDEX(Table59[Number of skin],Table63[[#This Row],[Associated Dragon]])),-1))</f>
        <v>34670</v>
      </c>
      <c r="D31" s="184">
        <f>IF(Table63[[#This Row],[Cost SC]]=0,INDEX(Table59[HC total for Skins],Table63[[#This Row],[Associated Dragon]]),0)</f>
        <v>0</v>
      </c>
      <c r="E31" s="184">
        <f>ROUND(INDEX('Balance - XP points'!$B$11:$B$20,Table63[[#This Row],[Associated Dragon]])/(1+COUNTIF(Table63[Associated Dragon],Table63[[#This Row],[Associated Dragon]])),0)</f>
        <v>4</v>
      </c>
      <c r="F31" s="184">
        <f>ROUND(IF(Table63[[#This Row],[Associated Dragon]]&lt;&gt;B30,0+Table63[[#This Row],[XP between unlocks]],F30+Table63[[#This Row],[XP between unlocks]]),0)</f>
        <v>8</v>
      </c>
      <c r="G31" s="184">
        <f ca="1">INDEX(Table73[[1]:[19]],Table63[[#This Row],[Associated Dragon]],Table63[[#This Row],[Level to unlock]])</f>
        <v>70959</v>
      </c>
      <c r="H31" s="186">
        <f>ROUND(Table63[[#This Row],[Skin ID]]*$C$19+$D$19,2)</f>
        <v>0.11</v>
      </c>
      <c r="I31" s="186">
        <f>ROUND(Table63[[#This Row],[Skin ID]]*$C$19+$D$19,2)</f>
        <v>0.11</v>
      </c>
      <c r="J31" s="186">
        <f>ROUND($I$20*Table63[[#This Row],[Skin ID]]+$J$20,0)</f>
        <v>26</v>
      </c>
      <c r="K31" s="186">
        <f>ROUND($K$19*SIN(Table63[[#This Row],[Skin ID]])+$K$20*Table63[[#This Row],[Skin ID]]+$K$20,0)</f>
        <v>52</v>
      </c>
      <c r="L31" s="186">
        <f>ROUND($N$20*Table63[[#This Row],[theorical_powerSet_perceivedValue]]+$O$20,0)</f>
        <v>5</v>
      </c>
      <c r="M31" s="186">
        <f>INDEX(Table70[PotentialOrder],MATCH(Table63[[#This Row],[theorical_powerSet_minID]],Table70[power_ID],0))</f>
        <v>5</v>
      </c>
      <c r="N31" s="185" t="b">
        <v>1</v>
      </c>
      <c r="O31" s="184" t="s">
        <v>276</v>
      </c>
      <c r="P31" s="185" t="str">
        <f>IF(Table63[[#This Row],[uses_generated_set]],Table63[[#This Row],[userSelectedPowerup]],INDEX(Table70[Power],MATCH(Table63[[#This Row],[theorical_powerup]],Table70[PotentialOrder],0)))</f>
        <v>Fire Rush Time +</v>
      </c>
      <c r="Q31" s="185">
        <f>COUNTIF(Table63[current_powerup],Table63[[#This Row],[current_powerup]])</f>
        <v>3</v>
      </c>
      <c r="R31" s="186">
        <f>INDEX(Table70[PotentialOrder],MATCH(Table63[[#This Row],[current_powerup]],Table70[Power],0))</f>
        <v>8</v>
      </c>
      <c r="S31" s="186" t="s">
        <v>418</v>
      </c>
    </row>
    <row r="32" spans="1:19" x14ac:dyDescent="0.25">
      <c r="A32" s="191">
        <v>11</v>
      </c>
      <c r="B32" s="191">
        <f>MATCH(Table63[[#This Row],[Skin ID]]-1,Table59[First Skin],1)</f>
        <v>5</v>
      </c>
      <c r="C32" s="191">
        <f>IF(INDEX(Table59[ID of HC Skin],Table63[[#This Row],[Associated Dragon]])=Table63[[#This Row],[Skin ID]],0,ROUND(IF(Table63[[#This Row],[Associated Dragon]]=B31,C31+INDEX(Table59[SC step per skin],Table63[[#This Row],[Associated Dragon]])/INDEX(Table59[Number of skin],Table63[[#This Row],[Associated Dragon]]),INDEX(Table59[SC total for Skins],Table63[[#This Row],[Associated Dragon]])/INDEX(Table59[Number of skin],Table63[[#This Row],[Associated Dragon]])),-1))</f>
        <v>0</v>
      </c>
      <c r="D32" s="191">
        <f>IF(Table63[[#This Row],[Cost SC]]=0,INDEX(Table59[HC total for Skins],Table63[[#This Row],[Associated Dragon]]),0)</f>
        <v>40</v>
      </c>
      <c r="E32" s="191">
        <f>ROUND(INDEX('Balance - XP points'!$B$11:$B$20,Table63[[#This Row],[Associated Dragon]])/(1+COUNTIF(Table63[Associated Dragon],Table63[[#This Row],[Associated Dragon]])),0)</f>
        <v>4</v>
      </c>
      <c r="F32" s="191">
        <f>ROUND(IF(Table63[[#This Row],[Associated Dragon]]&lt;&gt;B31,0+Table63[[#This Row],[XP between unlocks]],F31+Table63[[#This Row],[XP between unlocks]]),0)</f>
        <v>12</v>
      </c>
      <c r="G32" s="191">
        <f ca="1">INDEX(Table73[[1]:[19]],Table63[[#This Row],[Associated Dragon]],Table63[[#This Row],[Level to unlock]])</f>
        <v>153744</v>
      </c>
      <c r="H32" s="192">
        <f>ROUND(Table63[[#This Row],[Skin ID]]*$C$19+$D$19,2)</f>
        <v>0.12</v>
      </c>
      <c r="I32" s="192">
        <f>ROUND(Table63[[#This Row],[Skin ID]]*$C$19+$D$19,2)</f>
        <v>0.12</v>
      </c>
      <c r="J32" s="192">
        <f>ROUND($I$20*Table63[[#This Row],[Skin ID]]+$J$20,0)</f>
        <v>27</v>
      </c>
      <c r="K32" s="192">
        <f>ROUND($K$19*SIN(Table63[[#This Row],[Skin ID]])+$K$20*Table63[[#This Row],[Skin ID]]+$K$20,0)</f>
        <v>54</v>
      </c>
      <c r="L32" s="192">
        <f>ROUND($N$20*Table63[[#This Row],[theorical_powerSet_perceivedValue]]+$O$20,0)</f>
        <v>5</v>
      </c>
      <c r="M32" s="192">
        <f>INDEX(Table70[PotentialOrder],MATCH(Table63[[#This Row],[theorical_powerSet_minID]],Table70[power_ID],0))</f>
        <v>5</v>
      </c>
      <c r="N32" s="192" t="b">
        <v>1</v>
      </c>
      <c r="O32" s="192" t="s">
        <v>274</v>
      </c>
      <c r="P32" s="192" t="str">
        <f>IF(Table63[[#This Row],[uses_generated_set]],Table63[[#This Row],[userSelectedPowerup]],INDEX(Table70[Power],MATCH(Table63[[#This Row],[theorical_powerup]],Table70[PotentialOrder],0)))</f>
        <v>Boost +</v>
      </c>
      <c r="Q32" s="192">
        <f>COUNTIF(Table63[current_powerup],Table63[[#This Row],[current_powerup]])</f>
        <v>3</v>
      </c>
      <c r="R32" s="192">
        <f>INDEX(Table70[PotentialOrder],MATCH(Table63[[#This Row],[current_powerup]],Table70[Power],0))</f>
        <v>9</v>
      </c>
      <c r="S32" s="186" t="s">
        <v>397</v>
      </c>
    </row>
    <row r="33" spans="1:19" x14ac:dyDescent="0.25">
      <c r="A33" s="193">
        <v>12</v>
      </c>
      <c r="B33" s="193">
        <f>MATCH(Table63[[#This Row],[Skin ID]]-1,Table59[First Skin],1)</f>
        <v>6</v>
      </c>
      <c r="C33" s="193">
        <f>IF(INDEX(Table59[ID of HC Skin],Table63[[#This Row],[Associated Dragon]])=Table63[[#This Row],[Skin ID]],0,ROUND(IF(Table63[[#This Row],[Associated Dragon]]=B32,C32+INDEX(Table59[SC step per skin],Table63[[#This Row],[Associated Dragon]])/INDEX(Table59[Number of skin],Table63[[#This Row],[Associated Dragon]]),INDEX(Table59[SC total for Skins],Table63[[#This Row],[Associated Dragon]])/INDEX(Table59[Number of skin],Table63[[#This Row],[Associated Dragon]])),-1))</f>
        <v>50000</v>
      </c>
      <c r="D33" s="193">
        <f>IF(Table63[[#This Row],[Cost SC]]=0,INDEX(Table59[HC total for Skins],Table63[[#This Row],[Associated Dragon]]),0)</f>
        <v>0</v>
      </c>
      <c r="E33" s="193">
        <f>ROUND(INDEX('Balance - XP points'!$B$11:$B$20,Table63[[#This Row],[Associated Dragon]])/(1+COUNTIF(Table63[Associated Dragon],Table63[[#This Row],[Associated Dragon]])),0)</f>
        <v>4</v>
      </c>
      <c r="F33" s="193">
        <f>ROUND(IF(Table63[[#This Row],[Associated Dragon]]&lt;&gt;B32,0+Table63[[#This Row],[XP between unlocks]],F32+Table63[[#This Row],[XP between unlocks]]),0)</f>
        <v>4</v>
      </c>
      <c r="G33" s="193">
        <f ca="1">INDEX(Table73[[1]:[19]],Table63[[#This Row],[Associated Dragon]],Table63[[#This Row],[Level to unlock]])</f>
        <v>24531</v>
      </c>
      <c r="H33" s="194">
        <f>ROUND(Table63[[#This Row],[Skin ID]]*$C$19+$D$19,2)</f>
        <v>0.13</v>
      </c>
      <c r="I33" s="194">
        <f>ROUND(Table63[[#This Row],[Skin ID]]*$C$19+$D$19,2)</f>
        <v>0.13</v>
      </c>
      <c r="J33" s="194">
        <f>ROUND($I$20*Table63[[#This Row],[Skin ID]]+$J$20,0)</f>
        <v>28</v>
      </c>
      <c r="K33" s="194">
        <f>ROUND($K$19*SIN(Table63[[#This Row],[Skin ID]])+$K$20*Table63[[#This Row],[Skin ID]]+$K$20,0)</f>
        <v>62</v>
      </c>
      <c r="L33" s="194">
        <f>ROUND($N$20*Table63[[#This Row],[theorical_powerSet_perceivedValue]]+$O$20,0)</f>
        <v>6</v>
      </c>
      <c r="M33" s="194">
        <f>INDEX(Table70[PotentialOrder],MATCH(Table63[[#This Row],[theorical_powerSet_minID]],Table70[power_ID],0))</f>
        <v>8</v>
      </c>
      <c r="N33" s="195" t="b">
        <v>0</v>
      </c>
      <c r="O33" s="195"/>
      <c r="P33" s="195" t="str">
        <f>IF(Table63[[#This Row],[uses_generated_set]],Table63[[#This Row],[userSelectedPowerup]],INDEX(Table70[Power],MATCH(Table63[[#This Row],[theorical_powerup]],Table70[PotentialOrder],0)))</f>
        <v>Fire Rush Time +</v>
      </c>
      <c r="Q33" s="195">
        <f>COUNTIF(Table63[current_powerup],Table63[[#This Row],[current_powerup]])</f>
        <v>3</v>
      </c>
      <c r="R33" s="194">
        <f>INDEX(Table70[PotentialOrder],MATCH(Table63[[#This Row],[current_powerup]],Table70[Power],0))</f>
        <v>8</v>
      </c>
      <c r="S33" s="186" t="s">
        <v>417</v>
      </c>
    </row>
    <row r="34" spans="1:19" x14ac:dyDescent="0.25">
      <c r="A34" s="184">
        <v>13</v>
      </c>
      <c r="B34" s="184">
        <f>MATCH(Table63[[#This Row],[Skin ID]]-1,Table59[First Skin],1)</f>
        <v>6</v>
      </c>
      <c r="C34" s="184">
        <f>IF(INDEX(Table59[ID of HC Skin],Table63[[#This Row],[Associated Dragon]])=Table63[[#This Row],[Skin ID]],0,ROUND(IF(Table63[[#This Row],[Associated Dragon]]=B33,C33+INDEX(Table59[SC step per skin],Table63[[#This Row],[Associated Dragon]])/INDEX(Table59[Number of skin],Table63[[#This Row],[Associated Dragon]]),INDEX(Table59[SC total for Skins],Table63[[#This Row],[Associated Dragon]])/INDEX(Table59[Number of skin],Table63[[#This Row],[Associated Dragon]])),-1))</f>
        <v>66670</v>
      </c>
      <c r="D34" s="184">
        <f>IF(Table63[[#This Row],[Cost SC]]=0,INDEX(Table59[HC total for Skins],Table63[[#This Row],[Associated Dragon]]),0)</f>
        <v>0</v>
      </c>
      <c r="E34" s="184">
        <f>ROUND(INDEX('Balance - XP points'!$B$11:$B$20,Table63[[#This Row],[Associated Dragon]])/(1+COUNTIF(Table63[Associated Dragon],Table63[[#This Row],[Associated Dragon]])),0)</f>
        <v>4</v>
      </c>
      <c r="F34" s="184">
        <f>ROUND(IF(Table63[[#This Row],[Associated Dragon]]&lt;&gt;B33,0+Table63[[#This Row],[XP between unlocks]],F33+Table63[[#This Row],[XP between unlocks]]),0)</f>
        <v>8</v>
      </c>
      <c r="G34" s="184">
        <f ca="1">INDEX(Table73[[1]:[19]],Table63[[#This Row],[Associated Dragon]],Table63[[#This Row],[Level to unlock]])</f>
        <v>88311</v>
      </c>
      <c r="H34" s="186">
        <f>ROUND(Table63[[#This Row],[Skin ID]]*$C$19+$D$19,2)</f>
        <v>0.14000000000000001</v>
      </c>
      <c r="I34" s="186">
        <f>ROUND(Table63[[#This Row],[Skin ID]]*$C$19+$D$19,2)</f>
        <v>0.14000000000000001</v>
      </c>
      <c r="J34" s="186">
        <f>ROUND($I$20*Table63[[#This Row],[Skin ID]]+$J$20,0)</f>
        <v>28</v>
      </c>
      <c r="K34" s="186">
        <f>ROUND($K$19*SIN(Table63[[#This Row],[Skin ID]])+$K$20*Table63[[#This Row],[Skin ID]]+$K$20,0)</f>
        <v>73</v>
      </c>
      <c r="L34" s="186">
        <f>ROUND($N$20*Table63[[#This Row],[theorical_powerSet_perceivedValue]]+$O$20,0)</f>
        <v>7</v>
      </c>
      <c r="M34" s="186">
        <f>INDEX(Table70[PotentialOrder],MATCH(Table63[[#This Row],[theorical_powerSet_minID]],Table70[power_ID],0))</f>
        <v>11</v>
      </c>
      <c r="N34" s="185" t="b">
        <v>0</v>
      </c>
      <c r="O34" s="185"/>
      <c r="P34" s="185" t="str">
        <f>IF(Table63[[#This Row],[uses_generated_set]],Table63[[#This Row],[userSelectedPowerup]],INDEX(Table70[Power],MATCH(Table63[[#This Row],[theorical_powerup]],Table70[PotentialOrder],0)))</f>
        <v>SC +</v>
      </c>
      <c r="Q34" s="185">
        <f>COUNTIF(Table63[current_powerup],Table63[[#This Row],[current_powerup]])</f>
        <v>2</v>
      </c>
      <c r="R34" s="186">
        <f>INDEX(Table70[PotentialOrder],MATCH(Table63[[#This Row],[current_powerup]],Table70[Power],0))</f>
        <v>11</v>
      </c>
      <c r="S34" s="186" t="s">
        <v>405</v>
      </c>
    </row>
    <row r="35" spans="1:19" x14ac:dyDescent="0.25">
      <c r="A35" s="191">
        <v>14</v>
      </c>
      <c r="B35" s="191">
        <f>MATCH(Table63[[#This Row],[Skin ID]]-1,Table59[First Skin],1)</f>
        <v>6</v>
      </c>
      <c r="C35" s="191">
        <f>IF(INDEX(Table59[ID of HC Skin],Table63[[#This Row],[Associated Dragon]])=Table63[[#This Row],[Skin ID]],0,ROUND(IF(Table63[[#This Row],[Associated Dragon]]=B34,C34+INDEX(Table59[SC step per skin],Table63[[#This Row],[Associated Dragon]])/INDEX(Table59[Number of skin],Table63[[#This Row],[Associated Dragon]]),INDEX(Table59[SC total for Skins],Table63[[#This Row],[Associated Dragon]])/INDEX(Table59[Number of skin],Table63[[#This Row],[Associated Dragon]])),-1))</f>
        <v>0</v>
      </c>
      <c r="D35" s="191">
        <f>IF(Table63[[#This Row],[Cost SC]]=0,INDEX(Table59[HC total for Skins],Table63[[#This Row],[Associated Dragon]]),0)</f>
        <v>80</v>
      </c>
      <c r="E35" s="191">
        <f>ROUND(INDEX('Balance - XP points'!$B$11:$B$20,Table63[[#This Row],[Associated Dragon]])/(1+COUNTIF(Table63[Associated Dragon],Table63[[#This Row],[Associated Dragon]])),0)</f>
        <v>4</v>
      </c>
      <c r="F35" s="191">
        <f>ROUND(IF(Table63[[#This Row],[Associated Dragon]]&lt;&gt;B34,0+Table63[[#This Row],[XP between unlocks]],F34+Table63[[#This Row],[XP between unlocks]]),0)</f>
        <v>12</v>
      </c>
      <c r="G35" s="191">
        <f ca="1">INDEX(Table73[[1]:[19]],Table63[[#This Row],[Associated Dragon]],Table63[[#This Row],[Level to unlock]])</f>
        <v>191340</v>
      </c>
      <c r="H35" s="192">
        <f>ROUND(Table63[[#This Row],[Skin ID]]*$C$19+$D$19,2)</f>
        <v>0.15</v>
      </c>
      <c r="I35" s="192">
        <f>ROUND(Table63[[#This Row],[Skin ID]]*$C$19+$D$19,2)</f>
        <v>0.15</v>
      </c>
      <c r="J35" s="192">
        <f>ROUND($I$20*Table63[[#This Row],[Skin ID]]+$J$20,0)</f>
        <v>29</v>
      </c>
      <c r="K35" s="192">
        <f>ROUND($K$19*SIN(Table63[[#This Row],[Skin ID]])+$K$20*Table63[[#This Row],[Skin ID]]+$K$20,0)</f>
        <v>81</v>
      </c>
      <c r="L35" s="192">
        <f>ROUND($N$20*Table63[[#This Row],[theorical_powerSet_perceivedValue]]+$O$20,0)</f>
        <v>7</v>
      </c>
      <c r="M35" s="192">
        <f>INDEX(Table70[PotentialOrder],MATCH(Table63[[#This Row],[theorical_powerSet_minID]],Table70[power_ID],0))</f>
        <v>11</v>
      </c>
      <c r="N35" s="192" t="b">
        <v>1</v>
      </c>
      <c r="O35" s="192" t="s">
        <v>271</v>
      </c>
      <c r="P35" s="192" t="str">
        <f>IF(Table63[[#This Row],[uses_generated_set]],Table63[[#This Row],[userSelectedPowerup]],INDEX(Table70[Power],MATCH(Table63[[#This Row],[theorical_powerup]],Table70[PotentialOrder],0)))</f>
        <v>HP +</v>
      </c>
      <c r="Q35" s="192">
        <f>COUNTIF(Table63[current_powerup],Table63[[#This Row],[current_powerup]])</f>
        <v>2</v>
      </c>
      <c r="R35" s="192">
        <f>INDEX(Table70[PotentialOrder],MATCH(Table63[[#This Row],[current_powerup]],Table70[Power],0))</f>
        <v>13</v>
      </c>
      <c r="S35" s="186" t="s">
        <v>396</v>
      </c>
    </row>
    <row r="36" spans="1:19" x14ac:dyDescent="0.25">
      <c r="A36" s="193">
        <v>15</v>
      </c>
      <c r="B36" s="193">
        <f>MATCH(Table63[[#This Row],[Skin ID]]-1,Table59[First Skin],1)</f>
        <v>7</v>
      </c>
      <c r="C36" s="193">
        <f>IF(INDEX(Table59[ID of HC Skin],Table63[[#This Row],[Associated Dragon]])=Table63[[#This Row],[Skin ID]],0,ROUND(IF(Table63[[#This Row],[Associated Dragon]]=B35,C35+INDEX(Table59[SC step per skin],Table63[[#This Row],[Associated Dragon]])/INDEX(Table59[Number of skin],Table63[[#This Row],[Associated Dragon]]),INDEX(Table59[SC total for Skins],Table63[[#This Row],[Associated Dragon]])/INDEX(Table59[Number of skin],Table63[[#This Row],[Associated Dragon]])),-1))</f>
        <v>65250</v>
      </c>
      <c r="D36" s="193">
        <f>IF(Table63[[#This Row],[Cost SC]]=0,INDEX(Table59[HC total for Skins],Table63[[#This Row],[Associated Dragon]]),0)</f>
        <v>0</v>
      </c>
      <c r="E36" s="193">
        <f>ROUND(INDEX('Balance - XP points'!$B$11:$B$20,Table63[[#This Row],[Associated Dragon]])/(1+COUNTIF(Table63[Associated Dragon],Table63[[#This Row],[Associated Dragon]])),0)</f>
        <v>3</v>
      </c>
      <c r="F36" s="193">
        <f>ROUND(IF(Table63[[#This Row],[Associated Dragon]]&lt;&gt;B35,0+Table63[[#This Row],[XP between unlocks]],F35+Table63[[#This Row],[XP between unlocks]]),0)</f>
        <v>3</v>
      </c>
      <c r="G36" s="193">
        <f ca="1">INDEX(Table73[[1]:[19]],Table63[[#This Row],[Associated Dragon]],Table63[[#This Row],[Level to unlock]])</f>
        <v>17709</v>
      </c>
      <c r="H36" s="194">
        <f>ROUND(Table63[[#This Row],[Skin ID]]*$C$19+$D$19,2)</f>
        <v>0.16</v>
      </c>
      <c r="I36" s="194">
        <f>ROUND(Table63[[#This Row],[Skin ID]]*$C$19+$D$19,2)</f>
        <v>0.16</v>
      </c>
      <c r="J36" s="194">
        <f>ROUND($I$20*Table63[[#This Row],[Skin ID]]+$J$20,0)</f>
        <v>30</v>
      </c>
      <c r="K36" s="194">
        <f>ROUND($K$19*SIN(Table63[[#This Row],[Skin ID]])+$K$20*Table63[[#This Row],[Skin ID]]+$K$20,0)</f>
        <v>84</v>
      </c>
      <c r="L36" s="194">
        <f>ROUND($N$20*Table63[[#This Row],[theorical_powerSet_perceivedValue]]+$O$20,0)</f>
        <v>8</v>
      </c>
      <c r="M36" s="194">
        <f>INDEX(Table70[PotentialOrder],MATCH(Table63[[#This Row],[theorical_powerSet_minID]],Table70[power_ID],0))</f>
        <v>10</v>
      </c>
      <c r="N36" s="195" t="b">
        <v>1</v>
      </c>
      <c r="O36" s="195" t="s">
        <v>294</v>
      </c>
      <c r="P36" s="195" t="str">
        <f>IF(Table63[[#This Row],[uses_generated_set]],Table63[[#This Row],[userSelectedPowerup]],INDEX(Table70[Power],MATCH(Table63[[#This Row],[theorical_powerup]],Table70[PotentialOrder],0)))</f>
        <v xml:space="preserve">Lower damage from mines </v>
      </c>
      <c r="Q36" s="195">
        <f>COUNTIF(Table63[current_powerup],Table63[[#This Row],[current_powerup]])</f>
        <v>3</v>
      </c>
      <c r="R36" s="194">
        <f>INDEX(Table70[PotentialOrder],MATCH(Table63[[#This Row],[current_powerup]],Table70[Power],0))</f>
        <v>6</v>
      </c>
      <c r="S36" s="186" t="s">
        <v>402</v>
      </c>
    </row>
    <row r="37" spans="1:19" x14ac:dyDescent="0.25">
      <c r="A37" s="184">
        <v>16</v>
      </c>
      <c r="B37" s="184">
        <f>MATCH(Table63[[#This Row],[Skin ID]]-1,Table59[First Skin],1)</f>
        <v>7</v>
      </c>
      <c r="C37" s="184">
        <f>IF(INDEX(Table59[ID of HC Skin],Table63[[#This Row],[Associated Dragon]])=Table63[[#This Row],[Skin ID]],0,ROUND(IF(Table63[[#This Row],[Associated Dragon]]=B36,C36+INDEX(Table59[SC step per skin],Table63[[#This Row],[Associated Dragon]])/INDEX(Table59[Number of skin],Table63[[#This Row],[Associated Dragon]]),INDEX(Table59[SC total for Skins],Table63[[#This Row],[Associated Dragon]])/INDEX(Table59[Number of skin],Table63[[#This Row],[Associated Dragon]])),-1))</f>
        <v>81560</v>
      </c>
      <c r="D37" s="184">
        <f>IF(Table63[[#This Row],[Cost SC]]=0,INDEX(Table59[HC total for Skins],Table63[[#This Row],[Associated Dragon]]),0)</f>
        <v>0</v>
      </c>
      <c r="E37" s="184">
        <f>ROUND(INDEX('Balance - XP points'!$B$11:$B$20,Table63[[#This Row],[Associated Dragon]])/(1+COUNTIF(Table63[Associated Dragon],Table63[[#This Row],[Associated Dragon]])),0)</f>
        <v>3</v>
      </c>
      <c r="F37" s="184">
        <f>ROUND(IF(Table63[[#This Row],[Associated Dragon]]&lt;&gt;B36,0+Table63[[#This Row],[XP between unlocks]],F36+Table63[[#This Row],[XP between unlocks]]),0)</f>
        <v>6</v>
      </c>
      <c r="G37" s="184">
        <f ca="1">INDEX(Table73[[1]:[19]],Table63[[#This Row],[Associated Dragon]],Table63[[#This Row],[Level to unlock]])</f>
        <v>61983</v>
      </c>
      <c r="H37" s="186">
        <f>ROUND(Table63[[#This Row],[Skin ID]]*$C$19+$D$19,2)</f>
        <v>0.16</v>
      </c>
      <c r="I37" s="186">
        <f>ROUND(Table63[[#This Row],[Skin ID]]*$C$19+$D$19,2)</f>
        <v>0.16</v>
      </c>
      <c r="J37" s="186">
        <f>ROUND($I$20*Table63[[#This Row],[Skin ID]]+$J$20,0)</f>
        <v>30</v>
      </c>
      <c r="K37" s="186">
        <f>ROUND($K$19*SIN(Table63[[#This Row],[Skin ID]])+$K$20*Table63[[#This Row],[Skin ID]]+$K$20,0)</f>
        <v>83</v>
      </c>
      <c r="L37" s="186">
        <f>ROUND($N$20*Table63[[#This Row],[theorical_powerSet_perceivedValue]]+$O$20,0)</f>
        <v>8</v>
      </c>
      <c r="M37" s="186">
        <f>INDEX(Table70[PotentialOrder],MATCH(Table63[[#This Row],[theorical_powerSet_minID]],Table70[power_ID],0))</f>
        <v>10</v>
      </c>
      <c r="N37" s="185" t="b">
        <v>1</v>
      </c>
      <c r="O37" s="185" t="s">
        <v>276</v>
      </c>
      <c r="P37" s="185" t="str">
        <f>IF(Table63[[#This Row],[uses_generated_set]],Table63[[#This Row],[userSelectedPowerup]],INDEX(Table70[Power],MATCH(Table63[[#This Row],[theorical_powerup]],Table70[PotentialOrder],0)))</f>
        <v>Fire Rush Time +</v>
      </c>
      <c r="Q37" s="185">
        <f>COUNTIF(Table63[current_powerup],Table63[[#This Row],[current_powerup]])</f>
        <v>3</v>
      </c>
      <c r="R37" s="186">
        <f>INDEX(Table70[PotentialOrder],MATCH(Table63[[#This Row],[current_powerup]],Table70[Power],0))</f>
        <v>8</v>
      </c>
      <c r="S37" s="186" t="s">
        <v>408</v>
      </c>
    </row>
    <row r="38" spans="1:19" x14ac:dyDescent="0.25">
      <c r="A38" s="184">
        <v>17</v>
      </c>
      <c r="B38" s="184">
        <f>MATCH(Table63[[#This Row],[Skin ID]]-1,Table59[First Skin],1)</f>
        <v>7</v>
      </c>
      <c r="C38" s="184">
        <f>IF(INDEX(Table59[ID of HC Skin],Table63[[#This Row],[Associated Dragon]])=Table63[[#This Row],[Skin ID]],0,ROUND(IF(Table63[[#This Row],[Associated Dragon]]=B37,C37+INDEX(Table59[SC step per skin],Table63[[#This Row],[Associated Dragon]])/INDEX(Table59[Number of skin],Table63[[#This Row],[Associated Dragon]]),INDEX(Table59[SC total for Skins],Table63[[#This Row],[Associated Dragon]])/INDEX(Table59[Number of skin],Table63[[#This Row],[Associated Dragon]])),-1))</f>
        <v>97870</v>
      </c>
      <c r="D38" s="184">
        <f>IF(Table63[[#This Row],[Cost SC]]=0,INDEX(Table59[HC total for Skins],Table63[[#This Row],[Associated Dragon]]),0)</f>
        <v>0</v>
      </c>
      <c r="E38" s="184">
        <f>ROUND(INDEX('Balance - XP points'!$B$11:$B$20,Table63[[#This Row],[Associated Dragon]])/(1+COUNTIF(Table63[Associated Dragon],Table63[[#This Row],[Associated Dragon]])),0)</f>
        <v>3</v>
      </c>
      <c r="F38" s="184">
        <f>ROUND(IF(Table63[[#This Row],[Associated Dragon]]&lt;&gt;B37,0+Table63[[#This Row],[XP between unlocks]],F37+Table63[[#This Row],[XP between unlocks]]),0)</f>
        <v>9</v>
      </c>
      <c r="G38" s="184">
        <f ca="1">INDEX(Table73[[1]:[19]],Table63[[#This Row],[Associated Dragon]],Table63[[#This Row],[Level to unlock]])</f>
        <v>132821</v>
      </c>
      <c r="H38" s="186">
        <f>ROUND(Table63[[#This Row],[Skin ID]]*$C$19+$D$19,2)</f>
        <v>0.17</v>
      </c>
      <c r="I38" s="186">
        <f>ROUND(Table63[[#This Row],[Skin ID]]*$C$19+$D$19,2)</f>
        <v>0.17</v>
      </c>
      <c r="J38" s="186">
        <f>ROUND($I$20*Table63[[#This Row],[Skin ID]]+$J$20,0)</f>
        <v>31</v>
      </c>
      <c r="K38" s="186">
        <f>ROUND($K$19*SIN(Table63[[#This Row],[Skin ID]])+$K$20*Table63[[#This Row],[Skin ID]]+$K$20,0)</f>
        <v>84</v>
      </c>
      <c r="L38" s="186">
        <f>ROUND($N$20*Table63[[#This Row],[theorical_powerSet_perceivedValue]]+$O$20,0)</f>
        <v>8</v>
      </c>
      <c r="M38" s="186">
        <f>INDEX(Table70[PotentialOrder],MATCH(Table63[[#This Row],[theorical_powerSet_minID]],Table70[power_ID],0))</f>
        <v>10</v>
      </c>
      <c r="N38" s="185" t="b">
        <v>1</v>
      </c>
      <c r="O38" s="185" t="s">
        <v>277</v>
      </c>
      <c r="P38" s="185" t="str">
        <f>IF(Table63[[#This Row],[uses_generated_set]],Table63[[#This Row],[userSelectedPowerup]],INDEX(Table70[Power],MATCH(Table63[[#This Row],[theorical_powerup]],Table70[PotentialOrder],0)))</f>
        <v>SC +</v>
      </c>
      <c r="Q38" s="185">
        <f>COUNTIF(Table63[current_powerup],Table63[[#This Row],[current_powerup]])</f>
        <v>2</v>
      </c>
      <c r="R38" s="186">
        <f>INDEX(Table70[PotentialOrder],MATCH(Table63[[#This Row],[current_powerup]],Table70[Power],0))</f>
        <v>11</v>
      </c>
      <c r="S38" s="186" t="s">
        <v>395</v>
      </c>
    </row>
    <row r="39" spans="1:19" x14ac:dyDescent="0.25">
      <c r="A39" s="191">
        <v>18</v>
      </c>
      <c r="B39" s="191">
        <f>MATCH(Table63[[#This Row],[Skin ID]]-1,Table59[First Skin],1)</f>
        <v>7</v>
      </c>
      <c r="C39" s="191">
        <f>IF(INDEX(Table59[ID of HC Skin],Table63[[#This Row],[Associated Dragon]])=Table63[[#This Row],[Skin ID]],0,ROUND(IF(Table63[[#This Row],[Associated Dragon]]=B38,C38+INDEX(Table59[SC step per skin],Table63[[#This Row],[Associated Dragon]])/INDEX(Table59[Number of skin],Table63[[#This Row],[Associated Dragon]]),INDEX(Table59[SC total for Skins],Table63[[#This Row],[Associated Dragon]])/INDEX(Table59[Number of skin],Table63[[#This Row],[Associated Dragon]])),-1))</f>
        <v>0</v>
      </c>
      <c r="D39" s="191">
        <f>IF(Table63[[#This Row],[Cost SC]]=0,INDEX(Table59[HC total for Skins],Table63[[#This Row],[Associated Dragon]]),0)</f>
        <v>110</v>
      </c>
      <c r="E39" s="191">
        <f>ROUND(INDEX('Balance - XP points'!$B$11:$B$20,Table63[[#This Row],[Associated Dragon]])/(1+COUNTIF(Table63[Associated Dragon],Table63[[#This Row],[Associated Dragon]])),0)</f>
        <v>3</v>
      </c>
      <c r="F39" s="191">
        <f>ROUND(IF(Table63[[#This Row],[Associated Dragon]]&lt;&gt;B38,0+Table63[[#This Row],[XP between unlocks]],F38+Table63[[#This Row],[XP between unlocks]]),0)</f>
        <v>12</v>
      </c>
      <c r="G39" s="191">
        <f ca="1">INDEX(Table73[[1]:[19]],Table63[[#This Row],[Associated Dragon]],Table63[[#This Row],[Level to unlock]])</f>
        <v>230223</v>
      </c>
      <c r="H39" s="192">
        <f>ROUND(Table63[[#This Row],[Skin ID]]*$C$19+$D$19,2)</f>
        <v>0.18</v>
      </c>
      <c r="I39" s="192">
        <f>ROUND(Table63[[#This Row],[Skin ID]]*$C$19+$D$19,2)</f>
        <v>0.18</v>
      </c>
      <c r="J39" s="192">
        <f>ROUND($I$20*Table63[[#This Row],[Skin ID]]+$J$20,0)</f>
        <v>32</v>
      </c>
      <c r="K39" s="192">
        <f>ROUND($K$19*SIN(Table63[[#This Row],[Skin ID]])+$K$20*Table63[[#This Row],[Skin ID]]+$K$20,0)</f>
        <v>90</v>
      </c>
      <c r="L39" s="192">
        <f>ROUND($N$20*Table63[[#This Row],[theorical_powerSet_perceivedValue]]+$O$20,0)</f>
        <v>8</v>
      </c>
      <c r="M39" s="192">
        <f>INDEX(Table70[PotentialOrder],MATCH(Table63[[#This Row],[theorical_powerSet_minID]],Table70[power_ID],0))</f>
        <v>10</v>
      </c>
      <c r="N39" s="192" t="b">
        <v>1</v>
      </c>
      <c r="O39" s="192" t="s">
        <v>272</v>
      </c>
      <c r="P39" s="192" t="str">
        <f>IF(Table63[[#This Row],[uses_generated_set]],Table63[[#This Row],[userSelectedPowerup]],INDEX(Table70[Power],MATCH(Table63[[#This Row],[theorical_powerup]],Table70[PotentialOrder],0)))</f>
        <v>Life Drain Reduced</v>
      </c>
      <c r="Q39" s="192">
        <f>COUNTIF(Table63[current_powerup],Table63[[#This Row],[current_powerup]])</f>
        <v>2</v>
      </c>
      <c r="R39" s="192">
        <f>INDEX(Table70[PotentialOrder],MATCH(Table63[[#This Row],[current_powerup]],Table70[Power],0))</f>
        <v>14</v>
      </c>
      <c r="S39" s="186" t="s">
        <v>409</v>
      </c>
    </row>
    <row r="40" spans="1:19" x14ac:dyDescent="0.25">
      <c r="A40" s="193">
        <v>19</v>
      </c>
      <c r="B40" s="193">
        <f>MATCH(Table63[[#This Row],[Skin ID]]-1,Table59[First Skin],1)</f>
        <v>8</v>
      </c>
      <c r="C40" s="193">
        <f>IF(INDEX(Table59[ID of HC Skin],Table63[[#This Row],[Associated Dragon]])=Table63[[#This Row],[Skin ID]],0,ROUND(IF(Table63[[#This Row],[Associated Dragon]]=B39,C39+INDEX(Table59[SC step per skin],Table63[[#This Row],[Associated Dragon]])/INDEX(Table59[Number of skin],Table63[[#This Row],[Associated Dragon]]),INDEX(Table59[SC total for Skins],Table63[[#This Row],[Associated Dragon]])/INDEX(Table59[Number of skin],Table63[[#This Row],[Associated Dragon]])),-1))</f>
        <v>105000</v>
      </c>
      <c r="D40" s="193">
        <f>IF(Table63[[#This Row],[Cost SC]]=0,INDEX(Table59[HC total for Skins],Table63[[#This Row],[Associated Dragon]]),0)</f>
        <v>0</v>
      </c>
      <c r="E40" s="193">
        <f>ROUND(INDEX('Balance - XP points'!$B$11:$B$20,Table63[[#This Row],[Associated Dragon]])/(1+COUNTIF(Table63[Associated Dragon],Table63[[#This Row],[Associated Dragon]])),0)</f>
        <v>4</v>
      </c>
      <c r="F40" s="193">
        <f>ROUND(IF(Table63[[#This Row],[Associated Dragon]]&lt;&gt;B39,0+Table63[[#This Row],[XP between unlocks]],F39+Table63[[#This Row],[XP between unlocks]]),0)</f>
        <v>4</v>
      </c>
      <c r="G40" s="193">
        <f ca="1">INDEX(Table73[[1]:[19]],Table63[[#This Row],[Associated Dragon]],Table63[[#This Row],[Level to unlock]])</f>
        <v>25528</v>
      </c>
      <c r="H40" s="194">
        <f>ROUND(Table63[[#This Row],[Skin ID]]*$C$19+$D$19,2)</f>
        <v>0.19</v>
      </c>
      <c r="I40" s="194">
        <f>ROUND(Table63[[#This Row],[Skin ID]]*$C$19+$D$19,2)</f>
        <v>0.19</v>
      </c>
      <c r="J40" s="194">
        <f>ROUND($I$20*Table63[[#This Row],[Skin ID]]+$J$20,0)</f>
        <v>32</v>
      </c>
      <c r="K40" s="194">
        <f>ROUND($K$19*SIN(Table63[[#This Row],[Skin ID]])+$K$20*Table63[[#This Row],[Skin ID]]+$K$20,0)</f>
        <v>101</v>
      </c>
      <c r="L40" s="194">
        <f>ROUND($N$20*Table63[[#This Row],[theorical_powerSet_perceivedValue]]+$O$20,0)</f>
        <v>9</v>
      </c>
      <c r="M40" s="194">
        <f>INDEX(Table70[PotentialOrder],MATCH(Table63[[#This Row],[theorical_powerSet_minID]],Table70[power_ID],0))</f>
        <v>4</v>
      </c>
      <c r="N40" s="195" t="b">
        <v>0</v>
      </c>
      <c r="O40" s="195"/>
      <c r="P40" s="195" t="str">
        <f>IF(Table63[[#This Row],[uses_generated_set]],Table63[[#This Row],[userSelectedPowerup]],INDEX(Table70[Power],MATCH(Table63[[#This Row],[theorical_powerup]],Table70[PotentialOrder],0)))</f>
        <v>Food +</v>
      </c>
      <c r="Q40" s="195">
        <f>COUNTIF(Table63[current_powerup],Table63[[#This Row],[current_powerup]])</f>
        <v>2</v>
      </c>
      <c r="R40" s="194">
        <f>INDEX(Table70[PotentialOrder],MATCH(Table63[[#This Row],[current_powerup]],Table70[Power],0))</f>
        <v>4</v>
      </c>
      <c r="S40" s="186" t="s">
        <v>419</v>
      </c>
    </row>
    <row r="41" spans="1:19" x14ac:dyDescent="0.25">
      <c r="A41" s="184">
        <v>20</v>
      </c>
      <c r="B41" s="184">
        <f>MATCH(Table63[[#This Row],[Skin ID]]-1,Table59[First Skin],1)</f>
        <v>8</v>
      </c>
      <c r="C41" s="184">
        <f>IF(INDEX(Table59[ID of HC Skin],Table63[[#This Row],[Associated Dragon]])=Table63[[#This Row],[Skin ID]],0,ROUND(IF(Table63[[#This Row],[Associated Dragon]]=B40,C40+INDEX(Table59[SC step per skin],Table63[[#This Row],[Associated Dragon]])/INDEX(Table59[Number of skin],Table63[[#This Row],[Associated Dragon]]),INDEX(Table59[SC total for Skins],Table63[[#This Row],[Associated Dragon]])/INDEX(Table59[Number of skin],Table63[[#This Row],[Associated Dragon]])),-1))</f>
        <v>131250</v>
      </c>
      <c r="D41" s="184">
        <f>IF(Table63[[#This Row],[Cost SC]]=0,INDEX(Table59[HC total for Skins],Table63[[#This Row],[Associated Dragon]]),0)</f>
        <v>0</v>
      </c>
      <c r="E41" s="184">
        <f>ROUND(INDEX('Balance - XP points'!$B$11:$B$20,Table63[[#This Row],[Associated Dragon]])/(1+COUNTIF(Table63[Associated Dragon],Table63[[#This Row],[Associated Dragon]])),0)</f>
        <v>4</v>
      </c>
      <c r="F41" s="184">
        <f>ROUND(IF(Table63[[#This Row],[Associated Dragon]]&lt;&gt;B40,0+Table63[[#This Row],[XP between unlocks]],F40+Table63[[#This Row],[XP between unlocks]]),0)</f>
        <v>8</v>
      </c>
      <c r="G41" s="184">
        <f ca="1">INDEX(Table73[[1]:[19]],Table63[[#This Row],[Associated Dragon]],Table63[[#This Row],[Level to unlock]])</f>
        <v>91900</v>
      </c>
      <c r="H41" s="186">
        <f>ROUND(Table63[[#This Row],[Skin ID]]*$C$19+$D$19,2)</f>
        <v>0.2</v>
      </c>
      <c r="I41" s="186">
        <f>ROUND(Table63[[#This Row],[Skin ID]]*$C$19+$D$19,2)</f>
        <v>0.2</v>
      </c>
      <c r="J41" s="186">
        <f>ROUND($I$20*Table63[[#This Row],[Skin ID]]+$J$20,0)</f>
        <v>33</v>
      </c>
      <c r="K41" s="186">
        <f>ROUND($K$19*SIN(Table63[[#This Row],[Skin ID]])+$K$20*Table63[[#This Row],[Skin ID]]+$K$20,0)</f>
        <v>110</v>
      </c>
      <c r="L41" s="186">
        <f>ROUND($N$20*Table63[[#This Row],[theorical_powerSet_perceivedValue]]+$O$20,0)</f>
        <v>10</v>
      </c>
      <c r="M41" s="186">
        <f>INDEX(Table70[PotentialOrder],MATCH(Table63[[#This Row],[theorical_powerSet_minID]],Table70[power_ID],0))</f>
        <v>6</v>
      </c>
      <c r="N41" s="185" t="b">
        <v>0</v>
      </c>
      <c r="O41" s="185"/>
      <c r="P41" s="185" t="str">
        <f>IF(Table63[[#This Row],[uses_generated_set]],Table63[[#This Row],[userSelectedPowerup]],INDEX(Table70[Power],MATCH(Table63[[#This Row],[theorical_powerup]],Table70[PotentialOrder],0)))</f>
        <v xml:space="preserve">Lower damage from mines </v>
      </c>
      <c r="Q41" s="185">
        <f>COUNTIF(Table63[current_powerup],Table63[[#This Row],[current_powerup]])</f>
        <v>3</v>
      </c>
      <c r="R41" s="186">
        <f>INDEX(Table70[PotentialOrder],MATCH(Table63[[#This Row],[current_powerup]],Table70[Power],0))</f>
        <v>6</v>
      </c>
      <c r="S41" s="186" t="s">
        <v>394</v>
      </c>
    </row>
    <row r="42" spans="1:19" x14ac:dyDescent="0.25">
      <c r="A42" s="184">
        <v>21</v>
      </c>
      <c r="B42" s="184">
        <f>MATCH(Table63[[#This Row],[Skin ID]]-1,Table59[First Skin],1)</f>
        <v>8</v>
      </c>
      <c r="C42" s="184">
        <f>IF(INDEX(Table59[ID of HC Skin],Table63[[#This Row],[Associated Dragon]])=Table63[[#This Row],[Skin ID]],0,ROUND(IF(Table63[[#This Row],[Associated Dragon]]=B41,C41+INDEX(Table59[SC step per skin],Table63[[#This Row],[Associated Dragon]])/INDEX(Table59[Number of skin],Table63[[#This Row],[Associated Dragon]]),INDEX(Table59[SC total for Skins],Table63[[#This Row],[Associated Dragon]])/INDEX(Table59[Number of skin],Table63[[#This Row],[Associated Dragon]])),-1))</f>
        <v>157500</v>
      </c>
      <c r="D42" s="184">
        <f>IF(Table63[[#This Row],[Cost SC]]=0,INDEX(Table59[HC total for Skins],Table63[[#This Row],[Associated Dragon]]),0)</f>
        <v>0</v>
      </c>
      <c r="E42" s="184">
        <f>ROUND(INDEX('Balance - XP points'!$B$11:$B$20,Table63[[#This Row],[Associated Dragon]])/(1+COUNTIF(Table63[Associated Dragon],Table63[[#This Row],[Associated Dragon]])),0)</f>
        <v>4</v>
      </c>
      <c r="F42" s="184">
        <f>ROUND(IF(Table63[[#This Row],[Associated Dragon]]&lt;&gt;B41,0+Table63[[#This Row],[XP between unlocks]],F41+Table63[[#This Row],[XP between unlocks]]),0)</f>
        <v>12</v>
      </c>
      <c r="G42" s="184">
        <f ca="1">INDEX(Table73[[1]:[19]],Table63[[#This Row],[Associated Dragon]],Table63[[#This Row],[Level to unlock]])</f>
        <v>199118</v>
      </c>
      <c r="H42" s="186">
        <f>ROUND(Table63[[#This Row],[Skin ID]]*$C$19+$D$19,2)</f>
        <v>0.21</v>
      </c>
      <c r="I42" s="186">
        <f>ROUND(Table63[[#This Row],[Skin ID]]*$C$19+$D$19,2)</f>
        <v>0.21</v>
      </c>
      <c r="J42" s="186">
        <f>ROUND($I$20*Table63[[#This Row],[Skin ID]]+$J$20,0)</f>
        <v>34</v>
      </c>
      <c r="K42" s="186">
        <f>ROUND($K$19*SIN(Table63[[#This Row],[Skin ID]])+$K$20*Table63[[#This Row],[Skin ID]]+$K$20,0)</f>
        <v>115</v>
      </c>
      <c r="L42" s="186">
        <f>ROUND($N$20*Table63[[#This Row],[theorical_powerSet_perceivedValue]]+$O$20,0)</f>
        <v>11</v>
      </c>
      <c r="M42" s="186">
        <f>INDEX(Table70[PotentialOrder],MATCH(Table63[[#This Row],[theorical_powerSet_minID]],Table70[power_ID],0))</f>
        <v>1</v>
      </c>
      <c r="N42" s="185" t="b">
        <v>1</v>
      </c>
      <c r="O42" s="185" t="s">
        <v>278</v>
      </c>
      <c r="P42" s="185" t="str">
        <f>IF(Table63[[#This Row],[uses_generated_set]],Table63[[#This Row],[userSelectedPowerup]],INDEX(Table70[Power],MATCH(Table63[[#This Row],[theorical_powerup]],Table70[PotentialOrder],0)))</f>
        <v>Score +</v>
      </c>
      <c r="Q42" s="185">
        <f>COUNTIF(Table63[current_powerup],Table63[[#This Row],[current_powerup]])</f>
        <v>3</v>
      </c>
      <c r="R42" s="186">
        <f>INDEX(Table70[PotentialOrder],MATCH(Table63[[#This Row],[current_powerup]],Table70[Power],0))</f>
        <v>10</v>
      </c>
      <c r="S42" s="186" t="s">
        <v>410</v>
      </c>
    </row>
    <row r="43" spans="1:19" x14ac:dyDescent="0.25">
      <c r="A43" s="191">
        <v>22</v>
      </c>
      <c r="B43" s="191">
        <f>MATCH(Table63[[#This Row],[Skin ID]]-1,Table59[First Skin],1)</f>
        <v>8</v>
      </c>
      <c r="C43" s="191">
        <f>IF(INDEX(Table59[ID of HC Skin],Table63[[#This Row],[Associated Dragon]])=Table63[[#This Row],[Skin ID]],0,ROUND(IF(Table63[[#This Row],[Associated Dragon]]=B42,C42+INDEX(Table59[SC step per skin],Table63[[#This Row],[Associated Dragon]])/INDEX(Table59[Number of skin],Table63[[#This Row],[Associated Dragon]]),INDEX(Table59[SC total for Skins],Table63[[#This Row],[Associated Dragon]])/INDEX(Table59[Number of skin],Table63[[#This Row],[Associated Dragon]])),-1))</f>
        <v>0</v>
      </c>
      <c r="D43" s="191">
        <f>IF(Table63[[#This Row],[Cost SC]]=0,INDEX(Table59[HC total for Skins],Table63[[#This Row],[Associated Dragon]]),0)</f>
        <v>160</v>
      </c>
      <c r="E43" s="191">
        <f>ROUND(INDEX('Balance - XP points'!$B$11:$B$20,Table63[[#This Row],[Associated Dragon]])/(1+COUNTIF(Table63[Associated Dragon],Table63[[#This Row],[Associated Dragon]])),0)</f>
        <v>4</v>
      </c>
      <c r="F43" s="191">
        <f>ROUND(IF(Table63[[#This Row],[Associated Dragon]]&lt;&gt;B42,0+Table63[[#This Row],[XP between unlocks]],F42+Table63[[#This Row],[XP between unlocks]]),0)</f>
        <v>16</v>
      </c>
      <c r="G43" s="191">
        <f ca="1">INDEX(Table73[[1]:[19]],Table63[[#This Row],[Associated Dragon]],Table63[[#This Row],[Level to unlock]])</f>
        <v>347179</v>
      </c>
      <c r="H43" s="192">
        <f>ROUND(Table63[[#This Row],[Skin ID]]*$C$19+$D$19,2)</f>
        <v>0.22</v>
      </c>
      <c r="I43" s="192">
        <f>ROUND(Table63[[#This Row],[Skin ID]]*$C$19+$D$19,2)</f>
        <v>0.22</v>
      </c>
      <c r="J43" s="192">
        <f>ROUND($I$20*Table63[[#This Row],[Skin ID]]+$J$20,0)</f>
        <v>34</v>
      </c>
      <c r="K43" s="192">
        <f>ROUND($K$19*SIN(Table63[[#This Row],[Skin ID]])+$K$20*Table63[[#This Row],[Skin ID]]+$K$20,0)</f>
        <v>115</v>
      </c>
      <c r="L43" s="192">
        <f>ROUND($N$20*Table63[[#This Row],[theorical_powerSet_perceivedValue]]+$O$20,0)</f>
        <v>11</v>
      </c>
      <c r="M43" s="192">
        <f>INDEX(Table70[PotentialOrder],MATCH(Table63[[#This Row],[theorical_powerSet_minID]],Table70[power_ID],0))</f>
        <v>1</v>
      </c>
      <c r="N43" s="192" t="b">
        <v>1</v>
      </c>
      <c r="O43" s="192" t="s">
        <v>377</v>
      </c>
      <c r="P43" s="192" t="str">
        <f>IF(Table63[[#This Row],[uses_generated_set]],Table63[[#This Row],[userSelectedPowerup]],INDEX(Table70[Power],MATCH(Table63[[#This Row],[theorical_powerup]],Table70[PotentialOrder],0)))</f>
        <v>XP +</v>
      </c>
      <c r="Q43" s="192">
        <f>COUNTIF(Table63[current_powerup],Table63[[#This Row],[current_powerup]])</f>
        <v>3</v>
      </c>
      <c r="R43" s="192">
        <f>INDEX(Table70[PotentialOrder],MATCH(Table63[[#This Row],[current_powerup]],Table70[Power],0))</f>
        <v>12</v>
      </c>
      <c r="S43" s="186" t="s">
        <v>413</v>
      </c>
    </row>
    <row r="44" spans="1:19" x14ac:dyDescent="0.25">
      <c r="A44" s="193">
        <v>23</v>
      </c>
      <c r="B44" s="193">
        <f>MATCH(Table63[[#This Row],[Skin ID]]-1,Table59[First Skin],1)</f>
        <v>9</v>
      </c>
      <c r="C44" s="193">
        <f>IF(INDEX(Table59[ID of HC Skin],Table63[[#This Row],[Associated Dragon]])=Table63[[#This Row],[Skin ID]],0,ROUND(IF(Table63[[#This Row],[Associated Dragon]]=B43,C43+INDEX(Table59[SC step per skin],Table63[[#This Row],[Associated Dragon]])/INDEX(Table59[Number of skin],Table63[[#This Row],[Associated Dragon]]),INDEX(Table59[SC total for Skins],Table63[[#This Row],[Associated Dragon]])/INDEX(Table59[Number of skin],Table63[[#This Row],[Associated Dragon]])),-1))</f>
        <v>165000</v>
      </c>
      <c r="D44" s="193">
        <f>IF(Table63[[#This Row],[Cost SC]]=0,INDEX(Table59[HC total for Skins],Table63[[#This Row],[Associated Dragon]]),0)</f>
        <v>0</v>
      </c>
      <c r="E44" s="193">
        <f>ROUND(INDEX('Balance - XP points'!$B$11:$B$20,Table63[[#This Row],[Associated Dragon]])/(1+COUNTIF(Table63[Associated Dragon],Table63[[#This Row],[Associated Dragon]])),0)</f>
        <v>4</v>
      </c>
      <c r="F44" s="193">
        <f>ROUND(IF(Table63[[#This Row],[Associated Dragon]]&lt;&gt;B43,0+Table63[[#This Row],[XP between unlocks]],F43+Table63[[#This Row],[XP between unlocks]]),0)</f>
        <v>4</v>
      </c>
      <c r="G44" s="193">
        <f ca="1">INDEX(Table73[[1]:[19]],Table63[[#This Row],[Associated Dragon]],Table63[[#This Row],[Level to unlock]])</f>
        <v>29403</v>
      </c>
      <c r="H44" s="194">
        <f>ROUND(Table63[[#This Row],[Skin ID]]*$C$19+$D$19,2)</f>
        <v>0.23</v>
      </c>
      <c r="I44" s="194">
        <f>ROUND(Table63[[#This Row],[Skin ID]]*$C$19+$D$19,2)</f>
        <v>0.23</v>
      </c>
      <c r="J44" s="194">
        <f>ROUND($I$20*Table63[[#This Row],[Skin ID]]+$J$20,0)</f>
        <v>35</v>
      </c>
      <c r="K44" s="194">
        <f>ROUND($K$19*SIN(Table63[[#This Row],[Skin ID]])+$K$20*Table63[[#This Row],[Skin ID]]+$K$20,0)</f>
        <v>115</v>
      </c>
      <c r="L44" s="194">
        <f>ROUND($N$20*Table63[[#This Row],[theorical_powerSet_perceivedValue]]+$O$20,0)</f>
        <v>11</v>
      </c>
      <c r="M44" s="194">
        <f>INDEX(Table70[PotentialOrder],MATCH(Table63[[#This Row],[theorical_powerSet_minID]],Table70[power_ID],0))</f>
        <v>1</v>
      </c>
      <c r="N44" s="195" t="b">
        <v>1</v>
      </c>
      <c r="O44" s="195" t="s">
        <v>275</v>
      </c>
      <c r="P44" s="195" t="str">
        <f>IF(Table63[[#This Row],[uses_generated_set]],Table63[[#This Row],[userSelectedPowerup]],INDEX(Table70[Power],MATCH(Table63[[#This Row],[theorical_powerup]],Table70[PotentialOrder],0)))</f>
        <v>Fire (size) +</v>
      </c>
      <c r="Q44" s="195">
        <f>COUNTIF(Table63[current_powerup],Table63[[#This Row],[current_powerup]])</f>
        <v>3</v>
      </c>
      <c r="R44" s="194">
        <f>INDEX(Table70[PotentialOrder],MATCH(Table63[[#This Row],[current_powerup]],Table70[Power],0))</f>
        <v>5</v>
      </c>
      <c r="S44" s="186" t="s">
        <v>420</v>
      </c>
    </row>
    <row r="45" spans="1:19" x14ac:dyDescent="0.25">
      <c r="A45" s="184">
        <v>24</v>
      </c>
      <c r="B45" s="184">
        <f>MATCH(Table63[[#This Row],[Skin ID]]-1,Table59[First Skin],1)</f>
        <v>9</v>
      </c>
      <c r="C45" s="184">
        <f>IF(INDEX(Table59[ID of HC Skin],Table63[[#This Row],[Associated Dragon]])=Table63[[#This Row],[Skin ID]],0,ROUND(IF(Table63[[#This Row],[Associated Dragon]]=B44,C44+INDEX(Table59[SC step per skin],Table63[[#This Row],[Associated Dragon]])/INDEX(Table59[Number of skin],Table63[[#This Row],[Associated Dragon]]),INDEX(Table59[SC total for Skins],Table63[[#This Row],[Associated Dragon]])/INDEX(Table59[Number of skin],Table63[[#This Row],[Associated Dragon]])),-1))</f>
        <v>206250</v>
      </c>
      <c r="D45" s="184">
        <f>IF(Table63[[#This Row],[Cost SC]]=0,INDEX(Table59[HC total for Skins],Table63[[#This Row],[Associated Dragon]]),0)</f>
        <v>0</v>
      </c>
      <c r="E45" s="184">
        <f>ROUND(INDEX('Balance - XP points'!$B$11:$B$20,Table63[[#This Row],[Associated Dragon]])/(1+COUNTIF(Table63[Associated Dragon],Table63[[#This Row],[Associated Dragon]])),0)</f>
        <v>4</v>
      </c>
      <c r="F45" s="184">
        <f>ROUND(IF(Table63[[#This Row],[Associated Dragon]]&lt;&gt;B44,0+Table63[[#This Row],[XP between unlocks]],F44+Table63[[#This Row],[XP between unlocks]]),0)</f>
        <v>8</v>
      </c>
      <c r="G45" s="184">
        <f ca="1">INDEX(Table73[[1]:[19]],Table63[[#This Row],[Associated Dragon]],Table63[[#This Row],[Level to unlock]])</f>
        <v>105851</v>
      </c>
      <c r="H45" s="186">
        <f>ROUND(Table63[[#This Row],[Skin ID]]*$C$19+$D$19,2)</f>
        <v>0.24</v>
      </c>
      <c r="I45" s="186">
        <f>ROUND(Table63[[#This Row],[Skin ID]]*$C$19+$D$19,2)</f>
        <v>0.24</v>
      </c>
      <c r="J45" s="186">
        <f>ROUND($I$20*Table63[[#This Row],[Skin ID]]+$J$20,0)</f>
        <v>36</v>
      </c>
      <c r="K45" s="186">
        <f>ROUND($K$19*SIN(Table63[[#This Row],[Skin ID]])+$K$20*Table63[[#This Row],[Skin ID]]+$K$20,0)</f>
        <v>120</v>
      </c>
      <c r="L45" s="186">
        <f>ROUND($N$20*Table63[[#This Row],[theorical_powerSet_perceivedValue]]+$O$20,0)</f>
        <v>11</v>
      </c>
      <c r="M45" s="186">
        <f>INDEX(Table70[PotentialOrder],MATCH(Table63[[#This Row],[theorical_powerSet_minID]],Table70[power_ID],0))</f>
        <v>1</v>
      </c>
      <c r="N45" s="185" t="b">
        <v>1</v>
      </c>
      <c r="O45" s="185" t="s">
        <v>294</v>
      </c>
      <c r="P45" s="185" t="str">
        <f>IF(Table63[[#This Row],[uses_generated_set]],Table63[[#This Row],[userSelectedPowerup]],INDEX(Table70[Power],MATCH(Table63[[#This Row],[theorical_powerup]],Table70[PotentialOrder],0)))</f>
        <v xml:space="preserve">Lower damage from mines </v>
      </c>
      <c r="Q45" s="185">
        <f>COUNTIF(Table63[current_powerup],Table63[[#This Row],[current_powerup]])</f>
        <v>3</v>
      </c>
      <c r="R45" s="186">
        <f>INDEX(Table70[PotentialOrder],MATCH(Table63[[#This Row],[current_powerup]],Table70[Power],0))</f>
        <v>6</v>
      </c>
      <c r="S45" s="186" t="s">
        <v>407</v>
      </c>
    </row>
    <row r="46" spans="1:19" x14ac:dyDescent="0.25">
      <c r="A46" s="184">
        <v>25</v>
      </c>
      <c r="B46" s="184">
        <f>MATCH(Table63[[#This Row],[Skin ID]]-1,Table59[First Skin],1)</f>
        <v>9</v>
      </c>
      <c r="C46" s="184">
        <f>IF(INDEX(Table59[ID of HC Skin],Table63[[#This Row],[Associated Dragon]])=Table63[[#This Row],[Skin ID]],0,ROUND(IF(Table63[[#This Row],[Associated Dragon]]=B45,C45+INDEX(Table59[SC step per skin],Table63[[#This Row],[Associated Dragon]])/INDEX(Table59[Number of skin],Table63[[#This Row],[Associated Dragon]]),INDEX(Table59[SC total for Skins],Table63[[#This Row],[Associated Dragon]])/INDEX(Table59[Number of skin],Table63[[#This Row],[Associated Dragon]])),-1))</f>
        <v>247500</v>
      </c>
      <c r="D46" s="184">
        <f>IF(Table63[[#This Row],[Cost SC]]=0,INDEX(Table59[HC total for Skins],Table63[[#This Row],[Associated Dragon]]),0)</f>
        <v>0</v>
      </c>
      <c r="E46" s="184">
        <f>ROUND(INDEX('Balance - XP points'!$B$11:$B$20,Table63[[#This Row],[Associated Dragon]])/(1+COUNTIF(Table63[Associated Dragon],Table63[[#This Row],[Associated Dragon]])),0)</f>
        <v>4</v>
      </c>
      <c r="F46" s="184">
        <f>ROUND(IF(Table63[[#This Row],[Associated Dragon]]&lt;&gt;B45,0+Table63[[#This Row],[XP between unlocks]],F45+Table63[[#This Row],[XP between unlocks]]),0)</f>
        <v>12</v>
      </c>
      <c r="G46" s="184">
        <f ca="1">INDEX(Table73[[1]:[19]],Table63[[#This Row],[Associated Dragon]],Table63[[#This Row],[Level to unlock]])</f>
        <v>229345</v>
      </c>
      <c r="H46" s="186">
        <f>ROUND(Table63[[#This Row],[Skin ID]]*$C$19+$D$19,2)</f>
        <v>0.25</v>
      </c>
      <c r="I46" s="186">
        <f>ROUND(Table63[[#This Row],[Skin ID]]*$C$19+$D$19,2)</f>
        <v>0.25</v>
      </c>
      <c r="J46" s="186">
        <f>ROUND($I$20*Table63[[#This Row],[Skin ID]]+$J$20,0)</f>
        <v>37</v>
      </c>
      <c r="K46" s="186">
        <f>ROUND($K$19*SIN(Table63[[#This Row],[Skin ID]])+$K$20*Table63[[#This Row],[Skin ID]]+$K$20,0)</f>
        <v>129</v>
      </c>
      <c r="L46" s="186">
        <f>ROUND($N$20*Table63[[#This Row],[theorical_powerSet_perceivedValue]]+$O$20,0)</f>
        <v>12</v>
      </c>
      <c r="M46" s="186">
        <f>INDEX(Table70[PotentialOrder],MATCH(Table63[[#This Row],[theorical_powerSet_minID]],Table70[power_ID],0))</f>
        <v>3</v>
      </c>
      <c r="N46" s="185" t="b">
        <v>1</v>
      </c>
      <c r="O46" s="185" t="s">
        <v>273</v>
      </c>
      <c r="P46" s="185" t="str">
        <f>IF(Table63[[#This Row],[uses_generated_set]],Table63[[#This Row],[userSelectedPowerup]],INDEX(Table70[Power],MATCH(Table63[[#This Row],[theorical_powerup]],Table70[PotentialOrder],0)))</f>
        <v>Speed +</v>
      </c>
      <c r="Q46" s="185">
        <f>COUNTIF(Table63[current_powerup],Table63[[#This Row],[current_powerup]])</f>
        <v>2</v>
      </c>
      <c r="R46" s="186">
        <f>INDEX(Table70[PotentialOrder],MATCH(Table63[[#This Row],[current_powerup]],Table70[Power],0))</f>
        <v>7</v>
      </c>
      <c r="S46" s="186" t="s">
        <v>421</v>
      </c>
    </row>
    <row r="47" spans="1:19" x14ac:dyDescent="0.25">
      <c r="A47" s="191">
        <v>26</v>
      </c>
      <c r="B47" s="191">
        <f>MATCH(Table63[[#This Row],[Skin ID]]-1,Table59[First Skin],1)</f>
        <v>9</v>
      </c>
      <c r="C47" s="191">
        <f>IF(INDEX(Table59[ID of HC Skin],Table63[[#This Row],[Associated Dragon]])=Table63[[#This Row],[Skin ID]],0,ROUND(IF(Table63[[#This Row],[Associated Dragon]]=B46,C46+INDEX(Table59[SC step per skin],Table63[[#This Row],[Associated Dragon]])/INDEX(Table59[Number of skin],Table63[[#This Row],[Associated Dragon]]),INDEX(Table59[SC total for Skins],Table63[[#This Row],[Associated Dragon]])/INDEX(Table59[Number of skin],Table63[[#This Row],[Associated Dragon]])),-1))</f>
        <v>0</v>
      </c>
      <c r="D47" s="191">
        <f>IF(Table63[[#This Row],[Cost SC]]=0,INDEX(Table59[HC total for Skins],Table63[[#This Row],[Associated Dragon]]),0)</f>
        <v>160</v>
      </c>
      <c r="E47" s="191">
        <f>ROUND(INDEX('Balance - XP points'!$B$11:$B$20,Table63[[#This Row],[Associated Dragon]])/(1+COUNTIF(Table63[Associated Dragon],Table63[[#This Row],[Associated Dragon]])),0)</f>
        <v>4</v>
      </c>
      <c r="F47" s="191">
        <f>ROUND(IF(Table63[[#This Row],[Associated Dragon]]&lt;&gt;B46,0+Table63[[#This Row],[XP between unlocks]],F46+Table63[[#This Row],[XP between unlocks]]),0)</f>
        <v>16</v>
      </c>
      <c r="G47" s="191">
        <f ca="1">INDEX(Table73[[1]:[19]],Table63[[#This Row],[Associated Dragon]],Table63[[#This Row],[Level to unlock]])</f>
        <v>399883</v>
      </c>
      <c r="H47" s="192">
        <f>ROUND(Table63[[#This Row],[Skin ID]]*$C$19+$D$19,2)</f>
        <v>0.26</v>
      </c>
      <c r="I47" s="192">
        <f>ROUND(Table63[[#This Row],[Skin ID]]*$C$19+$D$19,2)</f>
        <v>0.26</v>
      </c>
      <c r="J47" s="192">
        <f>ROUND($I$20*Table63[[#This Row],[Skin ID]]+$J$20,0)</f>
        <v>37</v>
      </c>
      <c r="K47" s="192">
        <f>ROUND($K$19*SIN(Table63[[#This Row],[Skin ID]])+$K$20*Table63[[#This Row],[Skin ID]]+$K$20,0)</f>
        <v>140</v>
      </c>
      <c r="L47" s="192">
        <f>ROUND($N$20*Table63[[#This Row],[theorical_powerSet_perceivedValue]]+$O$20,0)</f>
        <v>13</v>
      </c>
      <c r="M47" s="192">
        <f>INDEX(Table70[PotentialOrder],MATCH(Table63[[#This Row],[theorical_powerSet_minID]],Table70[power_ID],0))</f>
        <v>2</v>
      </c>
      <c r="N47" s="192" t="b">
        <v>1</v>
      </c>
      <c r="O47" s="192" t="s">
        <v>278</v>
      </c>
      <c r="P47" s="192" t="str">
        <f>IF(Table63[[#This Row],[uses_generated_set]],Table63[[#This Row],[userSelectedPowerup]],INDEX(Table70[Power],MATCH(Table63[[#This Row],[theorical_powerup]],Table70[PotentialOrder],0)))</f>
        <v>Score +</v>
      </c>
      <c r="Q47" s="192">
        <f>COUNTIF(Table63[current_powerup],Table63[[#This Row],[current_powerup]])</f>
        <v>3</v>
      </c>
      <c r="R47" s="192">
        <f>INDEX(Table70[PotentialOrder],MATCH(Table63[[#This Row],[current_powerup]],Table70[Power],0))</f>
        <v>10</v>
      </c>
      <c r="S47" s="186" t="s">
        <v>411</v>
      </c>
    </row>
    <row r="48" spans="1:19" x14ac:dyDescent="0.25">
      <c r="A48" s="193">
        <v>27</v>
      </c>
      <c r="B48" s="193">
        <f>MATCH(Table63[[#This Row],[Skin ID]]-1,Table59[First Skin],1)</f>
        <v>10</v>
      </c>
      <c r="C48" s="193">
        <f>IF(INDEX(Table59[ID of HC Skin],Table63[[#This Row],[Associated Dragon]])=Table63[[#This Row],[Skin ID]],0,ROUND(IF(Table63[[#This Row],[Associated Dragon]]=B47,C47+INDEX(Table59[SC step per skin],Table63[[#This Row],[Associated Dragon]])/INDEX(Table59[Number of skin],Table63[[#This Row],[Associated Dragon]]),INDEX(Table59[SC total for Skins],Table63[[#This Row],[Associated Dragon]])/INDEX(Table59[Number of skin],Table63[[#This Row],[Associated Dragon]])),-1))</f>
        <v>247500</v>
      </c>
      <c r="D48" s="193">
        <f>IF(Table63[[#This Row],[Cost SC]]=0,INDEX(Table59[HC total for Skins],Table63[[#This Row],[Associated Dragon]]),0)</f>
        <v>0</v>
      </c>
      <c r="E48" s="193">
        <f>ROUND(INDEX('Balance - XP points'!$B$11:$B$20,Table63[[#This Row],[Associated Dragon]])/(1+COUNTIF(Table63[Associated Dragon],Table63[[#This Row],[Associated Dragon]])),0)</f>
        <v>4</v>
      </c>
      <c r="F48" s="193">
        <f>ROUND(IF(Table63[[#This Row],[Associated Dragon]]&lt;&gt;B47,0+Table63[[#This Row],[XP between unlocks]],F47+Table63[[#This Row],[XP between unlocks]]),0)</f>
        <v>4</v>
      </c>
      <c r="G48" s="193">
        <f ca="1">INDEX(Table73[[1]:[19]],Table63[[#This Row],[Associated Dragon]],Table63[[#This Row],[Level to unlock]])</f>
        <v>33366</v>
      </c>
      <c r="H48" s="194">
        <f>ROUND(Table63[[#This Row],[Skin ID]]*$C$19+$D$19,2)</f>
        <v>0.27</v>
      </c>
      <c r="I48" s="194">
        <f>ROUND(Table63[[#This Row],[Skin ID]]*$C$19+$D$19,2)</f>
        <v>0.27</v>
      </c>
      <c r="J48" s="194">
        <f>ROUND($I$20*Table63[[#This Row],[Skin ID]]+$J$20,0)</f>
        <v>38</v>
      </c>
      <c r="K48" s="194">
        <f>ROUND($K$19*SIN(Table63[[#This Row],[Skin ID]])+$K$20*Table63[[#This Row],[Skin ID]]+$K$20,0)</f>
        <v>146</v>
      </c>
      <c r="L48" s="194">
        <f>ROUND($N$20*Table63[[#This Row],[theorical_powerSet_perceivedValue]]+$O$20,0)</f>
        <v>14</v>
      </c>
      <c r="M48" s="194">
        <f>INDEX(Table70[PotentialOrder],MATCH(Table63[[#This Row],[theorical_powerSet_minID]],Table70[power_ID],0))</f>
        <v>12</v>
      </c>
      <c r="N48" s="195" t="b">
        <v>1</v>
      </c>
      <c r="O48" s="195" t="s">
        <v>273</v>
      </c>
      <c r="P48" s="195" t="str">
        <f>IF(Table63[[#This Row],[uses_generated_set]],Table63[[#This Row],[userSelectedPowerup]],INDEX(Table70[Power],MATCH(Table63[[#This Row],[theorical_powerup]],Table70[PotentialOrder],0)))</f>
        <v>Speed +</v>
      </c>
      <c r="Q48" s="195">
        <f>COUNTIF(Table63[current_powerup],Table63[[#This Row],[current_powerup]])</f>
        <v>2</v>
      </c>
      <c r="R48" s="194">
        <f>INDEX(Table70[PotentialOrder],MATCH(Table63[[#This Row],[current_powerup]],Table70[Power],0))</f>
        <v>7</v>
      </c>
      <c r="S48" s="186" t="s">
        <v>406</v>
      </c>
    </row>
    <row r="49" spans="1:19" x14ac:dyDescent="0.25">
      <c r="A49" s="184">
        <v>28</v>
      </c>
      <c r="B49" s="184">
        <f>MATCH(Table63[[#This Row],[Skin ID]]-1,Table59[First Skin],1)</f>
        <v>10</v>
      </c>
      <c r="C49" s="184">
        <f>IF(INDEX(Table59[ID of HC Skin],Table63[[#This Row],[Associated Dragon]])=Table63[[#This Row],[Skin ID]],0,ROUND(IF(Table63[[#This Row],[Associated Dragon]]=B48,C48+INDEX(Table59[SC step per skin],Table63[[#This Row],[Associated Dragon]])/INDEX(Table59[Number of skin],Table63[[#This Row],[Associated Dragon]]),INDEX(Table59[SC total for Skins],Table63[[#This Row],[Associated Dragon]])/INDEX(Table59[Number of skin],Table63[[#This Row],[Associated Dragon]])),-1))</f>
        <v>309380</v>
      </c>
      <c r="D49" s="184">
        <f>IF(Table63[[#This Row],[Cost SC]]=0,INDEX(Table59[HC total for Skins],Table63[[#This Row],[Associated Dragon]]),0)</f>
        <v>0</v>
      </c>
      <c r="E49" s="184">
        <f>ROUND(INDEX('Balance - XP points'!$B$11:$B$20,Table63[[#This Row],[Associated Dragon]])/(1+COUNTIF(Table63[Associated Dragon],Table63[[#This Row],[Associated Dragon]])),0)</f>
        <v>4</v>
      </c>
      <c r="F49" s="184">
        <f>ROUND(IF(Table63[[#This Row],[Associated Dragon]]&lt;&gt;B48,0+Table63[[#This Row],[XP between unlocks]],F48+Table63[[#This Row],[XP between unlocks]]),0)</f>
        <v>8</v>
      </c>
      <c r="G49" s="184">
        <f ca="1">INDEX(Table73[[1]:[19]],Table63[[#This Row],[Associated Dragon]],Table63[[#This Row],[Level to unlock]])</f>
        <v>120119</v>
      </c>
      <c r="H49" s="186">
        <f>ROUND(Table63[[#This Row],[Skin ID]]*$C$19+$D$19,2)</f>
        <v>0.28000000000000003</v>
      </c>
      <c r="I49" s="186">
        <f>ROUND(Table63[[#This Row],[Skin ID]]*$C$19+$D$19,2)</f>
        <v>0.28000000000000003</v>
      </c>
      <c r="J49" s="186">
        <f>ROUND($I$20*Table63[[#This Row],[Skin ID]]+$J$20,0)</f>
        <v>39</v>
      </c>
      <c r="K49" s="186">
        <f>ROUND($K$19*SIN(Table63[[#This Row],[Skin ID]])+$K$20*Table63[[#This Row],[Skin ID]]+$K$20,0)</f>
        <v>147</v>
      </c>
      <c r="L49" s="186">
        <f>ROUND($N$20*Table63[[#This Row],[theorical_powerSet_perceivedValue]]+$O$20,0)</f>
        <v>14</v>
      </c>
      <c r="M49" s="186">
        <f>INDEX(Table70[PotentialOrder],MATCH(Table63[[#This Row],[theorical_powerSet_minID]],Table70[power_ID],0))</f>
        <v>12</v>
      </c>
      <c r="N49" s="185" t="b">
        <v>1</v>
      </c>
      <c r="O49" s="185" t="s">
        <v>377</v>
      </c>
      <c r="P49" s="185" t="str">
        <f>IF(Table63[[#This Row],[uses_generated_set]],Table63[[#This Row],[userSelectedPowerup]],INDEX(Table70[Power],MATCH(Table63[[#This Row],[theorical_powerup]],Table70[PotentialOrder],0)))</f>
        <v>XP +</v>
      </c>
      <c r="Q49" s="185">
        <f>COUNTIF(Table63[current_powerup],Table63[[#This Row],[current_powerup]])</f>
        <v>3</v>
      </c>
      <c r="R49" s="186">
        <f>INDEX(Table70[PotentialOrder],MATCH(Table63[[#This Row],[current_powerup]],Table70[Power],0))</f>
        <v>12</v>
      </c>
      <c r="S49" s="186" t="s">
        <v>412</v>
      </c>
    </row>
    <row r="50" spans="1:19" x14ac:dyDescent="0.25">
      <c r="A50" s="184">
        <v>29</v>
      </c>
      <c r="B50" s="184">
        <f>MATCH(Table63[[#This Row],[Skin ID]]-1,Table59[First Skin],1)</f>
        <v>10</v>
      </c>
      <c r="C50" s="184">
        <f>IF(INDEX(Table59[ID of HC Skin],Table63[[#This Row],[Associated Dragon]])=Table63[[#This Row],[Skin ID]],0,ROUND(IF(Table63[[#This Row],[Associated Dragon]]=B49,C49+INDEX(Table59[SC step per skin],Table63[[#This Row],[Associated Dragon]])/INDEX(Table59[Number of skin],Table63[[#This Row],[Associated Dragon]]),INDEX(Table59[SC total for Skins],Table63[[#This Row],[Associated Dragon]])/INDEX(Table59[Number of skin],Table63[[#This Row],[Associated Dragon]])),-1))</f>
        <v>371260</v>
      </c>
      <c r="D50" s="184">
        <f>IF(Table63[[#This Row],[Cost SC]]=0,INDEX(Table59[HC total for Skins],Table63[[#This Row],[Associated Dragon]]),0)</f>
        <v>0</v>
      </c>
      <c r="E50" s="184">
        <f>ROUND(INDEX('Balance - XP points'!$B$11:$B$20,Table63[[#This Row],[Associated Dragon]])/(1+COUNTIF(Table63[Associated Dragon],Table63[[#This Row],[Associated Dragon]])),0)</f>
        <v>4</v>
      </c>
      <c r="F50" s="184">
        <f>ROUND(IF(Table63[[#This Row],[Associated Dragon]]&lt;&gt;B49,0+Table63[[#This Row],[XP between unlocks]],F49+Table63[[#This Row],[XP between unlocks]]),0)</f>
        <v>12</v>
      </c>
      <c r="G50" s="184">
        <f ca="1">INDEX(Table73[[1]:[19]],Table63[[#This Row],[Associated Dragon]],Table63[[#This Row],[Level to unlock]])</f>
        <v>260257</v>
      </c>
      <c r="H50" s="186">
        <f>ROUND(Table63[[#This Row],[Skin ID]]*$C$19+$D$19,2)</f>
        <v>0.28999999999999998</v>
      </c>
      <c r="I50" s="186">
        <f>ROUND(Table63[[#This Row],[Skin ID]]*$C$19+$D$19,2)</f>
        <v>0.28999999999999998</v>
      </c>
      <c r="J50" s="186">
        <f>ROUND($I$20*Table63[[#This Row],[Skin ID]]+$J$20,0)</f>
        <v>39</v>
      </c>
      <c r="K50" s="186">
        <f>ROUND($K$19*SIN(Table63[[#This Row],[Skin ID]])+$K$20*Table63[[#This Row],[Skin ID]]+$K$20,0)</f>
        <v>146</v>
      </c>
      <c r="L50" s="186">
        <f>ROUND($N$20*Table63[[#This Row],[theorical_powerSet_perceivedValue]]+$O$20,0)</f>
        <v>14</v>
      </c>
      <c r="M50" s="186">
        <f>INDEX(Table70[PotentialOrder],MATCH(Table63[[#This Row],[theorical_powerSet_minID]],Table70[power_ID],0))</f>
        <v>12</v>
      </c>
      <c r="N50" s="185" t="b">
        <v>1</v>
      </c>
      <c r="O50" s="185" t="s">
        <v>271</v>
      </c>
      <c r="P50" s="185" t="str">
        <f>IF(Table63[[#This Row],[uses_generated_set]],Table63[[#This Row],[userSelectedPowerup]],INDEX(Table70[Power],MATCH(Table63[[#This Row],[theorical_powerup]],Table70[PotentialOrder],0)))</f>
        <v>HP +</v>
      </c>
      <c r="Q50" s="185">
        <f>COUNTIF(Table63[current_powerup],Table63[[#This Row],[current_powerup]])</f>
        <v>2</v>
      </c>
      <c r="R50" s="186">
        <f>INDEX(Table70[PotentialOrder],MATCH(Table63[[#This Row],[current_powerup]],Table70[Power],0))</f>
        <v>13</v>
      </c>
      <c r="S50" s="186" t="s">
        <v>414</v>
      </c>
    </row>
    <row r="51" spans="1:19" x14ac:dyDescent="0.25">
      <c r="A51" s="191">
        <v>30</v>
      </c>
      <c r="B51" s="191">
        <f>MATCH(Table63[[#This Row],[Skin ID]]-1,Table59[First Skin],1)</f>
        <v>10</v>
      </c>
      <c r="C51" s="191">
        <f>IF(INDEX(Table59[ID of HC Skin],Table63[[#This Row],[Associated Dragon]])=Table63[[#This Row],[Skin ID]],0,ROUND(IF(Table63[[#This Row],[Associated Dragon]]=B50,C50+INDEX(Table59[SC step per skin],Table63[[#This Row],[Associated Dragon]])/INDEX(Table59[Number of skin],Table63[[#This Row],[Associated Dragon]]),INDEX(Table59[SC total for Skins],Table63[[#This Row],[Associated Dragon]])/INDEX(Table59[Number of skin],Table63[[#This Row],[Associated Dragon]])),-1))</f>
        <v>0</v>
      </c>
      <c r="D51" s="191">
        <f>IF(Table63[[#This Row],[Cost SC]]=0,INDEX(Table59[HC total for Skins],Table63[[#This Row],[Associated Dragon]]),0)</f>
        <v>160</v>
      </c>
      <c r="E51" s="191">
        <f>ROUND(INDEX('Balance - XP points'!$B$11:$B$20,Table63[[#This Row],[Associated Dragon]])/(1+COUNTIF(Table63[Associated Dragon],Table63[[#This Row],[Associated Dragon]])),0)</f>
        <v>4</v>
      </c>
      <c r="F51" s="191">
        <f>ROUND(IF(Table63[[#This Row],[Associated Dragon]]&lt;&gt;B50,0+Table63[[#This Row],[XP between unlocks]],F50+Table63[[#This Row],[XP between unlocks]]),0)</f>
        <v>16</v>
      </c>
      <c r="G51" s="191">
        <f ca="1">INDEX(Table73[[1]:[19]],Table63[[#This Row],[Associated Dragon]],Table63[[#This Row],[Level to unlock]])</f>
        <v>453782</v>
      </c>
      <c r="H51" s="192">
        <f>ROUND(Table63[[#This Row],[Skin ID]]*$C$19+$D$19,2)</f>
        <v>0.3</v>
      </c>
      <c r="I51" s="192">
        <f>ROUND(Table63[[#This Row],[Skin ID]]*$C$19+$D$19,2)</f>
        <v>0.3</v>
      </c>
      <c r="J51" s="192">
        <f>ROUND($I$20*Table63[[#This Row],[Skin ID]]+$J$20,0)</f>
        <v>40</v>
      </c>
      <c r="K51" s="192">
        <f>ROUND($K$19*SIN(Table63[[#This Row],[Skin ID]])+$K$20*Table63[[#This Row],[Skin ID]]+$K$20,0)</f>
        <v>149</v>
      </c>
      <c r="L51" s="192">
        <f>ROUND($N$20*Table63[[#This Row],[theorical_powerSet_perceivedValue]]+$O$20,0)</f>
        <v>14</v>
      </c>
      <c r="M51" s="192">
        <f>INDEX(Table70[PotentialOrder],MATCH(Table63[[#This Row],[theorical_powerSet_minID]],Table70[power_ID],0))</f>
        <v>12</v>
      </c>
      <c r="N51" s="192" t="b">
        <v>1</v>
      </c>
      <c r="O51" s="192" t="s">
        <v>272</v>
      </c>
      <c r="P51" s="192" t="str">
        <f>IF(Table63[[#This Row],[uses_generated_set]],Table63[[#This Row],[userSelectedPowerup]],INDEX(Table70[Power],MATCH(Table63[[#This Row],[theorical_powerup]],Table70[PotentialOrder],0)))</f>
        <v>Life Drain Reduced</v>
      </c>
      <c r="Q51" s="192">
        <f>COUNTIF(Table63[current_powerup],Table63[[#This Row],[current_powerup]])</f>
        <v>2</v>
      </c>
      <c r="R51" s="192">
        <f>INDEX(Table70[PotentialOrder],MATCH(Table63[[#This Row],[current_powerup]],Table70[Power],0))</f>
        <v>14</v>
      </c>
      <c r="S51" s="186" t="s">
        <v>403</v>
      </c>
    </row>
  </sheetData>
  <conditionalFormatting sqref="B22:B51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2:M5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2:Q51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2:R5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disablePrompts="1" count="1">
    <dataValidation type="list" allowBlank="1" showInputMessage="1" showErrorMessage="1" sqref="N22:N51">
      <formula1>"TRUE,FALSE"</formula1>
    </dataValidation>
  </dataValidations>
  <pageMargins left="0.7" right="0.7" top="0.75" bottom="0.75" header="0.3" footer="0.3"/>
  <pageSetup paperSize="9" orientation="portrait" r:id="rId1"/>
  <drawing r:id="rId2"/>
  <tableParts count="3">
    <tablePart r:id="rId3"/>
    <tablePart r:id="rId4"/>
    <tablePart r:id="rId5"/>
  </tablePart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Powerups!$C$9:$C$36</xm:f>
          </x14:formula1>
          <xm:sqref>O22:O51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>
    <tabColor theme="7"/>
  </sheetPr>
  <dimension ref="A1:H36"/>
  <sheetViews>
    <sheetView workbookViewId="0"/>
  </sheetViews>
  <sheetFormatPr defaultRowHeight="15" x14ac:dyDescent="0.25"/>
  <cols>
    <col min="1" max="3" width="30.42578125" bestFit="1" customWidth="1"/>
    <col min="4" max="4" width="13.7109375" bestFit="1" customWidth="1"/>
    <col min="5" max="7" width="77.42578125" bestFit="1" customWidth="1"/>
    <col min="8" max="8" width="19.140625" bestFit="1" customWidth="1"/>
  </cols>
  <sheetData>
    <row r="1" spans="1:8" ht="18.75" x14ac:dyDescent="0.3">
      <c r="A1" s="7" t="s">
        <v>266</v>
      </c>
      <c r="B1" s="6"/>
      <c r="C1" s="6"/>
    </row>
    <row r="2" spans="1:8" ht="15" customHeight="1" x14ac:dyDescent="0.25">
      <c r="A2" s="269" t="s">
        <v>267</v>
      </c>
      <c r="B2" s="269"/>
      <c r="C2" s="269"/>
    </row>
    <row r="3" spans="1:8" x14ac:dyDescent="0.25">
      <c r="A3" s="269"/>
      <c r="B3" s="269"/>
      <c r="C3" s="269"/>
    </row>
    <row r="4" spans="1:8" x14ac:dyDescent="0.25">
      <c r="A4" s="269"/>
      <c r="B4" s="269"/>
      <c r="C4" s="269"/>
    </row>
    <row r="8" spans="1:8" x14ac:dyDescent="0.25">
      <c r="A8" s="1" t="s">
        <v>344</v>
      </c>
      <c r="B8" s="1" t="s">
        <v>383</v>
      </c>
      <c r="C8" s="1" t="s">
        <v>255</v>
      </c>
      <c r="D8" s="1" t="s">
        <v>17</v>
      </c>
      <c r="E8" s="1" t="s">
        <v>269</v>
      </c>
      <c r="F8" s="1" t="s">
        <v>268</v>
      </c>
      <c r="G8" s="1" t="s">
        <v>270</v>
      </c>
      <c r="H8" s="1" t="s">
        <v>390</v>
      </c>
    </row>
    <row r="9" spans="1:8" x14ac:dyDescent="0.25">
      <c r="A9" s="1">
        <v>20</v>
      </c>
      <c r="B9" s="1">
        <f>_xlfn.IFNA(INDEX(Table75[Order],MATCH(Table70[[#This Row],[power_ID]],Table75[power_id],0)),INDEX(Table81[Final order],MATCH(Table70[[#This Row],[power_ID]],Table81[power_id],0)))</f>
        <v>20</v>
      </c>
      <c r="C9" s="1" t="str">
        <f>_xlfn.IFNA(INDEX(Table75[Power_list],MATCH(Table70[[#This Row],[PotentialOrder]],Table75[Order],0)),INDEX(Table81[Power_list],MATCH(Table70[[#This Row],[PotentialOrder]],Table81[Final order],0)))</f>
        <v>Eat all ghost</v>
      </c>
      <c r="D9" s="1" t="s">
        <v>309</v>
      </c>
      <c r="E9" s="1">
        <v>0</v>
      </c>
      <c r="F9" s="1">
        <v>1</v>
      </c>
      <c r="G9" s="159" t="s">
        <v>320</v>
      </c>
      <c r="H9" s="1" t="str">
        <f>_xlfn.IFNA(INDEX(Table63[Skin ID],MATCH(Table70[[#This Row],[power_ID]],Table63[Final_perceivedValue],0)),"Not for skin")</f>
        <v>Not for skin</v>
      </c>
    </row>
    <row r="10" spans="1:8" x14ac:dyDescent="0.25">
      <c r="A10" s="1">
        <v>21</v>
      </c>
      <c r="B10" s="1">
        <f>_xlfn.IFNA(INDEX(Table75[Order],MATCH(Table70[[#This Row],[power_ID]],Table75[power_id],0)),INDEX(Table81[Final order],MATCH(Table70[[#This Row],[power_ID]],Table81[power_id],0)))</f>
        <v>21</v>
      </c>
      <c r="C10" s="1" t="str">
        <f>_xlfn.IFNA(INDEX(Table75[Power_list],MATCH(Table70[[#This Row],[PotentialOrder]],Table75[Order],0)),INDEX(Table81[Power_list],MATCH(Table70[[#This Row],[PotentialOrder]],Table81[Final order],0)))</f>
        <v>Eat mines</v>
      </c>
      <c r="D10" s="1" t="s">
        <v>309</v>
      </c>
      <c r="E10" s="1">
        <v>0</v>
      </c>
      <c r="F10" s="1">
        <v>1</v>
      </c>
      <c r="G10" s="159" t="s">
        <v>321</v>
      </c>
      <c r="H10" s="1" t="str">
        <f>_xlfn.IFNA(INDEX(Table63[Skin ID],MATCH(Table70[[#This Row],[power_ID]],Table63[Final_perceivedValue],0)),"Not for skin")</f>
        <v>Not for skin</v>
      </c>
    </row>
    <row r="11" spans="1:8" x14ac:dyDescent="0.25">
      <c r="A11" s="1">
        <v>22</v>
      </c>
      <c r="B11" s="1">
        <f>_xlfn.IFNA(INDEX(Table75[Order],MATCH(Table70[[#This Row],[power_ID]],Table75[power_id],0)),INDEX(Table81[Final order],MATCH(Table70[[#This Row],[power_ID]],Table81[power_id],0)))</f>
        <v>24</v>
      </c>
      <c r="C11" s="1" t="str">
        <f>_xlfn.IFNA(INDEX(Table75[Power_list],MATCH(Table70[[#This Row],[PotentialOrder]],Table75[Order],0)),INDEX(Table81[Power_list],MATCH(Table70[[#This Row],[PotentialOrder]],Table81[Final order],0)))</f>
        <v>Explose mines</v>
      </c>
      <c r="D11" s="1" t="s">
        <v>309</v>
      </c>
      <c r="E11" s="1">
        <v>0</v>
      </c>
      <c r="F11" s="1">
        <v>1</v>
      </c>
      <c r="G11" s="159" t="s">
        <v>322</v>
      </c>
      <c r="H11" s="1" t="str">
        <f>_xlfn.IFNA(INDEX(Table63[Skin ID],MATCH(Table70[[#This Row],[power_ID]],Table63[Final_perceivedValue],0)),"Not for skin")</f>
        <v>Not for skin</v>
      </c>
    </row>
    <row r="12" spans="1:8" x14ac:dyDescent="0.25">
      <c r="A12" s="1">
        <v>9</v>
      </c>
      <c r="B12" s="1">
        <f>_xlfn.IFNA(INDEX(Table75[Order],MATCH(Table70[[#This Row],[power_ID]],Table75[power_id],0)),INDEX(Table81[Final order],MATCH(Table70[[#This Row],[power_ID]],Table81[power_id],0)))</f>
        <v>4</v>
      </c>
      <c r="C12" s="1" t="str">
        <f>_xlfn.IFNA(INDEX(Table75[Power_list],MATCH(Table70[[#This Row],[PotentialOrder]],Table75[Order],0)),INDEX(Table81[Power_list],MATCH(Table70[[#This Row],[PotentialOrder]],Table81[Final order],0)))</f>
        <v>Food +</v>
      </c>
      <c r="D12" s="1" t="s">
        <v>289</v>
      </c>
      <c r="E12" s="1">
        <v>1</v>
      </c>
      <c r="F12" s="1">
        <v>1</v>
      </c>
      <c r="G12" s="159" t="s">
        <v>290</v>
      </c>
      <c r="H12" s="1">
        <f>_xlfn.IFNA(INDEX(Table63[Skin ID],MATCH(Table70[[#This Row],[power_ID]],Table63[Final_perceivedValue],0)),"Not for skin")</f>
        <v>5</v>
      </c>
    </row>
    <row r="13" spans="1:8" x14ac:dyDescent="0.25">
      <c r="A13" s="1">
        <v>10</v>
      </c>
      <c r="B13" s="1">
        <f>_xlfn.IFNA(INDEX(Table75[Order],MATCH(Table70[[#This Row],[power_ID]],Table75[power_id],0)),INDEX(Table81[Final order],MATCH(Table70[[#This Row],[power_ID]],Table81[power_id],0)))</f>
        <v>6</v>
      </c>
      <c r="C13" s="1" t="str">
        <f>_xlfn.IFNA(INDEX(Table75[Power_list],MATCH(Table70[[#This Row],[PotentialOrder]],Table75[Order],0)),INDEX(Table81[Power_list],MATCH(Table70[[#This Row],[PotentialOrder]],Table81[Final order],0)))</f>
        <v xml:space="preserve">Lower damage from mines </v>
      </c>
      <c r="D13" s="1" t="s">
        <v>289</v>
      </c>
      <c r="E13" s="1">
        <v>1</v>
      </c>
      <c r="F13" s="1">
        <v>1</v>
      </c>
      <c r="G13" s="159" t="s">
        <v>378</v>
      </c>
      <c r="H13" s="1">
        <f>_xlfn.IFNA(INDEX(Table63[Skin ID],MATCH(Table70[[#This Row],[power_ID]],Table63[Final_perceivedValue],0)),"Not for skin")</f>
        <v>8</v>
      </c>
    </row>
    <row r="14" spans="1:8" x14ac:dyDescent="0.25">
      <c r="A14" s="1">
        <v>8</v>
      </c>
      <c r="B14" s="1">
        <f>_xlfn.IFNA(INDEX(Table75[Order],MATCH(Table70[[#This Row],[power_ID]],Table75[power_id],0)),INDEX(Table81[Final order],MATCH(Table70[[#This Row],[power_ID]],Table81[power_id],0)))</f>
        <v>10</v>
      </c>
      <c r="C14" s="1" t="str">
        <f>_xlfn.IFNA(INDEX(Table75[Power_list],MATCH(Table70[[#This Row],[PotentialOrder]],Table75[Order],0)),INDEX(Table81[Power_list],MATCH(Table70[[#This Row],[PotentialOrder]],Table81[Final order],0)))</f>
        <v>Score +</v>
      </c>
      <c r="D14" s="1" t="s">
        <v>289</v>
      </c>
      <c r="E14" s="1">
        <v>1</v>
      </c>
      <c r="F14" s="1">
        <v>1</v>
      </c>
      <c r="G14" s="159" t="s">
        <v>287</v>
      </c>
      <c r="H14" s="1">
        <f>_xlfn.IFNA(INDEX(Table63[Skin ID],MATCH(Table70[[#This Row],[power_ID]],Table63[Final_perceivedValue],0)),"Not for skin")</f>
        <v>10</v>
      </c>
    </row>
    <row r="15" spans="1:8" x14ac:dyDescent="0.25">
      <c r="A15" s="1">
        <v>7</v>
      </c>
      <c r="B15" s="1">
        <f>_xlfn.IFNA(INDEX(Table75[Order],MATCH(Table70[[#This Row],[power_ID]],Table75[power_id],0)),INDEX(Table81[Final order],MATCH(Table70[[#This Row],[power_ID]],Table81[power_id],0)))</f>
        <v>11</v>
      </c>
      <c r="C15" s="1" t="str">
        <f>_xlfn.IFNA(INDEX(Table75[Power_list],MATCH(Table70[[#This Row],[PotentialOrder]],Table75[Order],0)),INDEX(Table81[Power_list],MATCH(Table70[[#This Row],[PotentialOrder]],Table81[Final order],0)))</f>
        <v>SC +</v>
      </c>
      <c r="D15" s="1" t="s">
        <v>289</v>
      </c>
      <c r="E15" s="1">
        <v>1</v>
      </c>
      <c r="F15" s="1">
        <v>1</v>
      </c>
      <c r="G15" s="159" t="s">
        <v>286</v>
      </c>
      <c r="H15" s="1">
        <f>_xlfn.IFNA(INDEX(Table63[Skin ID],MATCH(Table70[[#This Row],[power_ID]],Table63[Final_perceivedValue],0)),"Not for skin")</f>
        <v>25</v>
      </c>
    </row>
    <row r="16" spans="1:8" x14ac:dyDescent="0.25">
      <c r="A16" s="1">
        <v>28</v>
      </c>
      <c r="B16" s="1">
        <f>_xlfn.IFNA(INDEX(Table75[Order],MATCH(Table70[[#This Row],[power_ID]],Table75[power_id],0)),INDEX(Table81[Final order],MATCH(Table70[[#This Row],[power_ID]],Table81[power_id],0)))</f>
        <v>22</v>
      </c>
      <c r="C16" s="1" t="str">
        <f>_xlfn.IFNA(INDEX(Table75[Power_list],MATCH(Table70[[#This Row],[PotentialOrder]],Table75[Order],0)),INDEX(Table81[Power_list],MATCH(Table70[[#This Row],[PotentialOrder]],Table81[Final order],0)))</f>
        <v>Bring humans</v>
      </c>
      <c r="D16" s="1" t="s">
        <v>310</v>
      </c>
      <c r="E16" s="1">
        <v>0</v>
      </c>
      <c r="F16" s="1">
        <v>1</v>
      </c>
      <c r="G16" s="159" t="s">
        <v>329</v>
      </c>
      <c r="H16" s="1" t="str">
        <f>_xlfn.IFNA(INDEX(Table63[Skin ID],MATCH(Table70[[#This Row],[power_ID]],Table63[Final_perceivedValue],0)),"Not for skin")</f>
        <v>Not for skin</v>
      </c>
    </row>
    <row r="17" spans="1:8" x14ac:dyDescent="0.25">
      <c r="A17" s="1">
        <v>25</v>
      </c>
      <c r="B17" s="1">
        <f>_xlfn.IFNA(INDEX(Table75[Order],MATCH(Table70[[#This Row],[power_ID]],Table75[power_id],0)),INDEX(Table81[Final order],MATCH(Table70[[#This Row],[power_ID]],Table81[power_id],0)))</f>
        <v>23</v>
      </c>
      <c r="C17" s="1" t="str">
        <f>_xlfn.IFNA(INDEX(Table75[Power_list],MATCH(Table70[[#This Row],[PotentialOrder]],Table75[Order],0)),INDEX(Table81[Power_list],MATCH(Table70[[#This Row],[PotentialOrder]],Table81[Final order],0)))</f>
        <v>Throw mines</v>
      </c>
      <c r="D17" s="1" t="s">
        <v>310</v>
      </c>
      <c r="E17" s="1">
        <v>0</v>
      </c>
      <c r="F17" s="1">
        <v>1</v>
      </c>
      <c r="G17" s="159" t="s">
        <v>328</v>
      </c>
      <c r="H17" s="1" t="str">
        <f>_xlfn.IFNA(INDEX(Table63[Skin ID],MATCH(Table70[[#This Row],[power_ID]],Table63[Final_perceivedValue],0)),"Not for skin")</f>
        <v>Not for skin</v>
      </c>
    </row>
    <row r="18" spans="1:8" x14ac:dyDescent="0.25">
      <c r="A18" s="1">
        <v>27</v>
      </c>
      <c r="B18" s="1">
        <f>_xlfn.IFNA(INDEX(Table75[Order],MATCH(Table70[[#This Row],[power_ID]],Table75[power_id],0)),INDEX(Table81[Final order],MATCH(Table70[[#This Row],[power_ID]],Table81[power_id],0)))</f>
        <v>25</v>
      </c>
      <c r="C18" s="1" t="str">
        <f>_xlfn.IFNA(INDEX(Table75[Power_list],MATCH(Table70[[#This Row],[PotentialOrder]],Table75[Order],0)),INDEX(Table81[Power_list],MATCH(Table70[[#This Row],[PotentialOrder]],Table81[Final order],0)))</f>
        <v>Freeze aura</v>
      </c>
      <c r="D18" s="1" t="s">
        <v>310</v>
      </c>
      <c r="E18" s="1">
        <v>0</v>
      </c>
      <c r="F18" s="1">
        <v>1</v>
      </c>
      <c r="G18" s="159" t="s">
        <v>325</v>
      </c>
      <c r="H18" s="1" t="str">
        <f>_xlfn.IFNA(INDEX(Table63[Skin ID],MATCH(Table70[[#This Row],[power_ID]],Table63[Final_perceivedValue],0)),"Not for skin")</f>
        <v>Not for skin</v>
      </c>
    </row>
    <row r="19" spans="1:8" x14ac:dyDescent="0.25">
      <c r="A19" s="1">
        <v>24</v>
      </c>
      <c r="B19" s="1">
        <f>_xlfn.IFNA(INDEX(Table75[Order],MATCH(Table70[[#This Row],[power_ID]],Table75[power_id],0)),INDEX(Table81[Final order],MATCH(Table70[[#This Row],[power_ID]],Table81[power_id],0)))</f>
        <v>26</v>
      </c>
      <c r="C19" s="1" t="str">
        <f>_xlfn.IFNA(INDEX(Table75[Power_list],MATCH(Table70[[#This Row],[PotentialOrder]],Table75[Order],0)),INDEX(Table81[Power_list],MATCH(Table70[[#This Row],[PotentialOrder]],Table81[Final order],0)))</f>
        <v>Shoot Fireballs</v>
      </c>
      <c r="D19" s="1" t="s">
        <v>310</v>
      </c>
      <c r="E19" s="1">
        <v>0</v>
      </c>
      <c r="F19" s="1">
        <v>1</v>
      </c>
      <c r="G19" s="159" t="s">
        <v>327</v>
      </c>
      <c r="H19" s="1" t="str">
        <f>_xlfn.IFNA(INDEX(Table63[Skin ID],MATCH(Table70[[#This Row],[power_ID]],Table63[Final_perceivedValue],0)),"Not for skin")</f>
        <v>Not for skin</v>
      </c>
    </row>
    <row r="20" spans="1:8" x14ac:dyDescent="0.25">
      <c r="A20" s="1">
        <v>23</v>
      </c>
      <c r="B20" s="1">
        <f>_xlfn.IFNA(INDEX(Table75[Order],MATCH(Table70[[#This Row],[power_ID]],Table75[power_id],0)),INDEX(Table81[Final order],MATCH(Table70[[#This Row],[power_ID]],Table81[power_id],0)))</f>
        <v>27</v>
      </c>
      <c r="C20" s="1" t="str">
        <f>_xlfn.IFNA(INDEX(Table75[Power_list],MATCH(Table70[[#This Row],[PotentialOrder]],Table75[Order],0)),INDEX(Table81[Power_list],MATCH(Table70[[#This Row],[PotentialOrder]],Table81[Final order],0)))</f>
        <v>Fire Rush Pet</v>
      </c>
      <c r="D20" s="1" t="s">
        <v>310</v>
      </c>
      <c r="E20" s="1">
        <v>0</v>
      </c>
      <c r="F20" s="1">
        <v>1</v>
      </c>
      <c r="G20" s="159" t="s">
        <v>323</v>
      </c>
      <c r="H20" s="1" t="str">
        <f>_xlfn.IFNA(INDEX(Table63[Skin ID],MATCH(Table70[[#This Row],[power_ID]],Table63[Final_perceivedValue],0)),"Not for skin")</f>
        <v>Not for skin</v>
      </c>
    </row>
    <row r="21" spans="1:8" x14ac:dyDescent="0.25">
      <c r="A21" s="1">
        <v>26</v>
      </c>
      <c r="B21" s="1">
        <f>_xlfn.IFNA(INDEX(Table75[Order],MATCH(Table70[[#This Row],[power_ID]],Table75[power_id],0)),INDEX(Table81[Final order],MATCH(Table70[[#This Row],[power_ID]],Table81[power_id],0)))</f>
        <v>28</v>
      </c>
      <c r="C21" s="1" t="str">
        <f>_xlfn.IFNA(INDEX(Table75[Power_list],MATCH(Table70[[#This Row],[PotentialOrder]],Table75[Order],0)),INDEX(Table81[Power_list],MATCH(Table70[[#This Row],[PotentialOrder]],Table81[Final order],0)))</f>
        <v>Free revive</v>
      </c>
      <c r="D21" s="1" t="s">
        <v>310</v>
      </c>
      <c r="E21" s="1">
        <v>0</v>
      </c>
      <c r="F21" s="1">
        <v>1</v>
      </c>
      <c r="G21" s="159" t="s">
        <v>324</v>
      </c>
      <c r="H21" s="1" t="str">
        <f>_xlfn.IFNA(INDEX(Table63[Skin ID],MATCH(Table70[[#This Row],[power_ID]],Table63[Final_perceivedValue],0)),"Not for skin")</f>
        <v>Not for skin</v>
      </c>
    </row>
    <row r="22" spans="1:8" x14ac:dyDescent="0.25">
      <c r="A22" s="1">
        <v>5</v>
      </c>
      <c r="B22" s="1">
        <f>_xlfn.IFNA(INDEX(Table75[Order],MATCH(Table70[[#This Row],[power_ID]],Table75[power_id],0)),INDEX(Table81[Final order],MATCH(Table70[[#This Row],[power_ID]],Table81[power_id],0)))</f>
        <v>5</v>
      </c>
      <c r="C22" s="1" t="str">
        <f>_xlfn.IFNA(INDEX(Table75[Power_list],MATCH(Table70[[#This Row],[PotentialOrder]],Table75[Order],0)),INDEX(Table81[Power_list],MATCH(Table70[[#This Row],[PotentialOrder]],Table81[Final order],0)))</f>
        <v>Fire (size) +</v>
      </c>
      <c r="D22" s="1" t="s">
        <v>279</v>
      </c>
      <c r="E22" s="1">
        <v>1</v>
      </c>
      <c r="F22" s="1">
        <v>1</v>
      </c>
      <c r="G22" s="159" t="s">
        <v>284</v>
      </c>
      <c r="H22" s="1">
        <f>_xlfn.IFNA(INDEX(Table63[Skin ID],MATCH(Table70[[#This Row],[power_ID]],Table63[Final_perceivedValue],0)),"Not for skin")</f>
        <v>6</v>
      </c>
    </row>
    <row r="23" spans="1:8" x14ac:dyDescent="0.25">
      <c r="A23" s="1">
        <v>3</v>
      </c>
      <c r="B23" s="1">
        <f>_xlfn.IFNA(INDEX(Table75[Order],MATCH(Table70[[#This Row],[power_ID]],Table75[power_id],0)),INDEX(Table81[Final order],MATCH(Table70[[#This Row],[power_ID]],Table81[power_id],0)))</f>
        <v>7</v>
      </c>
      <c r="C23" s="1" t="str">
        <f>_xlfn.IFNA(INDEX(Table75[Power_list],MATCH(Table70[[#This Row],[PotentialOrder]],Table75[Order],0)),INDEX(Table81[Power_list],MATCH(Table70[[#This Row],[PotentialOrder]],Table81[Final order],0)))</f>
        <v>Speed +</v>
      </c>
      <c r="D23" s="1" t="s">
        <v>279</v>
      </c>
      <c r="E23" s="1">
        <v>1</v>
      </c>
      <c r="F23" s="1">
        <v>1</v>
      </c>
      <c r="G23" s="159" t="s">
        <v>282</v>
      </c>
      <c r="H23" s="1">
        <f>_xlfn.IFNA(INDEX(Table63[Skin ID],MATCH(Table70[[#This Row],[power_ID]],Table63[Final_perceivedValue],0)),"Not for skin")</f>
        <v>2</v>
      </c>
    </row>
    <row r="24" spans="1:8" x14ac:dyDescent="0.25">
      <c r="A24" s="1">
        <v>6</v>
      </c>
      <c r="B24" s="1">
        <f>_xlfn.IFNA(INDEX(Table75[Order],MATCH(Table70[[#This Row],[power_ID]],Table75[power_id],0)),INDEX(Table81[Final order],MATCH(Table70[[#This Row],[power_ID]],Table81[power_id],0)))</f>
        <v>8</v>
      </c>
      <c r="C24" s="1" t="str">
        <f>_xlfn.IFNA(INDEX(Table75[Power_list],MATCH(Table70[[#This Row],[PotentialOrder]],Table75[Order],0)),INDEX(Table81[Power_list],MATCH(Table70[[#This Row],[PotentialOrder]],Table81[Final order],0)))</f>
        <v>Fire Rush Time +</v>
      </c>
      <c r="D24" s="1" t="s">
        <v>279</v>
      </c>
      <c r="E24" s="1">
        <v>1</v>
      </c>
      <c r="F24" s="1">
        <v>1</v>
      </c>
      <c r="G24" s="159" t="s">
        <v>285</v>
      </c>
      <c r="H24" s="1">
        <f>_xlfn.IFNA(INDEX(Table63[Skin ID],MATCH(Table70[[#This Row],[power_ID]],Table63[Final_perceivedValue],0)),"Not for skin")</f>
        <v>15</v>
      </c>
    </row>
    <row r="25" spans="1:8" x14ac:dyDescent="0.25">
      <c r="A25" s="1">
        <v>4</v>
      </c>
      <c r="B25" s="1">
        <f>_xlfn.IFNA(INDEX(Table75[Order],MATCH(Table70[[#This Row],[power_ID]],Table75[power_id],0)),INDEX(Table81[Final order],MATCH(Table70[[#This Row],[power_ID]],Table81[power_id],0)))</f>
        <v>9</v>
      </c>
      <c r="C25" s="1" t="str">
        <f>_xlfn.IFNA(INDEX(Table75[Power_list],MATCH(Table70[[#This Row],[PotentialOrder]],Table75[Order],0)),INDEX(Table81[Power_list],MATCH(Table70[[#This Row],[PotentialOrder]],Table81[Final order],0)))</f>
        <v>Boost +</v>
      </c>
      <c r="D25" s="1" t="s">
        <v>279</v>
      </c>
      <c r="E25" s="1">
        <v>1</v>
      </c>
      <c r="F25" s="1">
        <v>1</v>
      </c>
      <c r="G25" s="159" t="s">
        <v>283</v>
      </c>
      <c r="H25" s="1">
        <f>_xlfn.IFNA(INDEX(Table63[Skin ID],MATCH(Table70[[#This Row],[power_ID]],Table63[Final_perceivedValue],0)),"Not for skin")</f>
        <v>1</v>
      </c>
    </row>
    <row r="26" spans="1:8" x14ac:dyDescent="0.25">
      <c r="A26" s="1">
        <v>1</v>
      </c>
      <c r="B26" s="1">
        <f>_xlfn.IFNA(INDEX(Table75[Order],MATCH(Table70[[#This Row],[power_ID]],Table75[power_id],0)),INDEX(Table81[Final order],MATCH(Table70[[#This Row],[power_ID]],Table81[power_id],0)))</f>
        <v>13</v>
      </c>
      <c r="C26" s="1" t="str">
        <f>_xlfn.IFNA(INDEX(Table75[Power_list],MATCH(Table70[[#This Row],[PotentialOrder]],Table75[Order],0)),INDEX(Table81[Power_list],MATCH(Table70[[#This Row],[PotentialOrder]],Table81[Final order],0)))</f>
        <v>HP +</v>
      </c>
      <c r="D26" s="1" t="s">
        <v>279</v>
      </c>
      <c r="E26" s="1">
        <v>1</v>
      </c>
      <c r="F26" s="1">
        <v>1</v>
      </c>
      <c r="G26" s="159" t="s">
        <v>280</v>
      </c>
      <c r="H26" s="1">
        <f>_xlfn.IFNA(INDEX(Table63[Skin ID],MATCH(Table70[[#This Row],[power_ID]],Table63[Final_perceivedValue],0)),"Not for skin")</f>
        <v>4</v>
      </c>
    </row>
    <row r="27" spans="1:8" x14ac:dyDescent="0.25">
      <c r="A27" s="1">
        <v>2</v>
      </c>
      <c r="B27" s="1">
        <f>_xlfn.IFNA(INDEX(Table75[Order],MATCH(Table70[[#This Row],[power_ID]],Table75[power_id],0)),INDEX(Table81[Final order],MATCH(Table70[[#This Row],[power_ID]],Table81[power_id],0)))</f>
        <v>14</v>
      </c>
      <c r="C27" s="1" t="str">
        <f>_xlfn.IFNA(INDEX(Table75[Power_list],MATCH(Table70[[#This Row],[PotentialOrder]],Table75[Order],0)),INDEX(Table81[Power_list],MATCH(Table70[[#This Row],[PotentialOrder]],Table81[Final order],0)))</f>
        <v>Life Drain Reduced</v>
      </c>
      <c r="D27" s="1" t="s">
        <v>279</v>
      </c>
      <c r="E27" s="1">
        <v>1</v>
      </c>
      <c r="F27" s="1">
        <v>1</v>
      </c>
      <c r="G27" s="159" t="s">
        <v>281</v>
      </c>
      <c r="H27" s="1" t="str">
        <f>_xlfn.IFNA(INDEX(Table63[Skin ID],MATCH(Table70[[#This Row],[power_ID]],Table63[Final_perceivedValue],0)),"Not for skin")</f>
        <v>Not for skin</v>
      </c>
    </row>
    <row r="28" spans="1:8" x14ac:dyDescent="0.25">
      <c r="A28" s="1">
        <v>11</v>
      </c>
      <c r="B28" s="1">
        <f>_xlfn.IFNA(INDEX(Table75[Order],MATCH(Table70[[#This Row],[power_ID]],Table75[power_id],0)),INDEX(Table81[Final order],MATCH(Table70[[#This Row],[power_ID]],Table81[power_id],0)))</f>
        <v>1</v>
      </c>
      <c r="C28" s="1" t="str">
        <f>_xlfn.IFNA(INDEX(Table75[Power_list],MATCH(Table70[[#This Row],[PotentialOrder]],Table75[Order],0)),INDEX(Table81[Power_list],MATCH(Table70[[#This Row],[PotentialOrder]],Table81[Final order],0)))</f>
        <v xml:space="preserve">Lower damage from ghosts </v>
      </c>
      <c r="D28" s="1" t="s">
        <v>292</v>
      </c>
      <c r="E28" s="1">
        <v>1</v>
      </c>
      <c r="F28" s="1">
        <v>1</v>
      </c>
      <c r="G28" s="159" t="s">
        <v>313</v>
      </c>
      <c r="H28" s="1">
        <f>_xlfn.IFNA(INDEX(Table63[Skin ID],MATCH(Table70[[#This Row],[power_ID]],Table63[Final_perceivedValue],0)),"Not for skin")</f>
        <v>13</v>
      </c>
    </row>
    <row r="29" spans="1:8" x14ac:dyDescent="0.25">
      <c r="A29" s="1">
        <v>13</v>
      </c>
      <c r="B29" s="1">
        <f>_xlfn.IFNA(INDEX(Table75[Order],MATCH(Table70[[#This Row],[power_ID]],Table75[power_id],0)),INDEX(Table81[Final order],MATCH(Table70[[#This Row],[power_ID]],Table81[power_id],0)))</f>
        <v>2</v>
      </c>
      <c r="C29" s="1" t="str">
        <f>_xlfn.IFNA(INDEX(Table75[Power_list],MATCH(Table70[[#This Row],[PotentialOrder]],Table75[Order],0)),INDEX(Table81[Power_list],MATCH(Table70[[#This Row],[PotentialOrder]],Table81[Final order],0)))</f>
        <v xml:space="preserve">Lower damage from arrows </v>
      </c>
      <c r="D29" s="1" t="s">
        <v>292</v>
      </c>
      <c r="E29" s="1">
        <v>1</v>
      </c>
      <c r="F29" s="1">
        <v>1</v>
      </c>
      <c r="G29" s="159" t="s">
        <v>315</v>
      </c>
      <c r="H29" s="1">
        <f>_xlfn.IFNA(INDEX(Table63[Skin ID],MATCH(Table70[[#This Row],[power_ID]],Table63[Final_perceivedValue],0)),"Not for skin")</f>
        <v>14</v>
      </c>
    </row>
    <row r="30" spans="1:8" x14ac:dyDescent="0.25">
      <c r="A30" s="1">
        <v>12</v>
      </c>
      <c r="B30" s="1">
        <f>_xlfn.IFNA(INDEX(Table75[Order],MATCH(Table70[[#This Row],[power_ID]],Table75[power_id],0)),INDEX(Table81[Final order],MATCH(Table70[[#This Row],[power_ID]],Table81[power_id],0)))</f>
        <v>3</v>
      </c>
      <c r="C30" s="1" t="str">
        <f>_xlfn.IFNA(INDEX(Table75[Power_list],MATCH(Table70[[#This Row],[PotentialOrder]],Table75[Order],0)),INDEX(Table81[Power_list],MATCH(Table70[[#This Row],[PotentialOrder]],Table81[Final order],0)))</f>
        <v xml:space="preserve">Lower damage from poison </v>
      </c>
      <c r="D30" s="1" t="s">
        <v>292</v>
      </c>
      <c r="E30" s="1">
        <v>1</v>
      </c>
      <c r="F30" s="1">
        <v>1</v>
      </c>
      <c r="G30" s="159" t="s">
        <v>314</v>
      </c>
      <c r="H30" s="1">
        <f>_xlfn.IFNA(INDEX(Table63[Skin ID],MATCH(Table70[[#This Row],[power_ID]],Table63[Final_perceivedValue],0)),"Not for skin")</f>
        <v>3</v>
      </c>
    </row>
    <row r="31" spans="1:8" x14ac:dyDescent="0.25">
      <c r="A31" s="1">
        <v>14</v>
      </c>
      <c r="B31" s="1">
        <f>_xlfn.IFNA(INDEX(Table75[Order],MATCH(Table70[[#This Row],[power_ID]],Table75[power_id],0)),INDEX(Table81[Final order],MATCH(Table70[[#This Row],[power_ID]],Table81[power_id],0)))</f>
        <v>12</v>
      </c>
      <c r="C31" s="1" t="str">
        <f>_xlfn.IFNA(INDEX(Table75[Power_list],MATCH(Table70[[#This Row],[PotentialOrder]],Table75[Order],0)),INDEX(Table81[Power_list],MATCH(Table70[[#This Row],[PotentialOrder]],Table81[Final order],0)))</f>
        <v>XP +</v>
      </c>
      <c r="D31" s="1" t="s">
        <v>292</v>
      </c>
      <c r="E31" s="1">
        <v>1</v>
      </c>
      <c r="F31" s="1">
        <v>1</v>
      </c>
      <c r="G31" s="159" t="s">
        <v>316</v>
      </c>
      <c r="H31" s="1">
        <f>_xlfn.IFNA(INDEX(Table63[Skin ID],MATCH(Table70[[#This Row],[power_ID]],Table63[Final_perceivedValue],0)),"Not for skin")</f>
        <v>18</v>
      </c>
    </row>
    <row r="32" spans="1:8" x14ac:dyDescent="0.25">
      <c r="A32" s="1">
        <v>17</v>
      </c>
      <c r="B32" s="1">
        <f>_xlfn.IFNA(INDEX(Table75[Order],MATCH(Table70[[#This Row],[power_ID]],Table75[power_id],0)),INDEX(Table81[Final order],MATCH(Table70[[#This Row],[power_ID]],Table81[power_id],0)))</f>
        <v>15</v>
      </c>
      <c r="C32" s="1" t="str">
        <f>_xlfn.IFNA(INDEX(Table75[Power_list],MATCH(Table70[[#This Row],[PotentialOrder]],Table75[Order],0)),INDEX(Table81[Power_list],MATCH(Table70[[#This Row],[PotentialOrder]],Table81[Final order],0)))</f>
        <v>Avoid first ghost hit</v>
      </c>
      <c r="D32" s="1" t="s">
        <v>292</v>
      </c>
      <c r="E32" s="1">
        <v>0</v>
      </c>
      <c r="F32" s="1">
        <v>1</v>
      </c>
      <c r="G32" s="159" t="s">
        <v>318</v>
      </c>
      <c r="H32" s="1" t="str">
        <f>_xlfn.IFNA(INDEX(Table63[Skin ID],MATCH(Table70[[#This Row],[power_ID]],Table63[Final_perceivedValue],0)),"Not for skin")</f>
        <v>Not for skin</v>
      </c>
    </row>
    <row r="33" spans="1:8" x14ac:dyDescent="0.25">
      <c r="A33" s="1">
        <v>15</v>
      </c>
      <c r="B33" s="1">
        <f>_xlfn.IFNA(INDEX(Table75[Order],MATCH(Table70[[#This Row],[power_ID]],Table75[power_id],0)),INDEX(Table81[Final order],MATCH(Table70[[#This Row],[power_ID]],Table81[power_id],0)))</f>
        <v>16</v>
      </c>
      <c r="C33" s="1" t="str">
        <f>_xlfn.IFNA(INDEX(Table75[Power_list],MATCH(Table70[[#This Row],[PotentialOrder]],Table75[Order],0)),INDEX(Table81[Power_list],MATCH(Table70[[#This Row],[PotentialOrder]],Table81[Final order],0)))</f>
        <v>Swim better</v>
      </c>
      <c r="D33" s="1" t="s">
        <v>292</v>
      </c>
      <c r="E33" s="1">
        <v>0</v>
      </c>
      <c r="F33" s="1">
        <v>1</v>
      </c>
      <c r="G33" s="159" t="s">
        <v>311</v>
      </c>
      <c r="H33" s="1" t="str">
        <f>_xlfn.IFNA(INDEX(Table63[Skin ID],MATCH(Table70[[#This Row],[power_ID]],Table63[Final_perceivedValue],0)),"Not for skin")</f>
        <v>Not for skin</v>
      </c>
    </row>
    <row r="34" spans="1:8" x14ac:dyDescent="0.25">
      <c r="A34" s="1">
        <v>16</v>
      </c>
      <c r="B34" s="1">
        <f>_xlfn.IFNA(INDEX(Table75[Order],MATCH(Table70[[#This Row],[power_ID]],Table75[power_id],0)),INDEX(Table81[Final order],MATCH(Table70[[#This Row],[power_ID]],Table81[power_id],0)))</f>
        <v>17</v>
      </c>
      <c r="C34" s="1" t="str">
        <f>_xlfn.IFNA(INDEX(Table75[Power_list],MATCH(Table70[[#This Row],[PotentialOrder]],Table75[Order],0)),INDEX(Table81[Power_list],MATCH(Table70[[#This Row],[PotentialOrder]],Table81[Final order],0)))</f>
        <v xml:space="preserve">Lantern </v>
      </c>
      <c r="D34" s="1" t="s">
        <v>292</v>
      </c>
      <c r="E34" s="1">
        <v>0</v>
      </c>
      <c r="F34" s="1">
        <v>1</v>
      </c>
      <c r="G34" s="159" t="s">
        <v>312</v>
      </c>
      <c r="H34" s="1" t="str">
        <f>_xlfn.IFNA(INDEX(Table63[Skin ID],MATCH(Table70[[#This Row],[power_ID]],Table63[Final_perceivedValue],0)),"Not for skin")</f>
        <v>Not for skin</v>
      </c>
    </row>
    <row r="35" spans="1:8" x14ac:dyDescent="0.25">
      <c r="A35" s="1">
        <v>18</v>
      </c>
      <c r="B35" s="1">
        <f>_xlfn.IFNA(INDEX(Table75[Order],MATCH(Table70[[#This Row],[power_ID]],Table75[power_id],0)),INDEX(Table81[Final order],MATCH(Table70[[#This Row],[power_ID]],Table81[power_id],0)))</f>
        <v>18</v>
      </c>
      <c r="C35" s="1" t="str">
        <f>_xlfn.IFNA(INDEX(Table75[Power_list],MATCH(Table70[[#This Row],[PotentialOrder]],Table75[Order],0)),INDEX(Table81[Power_list],MATCH(Table70[[#This Row],[PotentialOrder]],Table81[Final order],0)))</f>
        <v>Avoid first mine hit</v>
      </c>
      <c r="D35" s="1" t="s">
        <v>292</v>
      </c>
      <c r="E35" s="1">
        <v>0</v>
      </c>
      <c r="F35" s="1">
        <v>1</v>
      </c>
      <c r="G35" s="159" t="s">
        <v>317</v>
      </c>
      <c r="H35" s="1" t="str">
        <f>_xlfn.IFNA(INDEX(Table63[Skin ID],MATCH(Table70[[#This Row],[power_ID]],Table63[Final_perceivedValue],0)),"Not for skin")</f>
        <v>Not for skin</v>
      </c>
    </row>
    <row r="36" spans="1:8" x14ac:dyDescent="0.25">
      <c r="A36" s="1">
        <v>19</v>
      </c>
      <c r="B36" s="1">
        <f>_xlfn.IFNA(INDEX(Table75[Order],MATCH(Table70[[#This Row],[power_ID]],Table75[power_id],0)),INDEX(Table81[Final order],MATCH(Table70[[#This Row],[power_ID]],Table81[power_id],0)))</f>
        <v>19</v>
      </c>
      <c r="C36" s="1" t="str">
        <f>_xlfn.IFNA(INDEX(Table75[Power_list],MATCH(Table70[[#This Row],[PotentialOrder]],Table75[Order],0)),INDEX(Table81[Power_list],MATCH(Table70[[#This Row],[PotentialOrder]],Table81[Final order],0)))</f>
        <v>Decrease blockers tier limitation</v>
      </c>
      <c r="D36" s="1" t="s">
        <v>292</v>
      </c>
      <c r="E36" s="1">
        <v>0</v>
      </c>
      <c r="F36" s="1">
        <v>1</v>
      </c>
      <c r="G36" s="159" t="s">
        <v>319</v>
      </c>
      <c r="H36" s="1" t="str">
        <f>_xlfn.IFNA(INDEX(Table63[Skin ID],MATCH(Table70[[#This Row],[power_ID]],Table63[Final_perceivedValue],0)),"Not for skin")</f>
        <v>Not for skin</v>
      </c>
    </row>
  </sheetData>
  <mergeCells count="1">
    <mergeCell ref="A2:C4"/>
  </mergeCells>
  <conditionalFormatting sqref="E9:F3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>
    <tabColor theme="7"/>
  </sheetPr>
  <dimension ref="A1:V333"/>
  <sheetViews>
    <sheetView workbookViewId="0"/>
  </sheetViews>
  <sheetFormatPr defaultRowHeight="15" x14ac:dyDescent="0.25"/>
  <cols>
    <col min="1" max="1" width="29.28515625" customWidth="1"/>
    <col min="2" max="2" width="32.7109375" customWidth="1"/>
    <col min="3" max="3" width="27.140625" bestFit="1" customWidth="1"/>
    <col min="5" max="5" width="35.85546875" bestFit="1" customWidth="1"/>
    <col min="6" max="7" width="26" bestFit="1" customWidth="1"/>
    <col min="8" max="8" width="20.42578125" bestFit="1" customWidth="1"/>
    <col min="9" max="9" width="3.28515625" bestFit="1" customWidth="1"/>
    <col min="10" max="10" width="25.7109375" bestFit="1" customWidth="1"/>
    <col min="11" max="13" width="26" bestFit="1" customWidth="1"/>
    <col min="14" max="14" width="18.140625" bestFit="1" customWidth="1"/>
    <col min="15" max="15" width="23" bestFit="1" customWidth="1"/>
    <col min="17" max="18" width="17.85546875" bestFit="1" customWidth="1"/>
    <col min="19" max="20" width="26" bestFit="1" customWidth="1"/>
    <col min="21" max="21" width="17.85546875" customWidth="1"/>
    <col min="22" max="22" width="14.42578125" bestFit="1" customWidth="1"/>
  </cols>
  <sheetData>
    <row r="1" spans="1:6" ht="18.75" x14ac:dyDescent="0.3">
      <c r="A1" s="7" t="s">
        <v>44</v>
      </c>
      <c r="B1" s="6"/>
      <c r="C1" s="6"/>
    </row>
    <row r="2" spans="1:6" x14ac:dyDescent="0.25">
      <c r="A2" s="2" t="s">
        <v>337</v>
      </c>
      <c r="B2" s="2" t="s">
        <v>338</v>
      </c>
      <c r="C2" s="2"/>
    </row>
    <row r="3" spans="1:6" x14ac:dyDescent="0.25">
      <c r="A3" s="2"/>
      <c r="B3" s="2"/>
      <c r="C3" s="2"/>
    </row>
    <row r="4" spans="1:6" ht="15.75" x14ac:dyDescent="0.25">
      <c r="A4" s="14" t="s">
        <v>40</v>
      </c>
      <c r="B4" s="14"/>
      <c r="C4" s="14"/>
      <c r="D4" s="14"/>
    </row>
    <row r="5" spans="1:6" x14ac:dyDescent="0.25">
      <c r="A5" t="s">
        <v>28</v>
      </c>
      <c r="B5" t="s">
        <v>29</v>
      </c>
      <c r="C5" t="s">
        <v>30</v>
      </c>
    </row>
    <row r="6" spans="1:6" x14ac:dyDescent="0.25">
      <c r="A6">
        <f>VLOOKUP(Table21[[#Headers],[Common]],Table18[],3,FALSE)*COUNTIF(Table86[[#Headers],[Dragon 1]:[Dragon 10]],"&lt;&gt;0")</f>
        <v>40</v>
      </c>
      <c r="B6">
        <f>VLOOKUP(Table21[[#Headers],[Rare]],Table18[],3,FALSE)*COUNTIF(Table86[[#Headers],[Dragon 1]:[Dragon 10]],"&lt;&gt;0")</f>
        <v>30</v>
      </c>
      <c r="C6">
        <f>VLOOKUP(Table21[[#Headers],[Epic]],Table18[],3,FALSE)*COUNTIF(Table86[[#Headers],[Dragon 1]:[Dragon 10]],"&lt;&gt;0")</f>
        <v>20</v>
      </c>
    </row>
    <row r="8" spans="1:6" ht="15.75" x14ac:dyDescent="0.25">
      <c r="A8" s="1" t="s">
        <v>35</v>
      </c>
      <c r="B8" s="1" t="s">
        <v>36</v>
      </c>
      <c r="C8" s="1" t="s">
        <v>37</v>
      </c>
      <c r="E8" s="14" t="s">
        <v>39</v>
      </c>
      <c r="F8" s="14"/>
    </row>
    <row r="9" spans="1:6" x14ac:dyDescent="0.25">
      <c r="A9" s="1">
        <v>3</v>
      </c>
      <c r="B9" s="1">
        <f t="shared" ref="B9:B16" si="0">FACT(A9)/(FACT($F$10)*FACT(A9-$F$10))</f>
        <v>1</v>
      </c>
      <c r="C9" s="1">
        <f t="shared" ref="C9:C16" si="1">FACT(A9)/(FACT($F$11)*FACT(A9-$F$11))</f>
        <v>1</v>
      </c>
      <c r="E9" s="1" t="s">
        <v>27</v>
      </c>
      <c r="F9" s="1" t="s">
        <v>38</v>
      </c>
    </row>
    <row r="10" spans="1:6" x14ac:dyDescent="0.25">
      <c r="A10" s="1">
        <v>4</v>
      </c>
      <c r="B10" s="1">
        <f t="shared" si="0"/>
        <v>4</v>
      </c>
      <c r="C10" s="1">
        <f t="shared" si="1"/>
        <v>4</v>
      </c>
      <c r="E10" s="1" t="s">
        <v>41</v>
      </c>
      <c r="F10" s="1">
        <v>3</v>
      </c>
    </row>
    <row r="11" spans="1:6" x14ac:dyDescent="0.25">
      <c r="A11" s="1">
        <v>5</v>
      </c>
      <c r="B11" s="1">
        <f t="shared" si="0"/>
        <v>10</v>
      </c>
      <c r="C11" s="1">
        <f t="shared" si="1"/>
        <v>10</v>
      </c>
      <c r="E11" s="1" t="s">
        <v>30</v>
      </c>
      <c r="F11" s="1">
        <v>3</v>
      </c>
    </row>
    <row r="12" spans="1:6" x14ac:dyDescent="0.25">
      <c r="A12" s="1">
        <v>6</v>
      </c>
      <c r="B12" s="1">
        <f t="shared" si="0"/>
        <v>20</v>
      </c>
      <c r="C12" s="1">
        <f t="shared" si="1"/>
        <v>20</v>
      </c>
    </row>
    <row r="13" spans="1:6" ht="15.75" x14ac:dyDescent="0.25">
      <c r="A13" s="1">
        <v>7</v>
      </c>
      <c r="B13" s="1">
        <f t="shared" si="0"/>
        <v>35</v>
      </c>
      <c r="C13" s="1">
        <f t="shared" si="1"/>
        <v>35</v>
      </c>
      <c r="E13" s="20" t="s">
        <v>42</v>
      </c>
      <c r="F13" s="21">
        <f>INDEX(Table19[Number of properties],MATCH(Table21[Rare],Table19[Max number of suits Rare],1)+1)</f>
        <v>7</v>
      </c>
    </row>
    <row r="14" spans="1:6" x14ac:dyDescent="0.25">
      <c r="A14" s="1">
        <v>8</v>
      </c>
      <c r="B14" s="1">
        <f t="shared" si="0"/>
        <v>56</v>
      </c>
      <c r="C14" s="1">
        <f t="shared" si="1"/>
        <v>56</v>
      </c>
    </row>
    <row r="15" spans="1:6" x14ac:dyDescent="0.25">
      <c r="A15" s="1">
        <v>9</v>
      </c>
      <c r="B15" s="1">
        <f t="shared" si="0"/>
        <v>84</v>
      </c>
      <c r="C15" s="1">
        <f t="shared" si="1"/>
        <v>84</v>
      </c>
    </row>
    <row r="16" spans="1:6" x14ac:dyDescent="0.25">
      <c r="A16" s="1">
        <v>10</v>
      </c>
      <c r="B16" s="1">
        <f t="shared" si="0"/>
        <v>120</v>
      </c>
      <c r="C16" s="1">
        <f t="shared" si="1"/>
        <v>120</v>
      </c>
    </row>
    <row r="17" spans="1:8" x14ac:dyDescent="0.25">
      <c r="A17" s="1">
        <v>11</v>
      </c>
      <c r="B17" s="1">
        <f t="shared" ref="B17:B26" si="2">FACT(A17)/(FACT($F$10)*FACT(A17-$F$10))</f>
        <v>165</v>
      </c>
      <c r="C17" s="22">
        <f t="shared" ref="C17:C26" si="3">FACT(A17)/(FACT($F$11)*FACT(A17-$F$11))</f>
        <v>165</v>
      </c>
    </row>
    <row r="18" spans="1:8" x14ac:dyDescent="0.25">
      <c r="A18" s="1">
        <v>12</v>
      </c>
      <c r="B18" s="1">
        <f t="shared" si="2"/>
        <v>220</v>
      </c>
      <c r="C18" s="22">
        <f t="shared" si="3"/>
        <v>220</v>
      </c>
    </row>
    <row r="19" spans="1:8" x14ac:dyDescent="0.25">
      <c r="A19" s="1">
        <v>13</v>
      </c>
      <c r="B19" s="1">
        <f t="shared" si="2"/>
        <v>286</v>
      </c>
      <c r="C19" s="22">
        <f t="shared" si="3"/>
        <v>286</v>
      </c>
    </row>
    <row r="20" spans="1:8" x14ac:dyDescent="0.25">
      <c r="A20" s="1">
        <v>14</v>
      </c>
      <c r="B20" s="1">
        <f t="shared" si="2"/>
        <v>364</v>
      </c>
      <c r="C20" s="22">
        <f t="shared" si="3"/>
        <v>364</v>
      </c>
    </row>
    <row r="21" spans="1:8" x14ac:dyDescent="0.25">
      <c r="A21" s="1">
        <v>15</v>
      </c>
      <c r="B21" s="1">
        <f t="shared" si="2"/>
        <v>455</v>
      </c>
      <c r="C21" s="22">
        <f t="shared" si="3"/>
        <v>455</v>
      </c>
    </row>
    <row r="22" spans="1:8" x14ac:dyDescent="0.25">
      <c r="A22" s="1">
        <v>16</v>
      </c>
      <c r="B22" s="1">
        <f t="shared" si="2"/>
        <v>560</v>
      </c>
      <c r="C22" s="22">
        <f t="shared" si="3"/>
        <v>560</v>
      </c>
    </row>
    <row r="23" spans="1:8" x14ac:dyDescent="0.25">
      <c r="A23" s="1">
        <v>17</v>
      </c>
      <c r="B23" s="1">
        <f t="shared" si="2"/>
        <v>680</v>
      </c>
      <c r="C23" s="22">
        <f t="shared" si="3"/>
        <v>680</v>
      </c>
    </row>
    <row r="24" spans="1:8" x14ac:dyDescent="0.25">
      <c r="A24" s="1">
        <v>18</v>
      </c>
      <c r="B24" s="1">
        <f t="shared" si="2"/>
        <v>816</v>
      </c>
      <c r="C24" s="22">
        <f t="shared" si="3"/>
        <v>816</v>
      </c>
    </row>
    <row r="25" spans="1:8" x14ac:dyDescent="0.25">
      <c r="A25" s="1">
        <v>19</v>
      </c>
      <c r="B25" s="1">
        <f t="shared" si="2"/>
        <v>969</v>
      </c>
      <c r="C25" s="22">
        <f t="shared" si="3"/>
        <v>969</v>
      </c>
    </row>
    <row r="26" spans="1:8" x14ac:dyDescent="0.25">
      <c r="A26" s="1">
        <v>20</v>
      </c>
      <c r="B26" s="1">
        <f t="shared" si="2"/>
        <v>1140</v>
      </c>
      <c r="C26" s="22">
        <f t="shared" si="3"/>
        <v>1140</v>
      </c>
    </row>
    <row r="29" spans="1:8" ht="15.75" x14ac:dyDescent="0.25">
      <c r="A29" s="161" t="s">
        <v>330</v>
      </c>
      <c r="B29" s="160"/>
      <c r="C29" s="160"/>
    </row>
    <row r="30" spans="1:8" ht="15.75" thickBot="1" x14ac:dyDescent="0.3">
      <c r="A30" s="1" t="s">
        <v>332</v>
      </c>
      <c r="B30" s="1" t="s">
        <v>331</v>
      </c>
      <c r="C30" s="1" t="s">
        <v>339</v>
      </c>
      <c r="E30" s="188" t="s">
        <v>332</v>
      </c>
      <c r="F30" s="188" t="s">
        <v>331</v>
      </c>
      <c r="G30" s="188" t="s">
        <v>339</v>
      </c>
      <c r="H30" s="188" t="s">
        <v>384</v>
      </c>
    </row>
    <row r="31" spans="1:8" ht="16.5" thickBot="1" x14ac:dyDescent="0.3">
      <c r="A31" s="1">
        <v>1</v>
      </c>
      <c r="B31" s="1" t="s">
        <v>271</v>
      </c>
      <c r="C31" s="1">
        <v>13</v>
      </c>
      <c r="E31" s="1">
        <v>15</v>
      </c>
      <c r="F31" s="1" t="s">
        <v>291</v>
      </c>
      <c r="G31" s="189">
        <v>2</v>
      </c>
      <c r="H31" s="1">
        <f>Table81[[#This Row],[Order]]+MAX(Table75[Order])</f>
        <v>16</v>
      </c>
    </row>
    <row r="32" spans="1:8" ht="16.5" thickBot="1" x14ac:dyDescent="0.3">
      <c r="A32" s="1">
        <v>2</v>
      </c>
      <c r="B32" s="1" t="s">
        <v>272</v>
      </c>
      <c r="C32" s="1">
        <v>14</v>
      </c>
      <c r="E32" s="1">
        <v>16</v>
      </c>
      <c r="F32" s="1" t="s">
        <v>293</v>
      </c>
      <c r="G32" s="190">
        <v>3</v>
      </c>
      <c r="H32" s="1">
        <f>Table81[[#This Row],[Order]]+MAX(Table75[Order])</f>
        <v>17</v>
      </c>
    </row>
    <row r="33" spans="1:22" ht="16.5" thickBot="1" x14ac:dyDescent="0.3">
      <c r="A33" s="1">
        <v>3</v>
      </c>
      <c r="B33" s="1" t="s">
        <v>273</v>
      </c>
      <c r="C33" s="1">
        <v>7</v>
      </c>
      <c r="E33" s="1">
        <v>17</v>
      </c>
      <c r="F33" s="1" t="s">
        <v>297</v>
      </c>
      <c r="G33" s="189">
        <v>1</v>
      </c>
      <c r="H33" s="1">
        <f>Table81[[#This Row],[Order]]+MAX(Table75[Order])</f>
        <v>15</v>
      </c>
    </row>
    <row r="34" spans="1:22" ht="16.5" thickBot="1" x14ac:dyDescent="0.3">
      <c r="A34" s="1">
        <v>4</v>
      </c>
      <c r="B34" s="1" t="s">
        <v>274</v>
      </c>
      <c r="C34" s="1">
        <v>9</v>
      </c>
      <c r="E34" s="1">
        <v>18</v>
      </c>
      <c r="F34" s="1" t="s">
        <v>298</v>
      </c>
      <c r="G34" s="190">
        <v>4</v>
      </c>
      <c r="H34" s="1">
        <f>Table81[[#This Row],[Order]]+MAX(Table75[Order])</f>
        <v>18</v>
      </c>
    </row>
    <row r="35" spans="1:22" ht="16.5" thickBot="1" x14ac:dyDescent="0.3">
      <c r="A35" s="1">
        <v>5</v>
      </c>
      <c r="B35" s="1" t="s">
        <v>275</v>
      </c>
      <c r="C35" s="1">
        <v>5</v>
      </c>
      <c r="E35" s="1">
        <v>19</v>
      </c>
      <c r="F35" s="1" t="s">
        <v>300</v>
      </c>
      <c r="G35" s="189">
        <v>5</v>
      </c>
      <c r="H35" s="1">
        <f>Table81[[#This Row],[Order]]+MAX(Table75[Order])</f>
        <v>19</v>
      </c>
    </row>
    <row r="36" spans="1:22" ht="16.5" thickBot="1" x14ac:dyDescent="0.3">
      <c r="A36" s="1">
        <v>6</v>
      </c>
      <c r="B36" s="1" t="s">
        <v>276</v>
      </c>
      <c r="C36" s="1">
        <v>8</v>
      </c>
      <c r="E36" s="1">
        <v>20</v>
      </c>
      <c r="F36" s="1" t="s">
        <v>301</v>
      </c>
      <c r="G36" s="190">
        <v>6</v>
      </c>
      <c r="H36" s="1">
        <f>Table81[[#This Row],[Order]]+MAX(Table75[Order])</f>
        <v>20</v>
      </c>
    </row>
    <row r="37" spans="1:22" ht="16.5" thickBot="1" x14ac:dyDescent="0.3">
      <c r="A37" s="1">
        <v>7</v>
      </c>
      <c r="B37" s="1" t="s">
        <v>277</v>
      </c>
      <c r="C37" s="1">
        <v>11</v>
      </c>
      <c r="E37" s="1">
        <v>21</v>
      </c>
      <c r="F37" s="1" t="s">
        <v>302</v>
      </c>
      <c r="G37" s="189">
        <v>7</v>
      </c>
      <c r="H37" s="1">
        <f>Table81[[#This Row],[Order]]+MAX(Table75[Order])</f>
        <v>21</v>
      </c>
    </row>
    <row r="38" spans="1:22" ht="16.5" thickBot="1" x14ac:dyDescent="0.3">
      <c r="A38" s="1">
        <v>8</v>
      </c>
      <c r="B38" s="1" t="s">
        <v>278</v>
      </c>
      <c r="C38" s="1">
        <v>10</v>
      </c>
      <c r="E38" s="1">
        <v>22</v>
      </c>
      <c r="F38" s="1" t="s">
        <v>303</v>
      </c>
      <c r="G38" s="190">
        <v>10</v>
      </c>
      <c r="H38" s="1">
        <f>Table81[[#This Row],[Order]]+MAX(Table75[Order])</f>
        <v>24</v>
      </c>
    </row>
    <row r="39" spans="1:22" ht="16.5" thickBot="1" x14ac:dyDescent="0.3">
      <c r="A39" s="1">
        <v>9</v>
      </c>
      <c r="B39" s="1" t="s">
        <v>288</v>
      </c>
      <c r="C39" s="1">
        <v>4</v>
      </c>
      <c r="E39" s="1">
        <v>23</v>
      </c>
      <c r="F39" s="1" t="s">
        <v>304</v>
      </c>
      <c r="G39" s="189">
        <v>13</v>
      </c>
      <c r="H39" s="1">
        <f>Table81[[#This Row],[Order]]+MAX(Table75[Order])</f>
        <v>27</v>
      </c>
    </row>
    <row r="40" spans="1:22" ht="16.5" thickBot="1" x14ac:dyDescent="0.3">
      <c r="A40" s="1">
        <v>10</v>
      </c>
      <c r="B40" s="1" t="s">
        <v>294</v>
      </c>
      <c r="C40" s="1">
        <v>6</v>
      </c>
      <c r="E40" s="1">
        <v>24</v>
      </c>
      <c r="F40" s="1" t="s">
        <v>305</v>
      </c>
      <c r="G40" s="190">
        <v>12</v>
      </c>
      <c r="H40" s="1">
        <f>Table81[[#This Row],[Order]]+MAX(Table75[Order])</f>
        <v>26</v>
      </c>
    </row>
    <row r="41" spans="1:22" ht="16.5" thickBot="1" x14ac:dyDescent="0.3">
      <c r="A41" s="1">
        <v>11</v>
      </c>
      <c r="B41" s="1" t="s">
        <v>295</v>
      </c>
      <c r="C41" s="1">
        <v>1</v>
      </c>
      <c r="E41" s="1">
        <v>25</v>
      </c>
      <c r="F41" s="1" t="s">
        <v>306</v>
      </c>
      <c r="G41" s="189">
        <v>9</v>
      </c>
      <c r="H41" s="1">
        <f>Table81[[#This Row],[Order]]+MAX(Table75[Order])</f>
        <v>23</v>
      </c>
      <c r="Q41" s="163" t="s">
        <v>346</v>
      </c>
      <c r="R41" s="12"/>
      <c r="S41" s="12"/>
      <c r="T41" s="12"/>
    </row>
    <row r="42" spans="1:22" ht="16.5" thickBot="1" x14ac:dyDescent="0.3">
      <c r="A42" s="1">
        <v>12</v>
      </c>
      <c r="B42" s="1" t="s">
        <v>299</v>
      </c>
      <c r="C42" s="1">
        <v>3</v>
      </c>
      <c r="E42" s="1">
        <v>26</v>
      </c>
      <c r="F42" s="1" t="s">
        <v>307</v>
      </c>
      <c r="G42" s="190">
        <v>14</v>
      </c>
      <c r="H42" s="1">
        <f>Table81[[#This Row],[Order]]+MAX(Table75[Order])</f>
        <v>28</v>
      </c>
      <c r="J42" s="270" t="s">
        <v>341</v>
      </c>
      <c r="K42" s="271"/>
      <c r="L42" s="271"/>
      <c r="M42" s="272"/>
      <c r="Q42" s="164" t="s">
        <v>347</v>
      </c>
      <c r="R42" s="2">
        <v>74</v>
      </c>
    </row>
    <row r="43" spans="1:22" ht="16.5" thickBot="1" x14ac:dyDescent="0.3">
      <c r="A43" s="1">
        <v>13</v>
      </c>
      <c r="B43" s="1" t="s">
        <v>296</v>
      </c>
      <c r="C43" s="1">
        <v>2</v>
      </c>
      <c r="E43" s="1">
        <v>27</v>
      </c>
      <c r="F43" s="1" t="s">
        <v>308</v>
      </c>
      <c r="G43" s="189">
        <v>11</v>
      </c>
      <c r="H43" s="1">
        <f>Table81[[#This Row],[Order]]+MAX(Table75[Order])</f>
        <v>25</v>
      </c>
      <c r="J43" s="273"/>
      <c r="K43" s="274"/>
      <c r="L43" s="274"/>
      <c r="M43" s="275"/>
      <c r="Q43" s="12" t="s">
        <v>348</v>
      </c>
      <c r="R43" s="12" t="s">
        <v>349</v>
      </c>
      <c r="S43" s="12" t="s">
        <v>350</v>
      </c>
      <c r="T43" s="12" t="s">
        <v>351</v>
      </c>
    </row>
    <row r="44" spans="1:22" ht="16.5" thickBot="1" x14ac:dyDescent="0.3">
      <c r="A44" s="1">
        <v>14</v>
      </c>
      <c r="B44" s="1" t="s">
        <v>377</v>
      </c>
      <c r="C44" s="1">
        <v>12</v>
      </c>
      <c r="E44" s="1">
        <v>28</v>
      </c>
      <c r="F44" s="1" t="s">
        <v>326</v>
      </c>
      <c r="G44" s="190">
        <v>8</v>
      </c>
      <c r="H44" s="1">
        <f>Table81[[#This Row],[Order]]+MAX(Table75[Order])</f>
        <v>22</v>
      </c>
      <c r="J44" s="273"/>
      <c r="K44" s="274"/>
      <c r="L44" s="274"/>
      <c r="M44" s="275"/>
      <c r="Q44" s="12"/>
      <c r="R44" s="12"/>
      <c r="S44" s="12"/>
      <c r="T44" s="12"/>
    </row>
    <row r="45" spans="1:22" x14ac:dyDescent="0.25">
      <c r="J45" s="273"/>
      <c r="K45" s="274"/>
      <c r="L45" s="274"/>
      <c r="M45" s="275"/>
      <c r="Q45" s="5" t="str">
        <f>INDEX(Table71[Item 1],MATCH($R$42,Table71[ID],0))</f>
        <v>Boost +</v>
      </c>
      <c r="R45" s="5" t="str">
        <f>INDEX(Table71[Item 2],MATCH($R$42,Table71[ID],0))</f>
        <v>Fire Rush Time +</v>
      </c>
      <c r="S45" s="5" t="str">
        <f>INDEX(Table71[Item 3],MATCH($R$42,Table71[ID],0))</f>
        <v xml:space="preserve">Lower damage from poison </v>
      </c>
      <c r="T45" s="5">
        <f>INDEX(Table71[Perceived_value],MATCH($R$42,Table71[ID],0))</f>
        <v>20</v>
      </c>
    </row>
    <row r="46" spans="1:22" ht="16.5" thickBot="1" x14ac:dyDescent="0.3">
      <c r="A46" s="161" t="s">
        <v>333</v>
      </c>
      <c r="J46" s="276"/>
      <c r="K46" s="277"/>
      <c r="L46" s="277"/>
      <c r="M46" s="278"/>
    </row>
    <row r="47" spans="1:22" x14ac:dyDescent="0.25">
      <c r="A47" s="1" t="s">
        <v>334</v>
      </c>
      <c r="B47" s="1" t="s">
        <v>335</v>
      </c>
      <c r="C47" s="1" t="s">
        <v>336</v>
      </c>
      <c r="E47" s="1" t="s">
        <v>334</v>
      </c>
      <c r="F47" s="1" t="s">
        <v>335</v>
      </c>
      <c r="G47" s="1" t="s">
        <v>336</v>
      </c>
      <c r="H47" s="1" t="s">
        <v>340</v>
      </c>
      <c r="J47" t="s">
        <v>163</v>
      </c>
      <c r="K47" t="s">
        <v>334</v>
      </c>
      <c r="L47" t="s">
        <v>335</v>
      </c>
      <c r="M47" t="s">
        <v>336</v>
      </c>
      <c r="N47" t="s">
        <v>340</v>
      </c>
      <c r="O47" t="s">
        <v>342</v>
      </c>
      <c r="Q47" s="12" t="s">
        <v>163</v>
      </c>
      <c r="R47" s="12" t="s">
        <v>334</v>
      </c>
      <c r="S47" s="12" t="s">
        <v>335</v>
      </c>
      <c r="T47" s="12" t="s">
        <v>336</v>
      </c>
      <c r="U47" s="12" t="s">
        <v>340</v>
      </c>
      <c r="V47" s="12" t="s">
        <v>354</v>
      </c>
    </row>
    <row r="48" spans="1:22" x14ac:dyDescent="0.25">
      <c r="A48" s="162">
        <v>1</v>
      </c>
      <c r="B48" s="1">
        <v>2</v>
      </c>
      <c r="C48" s="1">
        <v>3</v>
      </c>
      <c r="E48" s="162" t="str">
        <f>INDEX(Table75[Power_list],Table76[[#This Row],[Item 1]])</f>
        <v>HP +</v>
      </c>
      <c r="F48" s="162" t="str">
        <f>INDEX(Table75[Power_list],Table76[[#This Row],[Item 2]])</f>
        <v>Life Drain Reduced</v>
      </c>
      <c r="G48" s="162" t="str">
        <f>INDEX(Table75[Power_list],Table76[[#This Row],[Item 3]])</f>
        <v>Speed +</v>
      </c>
      <c r="H48" s="1">
        <f>INDEX($C$31:$C$44,MATCH(Table7678[[#This Row],[Item 2]],Table75[Power_list],0))+INDEX($C$31:$C$44,MATCH(Table7678[[#This Row],[Item 1]],Table75[Power_list],0))+INDEX($C$31:$C$44,MATCH(Table7678[[#This Row],[Item 3]],Table75[Power_list],0))</f>
        <v>34</v>
      </c>
      <c r="J48" s="1">
        <v>1</v>
      </c>
      <c r="K48" s="1" t="s">
        <v>271</v>
      </c>
      <c r="L48" s="1" t="s">
        <v>272</v>
      </c>
      <c r="M48" s="1" t="s">
        <v>273</v>
      </c>
      <c r="N48" s="1">
        <v>32</v>
      </c>
      <c r="O48" s="1" t="b">
        <f>(IFERROR(FIND("Lower",Table78[[#This Row],[Item 1]]),0)+IFERROR(FIND("Lower",Table78[[#This Row],[Item 2]]),0)+IFERROR(FIND("Lower",Table78[[#This Row],[Item 3]]),0))&lt;2</f>
        <v>1</v>
      </c>
      <c r="Q48" s="1">
        <v>1</v>
      </c>
      <c r="R48" s="1" t="s">
        <v>275</v>
      </c>
      <c r="S48" s="1" t="s">
        <v>288</v>
      </c>
      <c r="T48" s="1" t="s">
        <v>295</v>
      </c>
      <c r="U48" s="1">
        <v>10</v>
      </c>
      <c r="V48" s="1" t="b">
        <v>1</v>
      </c>
    </row>
    <row r="49" spans="1:22" x14ac:dyDescent="0.25">
      <c r="A49" s="162">
        <v>1</v>
      </c>
      <c r="B49" s="1">
        <v>2</v>
      </c>
      <c r="C49" s="1">
        <v>4</v>
      </c>
      <c r="E49" s="162" t="str">
        <f>INDEX(Table75[Power_list],Table76[[#This Row],[Item 1]])</f>
        <v>HP +</v>
      </c>
      <c r="F49" s="162" t="str">
        <f>INDEX(Table75[Power_list],Table76[[#This Row],[Item 2]])</f>
        <v>Life Drain Reduced</v>
      </c>
      <c r="G49" s="162" t="str">
        <f>INDEX(Table75[Power_list],Table76[[#This Row],[Item 3]])</f>
        <v>Boost +</v>
      </c>
      <c r="H49" s="1">
        <f>INDEX($C$31:$C$44,MATCH(Table7678[[#This Row],[Item 2]],Table75[Power_list],0))+INDEX($C$31:$C$44,MATCH(Table7678[[#This Row],[Item 1]],Table75[Power_list],0))+INDEX($C$31:$C$44,MATCH(Table7678[[#This Row],[Item 3]],Table75[Power_list],0))</f>
        <v>36</v>
      </c>
      <c r="J49" s="1">
        <v>2</v>
      </c>
      <c r="K49" s="1" t="s">
        <v>271</v>
      </c>
      <c r="L49" s="1" t="s">
        <v>272</v>
      </c>
      <c r="M49" s="1" t="s">
        <v>274</v>
      </c>
      <c r="N49" s="1">
        <v>34</v>
      </c>
      <c r="O49" s="1" t="b">
        <f>(IFERROR(FIND("Lower",Table78[[#This Row],[Item 1]]),0)+IFERROR(FIND("Lower",Table78[[#This Row],[Item 2]]),0)+IFERROR(FIND("Lower",Table78[[#This Row],[Item 3]]),0))&lt;2</f>
        <v>1</v>
      </c>
      <c r="Q49" s="1">
        <v>2</v>
      </c>
      <c r="R49" s="1" t="s">
        <v>275</v>
      </c>
      <c r="S49" s="1" t="s">
        <v>288</v>
      </c>
      <c r="T49" s="1" t="s">
        <v>296</v>
      </c>
      <c r="U49" s="1">
        <v>11</v>
      </c>
      <c r="V49" s="1" t="b">
        <v>1</v>
      </c>
    </row>
    <row r="50" spans="1:22" x14ac:dyDescent="0.25">
      <c r="A50" s="162">
        <v>1</v>
      </c>
      <c r="B50" s="1">
        <v>2</v>
      </c>
      <c r="C50" s="1">
        <v>5</v>
      </c>
      <c r="E50" s="162" t="str">
        <f>INDEX(Table75[Power_list],Table76[[#This Row],[Item 1]])</f>
        <v>HP +</v>
      </c>
      <c r="F50" s="162" t="str">
        <f>INDEX(Table75[Power_list],Table76[[#This Row],[Item 2]])</f>
        <v>Life Drain Reduced</v>
      </c>
      <c r="G50" s="162" t="str">
        <f>INDEX(Table75[Power_list],Table76[[#This Row],[Item 3]])</f>
        <v>Fire (size) +</v>
      </c>
      <c r="H50" s="1">
        <f>INDEX($C$31:$C$44,MATCH(Table7678[[#This Row],[Item 2]],Table75[Power_list],0))+INDEX($C$31:$C$44,MATCH(Table7678[[#This Row],[Item 1]],Table75[Power_list],0))+INDEX($C$31:$C$44,MATCH(Table7678[[#This Row],[Item 3]],Table75[Power_list],0))</f>
        <v>32</v>
      </c>
      <c r="J50" s="1">
        <v>3</v>
      </c>
      <c r="K50" s="1" t="s">
        <v>271</v>
      </c>
      <c r="L50" s="1" t="s">
        <v>272</v>
      </c>
      <c r="M50" s="1" t="s">
        <v>275</v>
      </c>
      <c r="N50" s="1">
        <v>30</v>
      </c>
      <c r="O50" s="1" t="b">
        <f>(IFERROR(FIND("Lower",Table78[[#This Row],[Item 1]]),0)+IFERROR(FIND("Lower",Table78[[#This Row],[Item 2]]),0)+IFERROR(FIND("Lower",Table78[[#This Row],[Item 3]]),0))&lt;2</f>
        <v>1</v>
      </c>
      <c r="Q50" s="1">
        <v>3</v>
      </c>
      <c r="R50" s="1" t="s">
        <v>273</v>
      </c>
      <c r="S50" s="1" t="s">
        <v>288</v>
      </c>
      <c r="T50" s="1" t="s">
        <v>295</v>
      </c>
      <c r="U50" s="1">
        <v>12</v>
      </c>
      <c r="V50" s="1" t="b">
        <v>1</v>
      </c>
    </row>
    <row r="51" spans="1:22" x14ac:dyDescent="0.25">
      <c r="A51" s="162">
        <v>1</v>
      </c>
      <c r="B51" s="1">
        <v>2</v>
      </c>
      <c r="C51" s="1">
        <v>6</v>
      </c>
      <c r="E51" s="162" t="str">
        <f>INDEX(Table75[Power_list],Table76[[#This Row],[Item 1]])</f>
        <v>HP +</v>
      </c>
      <c r="F51" s="162" t="str">
        <f>INDEX(Table75[Power_list],Table76[[#This Row],[Item 2]])</f>
        <v>Life Drain Reduced</v>
      </c>
      <c r="G51" s="162" t="str">
        <f>INDEX(Table75[Power_list],Table76[[#This Row],[Item 3]])</f>
        <v>Fire Rush Time +</v>
      </c>
      <c r="H51" s="1">
        <f>INDEX($C$31:$C$44,MATCH(Table7678[[#This Row],[Item 2]],Table75[Power_list],0))+INDEX($C$31:$C$44,MATCH(Table7678[[#This Row],[Item 1]],Table75[Power_list],0))+INDEX($C$31:$C$44,MATCH(Table7678[[#This Row],[Item 3]],Table75[Power_list],0))</f>
        <v>35</v>
      </c>
      <c r="J51" s="1">
        <v>4</v>
      </c>
      <c r="K51" s="1" t="s">
        <v>271</v>
      </c>
      <c r="L51" s="1" t="s">
        <v>272</v>
      </c>
      <c r="M51" s="1" t="s">
        <v>276</v>
      </c>
      <c r="N51" s="1">
        <v>33</v>
      </c>
      <c r="O51" s="1" t="b">
        <f>(IFERROR(FIND("Lower",Table78[[#This Row],[Item 1]]),0)+IFERROR(FIND("Lower",Table78[[#This Row],[Item 2]]),0)+IFERROR(FIND("Lower",Table78[[#This Row],[Item 3]]),0))&lt;2</f>
        <v>1</v>
      </c>
      <c r="Q51" s="1">
        <v>4</v>
      </c>
      <c r="R51" s="1" t="s">
        <v>275</v>
      </c>
      <c r="S51" s="1" t="s">
        <v>288</v>
      </c>
      <c r="T51" s="1" t="s">
        <v>299</v>
      </c>
      <c r="U51" s="1">
        <v>12</v>
      </c>
      <c r="V51" s="1" t="b">
        <v>1</v>
      </c>
    </row>
    <row r="52" spans="1:22" x14ac:dyDescent="0.25">
      <c r="A52" s="162">
        <v>1</v>
      </c>
      <c r="B52" s="1">
        <v>2</v>
      </c>
      <c r="C52" s="1">
        <v>7</v>
      </c>
      <c r="E52" s="162" t="str">
        <f>INDEX(Table75[Power_list],Table76[[#This Row],[Item 1]])</f>
        <v>HP +</v>
      </c>
      <c r="F52" s="162" t="str">
        <f>INDEX(Table75[Power_list],Table76[[#This Row],[Item 2]])</f>
        <v>Life Drain Reduced</v>
      </c>
      <c r="G52" s="162" t="str">
        <f>INDEX(Table75[Power_list],Table76[[#This Row],[Item 3]])</f>
        <v>SC +</v>
      </c>
      <c r="H52" s="1">
        <f>INDEX($C$31:$C$44,MATCH(Table7678[[#This Row],[Item 2]],Table75[Power_list],0))+INDEX($C$31:$C$44,MATCH(Table7678[[#This Row],[Item 1]],Table75[Power_list],0))+INDEX($C$31:$C$44,MATCH(Table7678[[#This Row],[Item 3]],Table75[Power_list],0))</f>
        <v>38</v>
      </c>
      <c r="J52" s="1">
        <v>5</v>
      </c>
      <c r="K52" s="1" t="s">
        <v>271</v>
      </c>
      <c r="L52" s="1" t="s">
        <v>272</v>
      </c>
      <c r="M52" s="1" t="s">
        <v>277</v>
      </c>
      <c r="N52" s="1">
        <v>36</v>
      </c>
      <c r="O52" s="1" t="b">
        <f>(IFERROR(FIND("Lower",Table78[[#This Row],[Item 1]]),0)+IFERROR(FIND("Lower",Table78[[#This Row],[Item 2]]),0)+IFERROR(FIND("Lower",Table78[[#This Row],[Item 3]]),0))&lt;2</f>
        <v>1</v>
      </c>
      <c r="Q52" s="1">
        <v>5</v>
      </c>
      <c r="R52" s="1" t="s">
        <v>273</v>
      </c>
      <c r="S52" s="1" t="s">
        <v>275</v>
      </c>
      <c r="T52" s="1" t="s">
        <v>295</v>
      </c>
      <c r="U52" s="1">
        <v>13</v>
      </c>
      <c r="V52" s="1" t="b">
        <v>1</v>
      </c>
    </row>
    <row r="53" spans="1:22" x14ac:dyDescent="0.25">
      <c r="A53" s="162">
        <v>1</v>
      </c>
      <c r="B53" s="1">
        <v>2</v>
      </c>
      <c r="C53" s="1">
        <v>8</v>
      </c>
      <c r="E53" s="162" t="str">
        <f>INDEX(Table75[Power_list],Table76[[#This Row],[Item 1]])</f>
        <v>HP +</v>
      </c>
      <c r="F53" s="162" t="str">
        <f>INDEX(Table75[Power_list],Table76[[#This Row],[Item 2]])</f>
        <v>Life Drain Reduced</v>
      </c>
      <c r="G53" s="162" t="str">
        <f>INDEX(Table75[Power_list],Table76[[#This Row],[Item 3]])</f>
        <v>Score +</v>
      </c>
      <c r="H53" s="1">
        <f>INDEX($C$31:$C$44,MATCH(Table7678[[#This Row],[Item 2]],Table75[Power_list],0))+INDEX($C$31:$C$44,MATCH(Table7678[[#This Row],[Item 1]],Table75[Power_list],0))+INDEX($C$31:$C$44,MATCH(Table7678[[#This Row],[Item 3]],Table75[Power_list],0))</f>
        <v>37</v>
      </c>
      <c r="J53" s="1">
        <v>6</v>
      </c>
      <c r="K53" s="1" t="s">
        <v>271</v>
      </c>
      <c r="L53" s="1" t="s">
        <v>272</v>
      </c>
      <c r="M53" s="1" t="s">
        <v>278</v>
      </c>
      <c r="N53" s="1">
        <v>35</v>
      </c>
      <c r="O53" s="1" t="b">
        <f>(IFERROR(FIND("Lower",Table78[[#This Row],[Item 1]]),0)+IFERROR(FIND("Lower",Table78[[#This Row],[Item 2]]),0)+IFERROR(FIND("Lower",Table78[[#This Row],[Item 3]]),0))&lt;2</f>
        <v>1</v>
      </c>
      <c r="Q53" s="1">
        <v>6</v>
      </c>
      <c r="R53" s="1" t="s">
        <v>273</v>
      </c>
      <c r="S53" s="1" t="s">
        <v>288</v>
      </c>
      <c r="T53" s="1" t="s">
        <v>296</v>
      </c>
      <c r="U53" s="1">
        <v>13</v>
      </c>
      <c r="V53" s="1" t="b">
        <v>1</v>
      </c>
    </row>
    <row r="54" spans="1:22" x14ac:dyDescent="0.25">
      <c r="A54" s="162">
        <v>1</v>
      </c>
      <c r="B54" s="1">
        <v>2</v>
      </c>
      <c r="C54" s="1">
        <v>9</v>
      </c>
      <c r="E54" s="162" t="str">
        <f>INDEX(Table75[Power_list],Table76[[#This Row],[Item 1]])</f>
        <v>HP +</v>
      </c>
      <c r="F54" s="162" t="str">
        <f>INDEX(Table75[Power_list],Table76[[#This Row],[Item 2]])</f>
        <v>Life Drain Reduced</v>
      </c>
      <c r="G54" s="162" t="str">
        <f>INDEX(Table75[Power_list],Table76[[#This Row],[Item 3]])</f>
        <v>Food +</v>
      </c>
      <c r="H54" s="1">
        <f>INDEX($C$31:$C$44,MATCH(Table7678[[#This Row],[Item 2]],Table75[Power_list],0))+INDEX($C$31:$C$44,MATCH(Table7678[[#This Row],[Item 1]],Table75[Power_list],0))+INDEX($C$31:$C$44,MATCH(Table7678[[#This Row],[Item 3]],Table75[Power_list],0))</f>
        <v>31</v>
      </c>
      <c r="J54" s="1">
        <v>7</v>
      </c>
      <c r="K54" s="1" t="s">
        <v>271</v>
      </c>
      <c r="L54" s="1" t="s">
        <v>272</v>
      </c>
      <c r="M54" s="1" t="s">
        <v>288</v>
      </c>
      <c r="N54" s="1">
        <v>29</v>
      </c>
      <c r="O54" s="1" t="b">
        <f>(IFERROR(FIND("Lower",Table78[[#This Row],[Item 1]]),0)+IFERROR(FIND("Lower",Table78[[#This Row],[Item 2]]),0)+IFERROR(FIND("Lower",Table78[[#This Row],[Item 3]]),0))&lt;2</f>
        <v>1</v>
      </c>
      <c r="Q54" s="1">
        <v>7</v>
      </c>
      <c r="R54" s="1" t="s">
        <v>276</v>
      </c>
      <c r="S54" s="1" t="s">
        <v>288</v>
      </c>
      <c r="T54" s="1" t="s">
        <v>295</v>
      </c>
      <c r="U54" s="1">
        <v>13</v>
      </c>
      <c r="V54" s="1" t="b">
        <v>1</v>
      </c>
    </row>
    <row r="55" spans="1:22" x14ac:dyDescent="0.25">
      <c r="A55" s="162">
        <v>1</v>
      </c>
      <c r="B55" s="1">
        <v>2</v>
      </c>
      <c r="C55" s="1">
        <v>10</v>
      </c>
      <c r="E55" s="162" t="str">
        <f>INDEX(Table75[Power_list],Table76[[#This Row],[Item 1]])</f>
        <v>HP +</v>
      </c>
      <c r="F55" s="162" t="str">
        <f>INDEX(Table75[Power_list],Table76[[#This Row],[Item 2]])</f>
        <v>Life Drain Reduced</v>
      </c>
      <c r="G55" s="162" t="str">
        <f>INDEX(Table75[Power_list],Table76[[#This Row],[Item 3]])</f>
        <v xml:space="preserve">Lower damage from mines </v>
      </c>
      <c r="H55" s="1">
        <f>INDEX($C$31:$C$44,MATCH(Table7678[[#This Row],[Item 2]],Table75[Power_list],0))+INDEX($C$31:$C$44,MATCH(Table7678[[#This Row],[Item 1]],Table75[Power_list],0))+INDEX($C$31:$C$44,MATCH(Table7678[[#This Row],[Item 3]],Table75[Power_list],0))</f>
        <v>33</v>
      </c>
      <c r="J55" s="1">
        <v>8</v>
      </c>
      <c r="K55" s="1" t="s">
        <v>271</v>
      </c>
      <c r="L55" s="1" t="s">
        <v>272</v>
      </c>
      <c r="M55" s="1" t="s">
        <v>294</v>
      </c>
      <c r="N55" s="1">
        <v>31</v>
      </c>
      <c r="O55" s="1" t="b">
        <f>(IFERROR(FIND("Lower",Table78[[#This Row],[Item 1]]),0)+IFERROR(FIND("Lower",Table78[[#This Row],[Item 2]]),0)+IFERROR(FIND("Lower",Table78[[#This Row],[Item 3]]),0))&lt;2</f>
        <v>1</v>
      </c>
      <c r="Q55" s="1">
        <v>8</v>
      </c>
      <c r="R55" s="1" t="s">
        <v>273</v>
      </c>
      <c r="S55" s="1" t="s">
        <v>275</v>
      </c>
      <c r="T55" s="1" t="s">
        <v>296</v>
      </c>
      <c r="U55" s="1">
        <v>14</v>
      </c>
      <c r="V55" s="1" t="b">
        <v>1</v>
      </c>
    </row>
    <row r="56" spans="1:22" x14ac:dyDescent="0.25">
      <c r="A56" s="162">
        <v>1</v>
      </c>
      <c r="B56" s="1">
        <v>2</v>
      </c>
      <c r="C56" s="1">
        <v>11</v>
      </c>
      <c r="E56" s="162" t="str">
        <f>INDEX(Table75[Power_list],Table76[[#This Row],[Item 1]])</f>
        <v>HP +</v>
      </c>
      <c r="F56" s="162" t="str">
        <f>INDEX(Table75[Power_list],Table76[[#This Row],[Item 2]])</f>
        <v>Life Drain Reduced</v>
      </c>
      <c r="G56" s="162" t="str">
        <f>INDEX(Table75[Power_list],Table76[[#This Row],[Item 3]])</f>
        <v xml:space="preserve">Lower damage from ghosts </v>
      </c>
      <c r="H56" s="1">
        <f>INDEX($C$31:$C$44,MATCH(Table7678[[#This Row],[Item 2]],Table75[Power_list],0))+INDEX($C$31:$C$44,MATCH(Table7678[[#This Row],[Item 1]],Table75[Power_list],0))+INDEX($C$31:$C$44,MATCH(Table7678[[#This Row],[Item 3]],Table75[Power_list],0))</f>
        <v>28</v>
      </c>
      <c r="J56" s="1">
        <v>9</v>
      </c>
      <c r="K56" s="1" t="s">
        <v>271</v>
      </c>
      <c r="L56" s="1" t="s">
        <v>272</v>
      </c>
      <c r="M56" s="1" t="s">
        <v>295</v>
      </c>
      <c r="N56" s="1">
        <v>26</v>
      </c>
      <c r="O56" s="1" t="b">
        <f>(IFERROR(FIND("Lower",Table78[[#This Row],[Item 1]]),0)+IFERROR(FIND("Lower",Table78[[#This Row],[Item 2]]),0)+IFERROR(FIND("Lower",Table78[[#This Row],[Item 3]]),0))&lt;2</f>
        <v>1</v>
      </c>
      <c r="Q56" s="1">
        <v>9</v>
      </c>
      <c r="R56" s="1" t="s">
        <v>273</v>
      </c>
      <c r="S56" s="1" t="s">
        <v>288</v>
      </c>
      <c r="T56" s="1" t="s">
        <v>299</v>
      </c>
      <c r="U56" s="1">
        <v>14</v>
      </c>
      <c r="V56" s="1" t="b">
        <v>1</v>
      </c>
    </row>
    <row r="57" spans="1:22" x14ac:dyDescent="0.25">
      <c r="A57" s="162">
        <v>1</v>
      </c>
      <c r="B57" s="1">
        <v>2</v>
      </c>
      <c r="C57" s="1">
        <v>12</v>
      </c>
      <c r="E57" s="162" t="str">
        <f>INDEX(Table75[Power_list],Table76[[#This Row],[Item 1]])</f>
        <v>HP +</v>
      </c>
      <c r="F57" s="162" t="str">
        <f>INDEX(Table75[Power_list],Table76[[#This Row],[Item 2]])</f>
        <v>Life Drain Reduced</v>
      </c>
      <c r="G57" s="162" t="str">
        <f>INDEX(Table75[Power_list],Table76[[#This Row],[Item 3]])</f>
        <v xml:space="preserve">Lower damage from poison </v>
      </c>
      <c r="H57" s="1">
        <f>INDEX($C$31:$C$44,MATCH(Table7678[[#This Row],[Item 2]],Table75[Power_list],0))+INDEX($C$31:$C$44,MATCH(Table7678[[#This Row],[Item 1]],Table75[Power_list],0))+INDEX($C$31:$C$44,MATCH(Table7678[[#This Row],[Item 3]],Table75[Power_list],0))</f>
        <v>30</v>
      </c>
      <c r="J57" s="1">
        <v>10</v>
      </c>
      <c r="K57" s="1" t="s">
        <v>271</v>
      </c>
      <c r="L57" s="1" t="s">
        <v>272</v>
      </c>
      <c r="M57" s="1" t="s">
        <v>299</v>
      </c>
      <c r="N57" s="1">
        <v>28</v>
      </c>
      <c r="O57" s="1" t="b">
        <f>(IFERROR(FIND("Lower",Table78[[#This Row],[Item 1]]),0)+IFERROR(FIND("Lower",Table78[[#This Row],[Item 2]]),0)+IFERROR(FIND("Lower",Table78[[#This Row],[Item 3]]),0))&lt;2</f>
        <v>1</v>
      </c>
      <c r="Q57" s="1">
        <v>10</v>
      </c>
      <c r="R57" s="1" t="s">
        <v>274</v>
      </c>
      <c r="S57" s="1" t="s">
        <v>288</v>
      </c>
      <c r="T57" s="1" t="s">
        <v>295</v>
      </c>
      <c r="U57" s="1">
        <v>14</v>
      </c>
      <c r="V57" s="1" t="b">
        <v>1</v>
      </c>
    </row>
    <row r="58" spans="1:22" x14ac:dyDescent="0.25">
      <c r="A58" s="162">
        <v>1</v>
      </c>
      <c r="B58" s="1">
        <v>2</v>
      </c>
      <c r="C58" s="1">
        <v>13</v>
      </c>
      <c r="E58" s="162" t="str">
        <f>INDEX(Table75[Power_list],Table76[[#This Row],[Item 1]])</f>
        <v>HP +</v>
      </c>
      <c r="F58" s="162" t="str">
        <f>INDEX(Table75[Power_list],Table76[[#This Row],[Item 2]])</f>
        <v>Life Drain Reduced</v>
      </c>
      <c r="G58" s="162" t="str">
        <f>INDEX(Table75[Power_list],Table76[[#This Row],[Item 3]])</f>
        <v xml:space="preserve">Lower damage from arrows </v>
      </c>
      <c r="H58" s="1">
        <f>INDEX($C$31:$C$44,MATCH(Table7678[[#This Row],[Item 2]],Table75[Power_list],0))+INDEX($C$31:$C$44,MATCH(Table7678[[#This Row],[Item 1]],Table75[Power_list],0))+INDEX($C$31:$C$44,MATCH(Table7678[[#This Row],[Item 3]],Table75[Power_list],0))</f>
        <v>29</v>
      </c>
      <c r="J58" s="1">
        <v>11</v>
      </c>
      <c r="K58" s="1" t="s">
        <v>271</v>
      </c>
      <c r="L58" s="1" t="s">
        <v>272</v>
      </c>
      <c r="M58" s="1" t="s">
        <v>296</v>
      </c>
      <c r="N58" s="1">
        <v>27</v>
      </c>
      <c r="O58" s="1" t="b">
        <f>(IFERROR(FIND("Lower",Table78[[#This Row],[Item 1]]),0)+IFERROR(FIND("Lower",Table78[[#This Row],[Item 2]]),0)+IFERROR(FIND("Lower",Table78[[#This Row],[Item 3]]),0))&lt;2</f>
        <v>1</v>
      </c>
      <c r="Q58" s="1">
        <v>11</v>
      </c>
      <c r="R58" s="1" t="s">
        <v>275</v>
      </c>
      <c r="S58" s="1" t="s">
        <v>276</v>
      </c>
      <c r="T58" s="1" t="s">
        <v>295</v>
      </c>
      <c r="U58" s="1">
        <v>14</v>
      </c>
      <c r="V58" s="1" t="b">
        <v>1</v>
      </c>
    </row>
    <row r="59" spans="1:22" x14ac:dyDescent="0.25">
      <c r="A59" s="162">
        <v>1</v>
      </c>
      <c r="B59" s="1">
        <v>3</v>
      </c>
      <c r="C59" s="1">
        <v>4</v>
      </c>
      <c r="E59" s="162" t="str">
        <f>INDEX(Table75[Power_list],Table76[[#This Row],[Item 1]])</f>
        <v>HP +</v>
      </c>
      <c r="F59" s="162" t="str">
        <f>INDEX(Table75[Power_list],Table76[[#This Row],[Item 2]])</f>
        <v>Speed +</v>
      </c>
      <c r="G59" s="162" t="str">
        <f>INDEX(Table75[Power_list],Table76[[#This Row],[Item 3]])</f>
        <v>Boost +</v>
      </c>
      <c r="H59" s="1">
        <f>INDEX($C$31:$C$44,MATCH(Table7678[[#This Row],[Item 2]],Table75[Power_list],0))+INDEX($C$31:$C$44,MATCH(Table7678[[#This Row],[Item 1]],Table75[Power_list],0))+INDEX($C$31:$C$44,MATCH(Table7678[[#This Row],[Item 3]],Table75[Power_list],0))</f>
        <v>29</v>
      </c>
      <c r="J59" s="1">
        <v>12</v>
      </c>
      <c r="K59" s="1" t="s">
        <v>271</v>
      </c>
      <c r="L59" s="1" t="s">
        <v>273</v>
      </c>
      <c r="M59" s="1" t="s">
        <v>274</v>
      </c>
      <c r="N59" s="1">
        <v>28</v>
      </c>
      <c r="O59" s="1" t="b">
        <f>(IFERROR(FIND("Lower",Table78[[#This Row],[Item 1]]),0)+IFERROR(FIND("Lower",Table78[[#This Row],[Item 2]]),0)+IFERROR(FIND("Lower",Table78[[#This Row],[Item 3]]),0))&lt;2</f>
        <v>1</v>
      </c>
      <c r="Q59" s="1">
        <v>12</v>
      </c>
      <c r="R59" s="1" t="s">
        <v>276</v>
      </c>
      <c r="S59" s="1" t="s">
        <v>288</v>
      </c>
      <c r="T59" s="1" t="s">
        <v>296</v>
      </c>
      <c r="U59" s="1">
        <v>14</v>
      </c>
      <c r="V59" s="1" t="b">
        <v>1</v>
      </c>
    </row>
    <row r="60" spans="1:22" x14ac:dyDescent="0.25">
      <c r="A60" s="162">
        <v>1</v>
      </c>
      <c r="B60" s="1">
        <v>3</v>
      </c>
      <c r="C60" s="1">
        <v>5</v>
      </c>
      <c r="E60" s="162" t="str">
        <f>INDEX(Table75[Power_list],Table76[[#This Row],[Item 1]])</f>
        <v>HP +</v>
      </c>
      <c r="F60" s="162" t="str">
        <f>INDEX(Table75[Power_list],Table76[[#This Row],[Item 2]])</f>
        <v>Speed +</v>
      </c>
      <c r="G60" s="162" t="str">
        <f>INDEX(Table75[Power_list],Table76[[#This Row],[Item 3]])</f>
        <v>Fire (size) +</v>
      </c>
      <c r="H60" s="1">
        <f>INDEX($C$31:$C$44,MATCH(Table7678[[#This Row],[Item 2]],Table75[Power_list],0))+INDEX($C$31:$C$44,MATCH(Table7678[[#This Row],[Item 1]],Table75[Power_list],0))+INDEX($C$31:$C$44,MATCH(Table7678[[#This Row],[Item 3]],Table75[Power_list],0))</f>
        <v>25</v>
      </c>
      <c r="J60" s="1">
        <v>13</v>
      </c>
      <c r="K60" s="1" t="s">
        <v>271</v>
      </c>
      <c r="L60" s="1" t="s">
        <v>273</v>
      </c>
      <c r="M60" s="1" t="s">
        <v>275</v>
      </c>
      <c r="N60" s="1">
        <v>24</v>
      </c>
      <c r="O60" s="1" t="b">
        <f>(IFERROR(FIND("Lower",Table78[[#This Row],[Item 1]]),0)+IFERROR(FIND("Lower",Table78[[#This Row],[Item 2]]),0)+IFERROR(FIND("Lower",Table78[[#This Row],[Item 3]]),0))&lt;2</f>
        <v>1</v>
      </c>
      <c r="Q60" s="1">
        <v>13</v>
      </c>
      <c r="R60" s="1" t="s">
        <v>273</v>
      </c>
      <c r="S60" s="1" t="s">
        <v>275</v>
      </c>
      <c r="T60" s="1" t="s">
        <v>299</v>
      </c>
      <c r="U60" s="1">
        <v>15</v>
      </c>
      <c r="V60" s="1" t="b">
        <v>1</v>
      </c>
    </row>
    <row r="61" spans="1:22" x14ac:dyDescent="0.25">
      <c r="A61" s="162">
        <v>1</v>
      </c>
      <c r="B61" s="1">
        <v>3</v>
      </c>
      <c r="C61" s="1">
        <v>6</v>
      </c>
      <c r="E61" s="162" t="str">
        <f>INDEX(Table75[Power_list],Table76[[#This Row],[Item 1]])</f>
        <v>HP +</v>
      </c>
      <c r="F61" s="162" t="str">
        <f>INDEX(Table75[Power_list],Table76[[#This Row],[Item 2]])</f>
        <v>Speed +</v>
      </c>
      <c r="G61" s="162" t="str">
        <f>INDEX(Table75[Power_list],Table76[[#This Row],[Item 3]])</f>
        <v>Fire Rush Time +</v>
      </c>
      <c r="H61" s="1">
        <f>INDEX($C$31:$C$44,MATCH(Table7678[[#This Row],[Item 2]],Table75[Power_list],0))+INDEX($C$31:$C$44,MATCH(Table7678[[#This Row],[Item 1]],Table75[Power_list],0))+INDEX($C$31:$C$44,MATCH(Table7678[[#This Row],[Item 3]],Table75[Power_list],0))</f>
        <v>28</v>
      </c>
      <c r="J61" s="1">
        <v>14</v>
      </c>
      <c r="K61" s="1" t="s">
        <v>271</v>
      </c>
      <c r="L61" s="1" t="s">
        <v>273</v>
      </c>
      <c r="M61" s="1" t="s">
        <v>276</v>
      </c>
      <c r="N61" s="1">
        <v>27</v>
      </c>
      <c r="O61" s="1" t="b">
        <f>(IFERROR(FIND("Lower",Table78[[#This Row],[Item 1]]),0)+IFERROR(FIND("Lower",Table78[[#This Row],[Item 2]]),0)+IFERROR(FIND("Lower",Table78[[#This Row],[Item 3]]),0))&lt;2</f>
        <v>1</v>
      </c>
      <c r="Q61" s="1">
        <v>14</v>
      </c>
      <c r="R61" s="1" t="s">
        <v>274</v>
      </c>
      <c r="S61" s="1" t="s">
        <v>275</v>
      </c>
      <c r="T61" s="1" t="s">
        <v>295</v>
      </c>
      <c r="U61" s="1">
        <v>15</v>
      </c>
      <c r="V61" s="1" t="b">
        <v>1</v>
      </c>
    </row>
    <row r="62" spans="1:22" x14ac:dyDescent="0.25">
      <c r="A62" s="162">
        <v>1</v>
      </c>
      <c r="B62" s="1">
        <v>3</v>
      </c>
      <c r="C62" s="1">
        <v>7</v>
      </c>
      <c r="E62" s="162" t="str">
        <f>INDEX(Table75[Power_list],Table76[[#This Row],[Item 1]])</f>
        <v>HP +</v>
      </c>
      <c r="F62" s="162" t="str">
        <f>INDEX(Table75[Power_list],Table76[[#This Row],[Item 2]])</f>
        <v>Speed +</v>
      </c>
      <c r="G62" s="162" t="str">
        <f>INDEX(Table75[Power_list],Table76[[#This Row],[Item 3]])</f>
        <v>SC +</v>
      </c>
      <c r="H62" s="1">
        <f>INDEX($C$31:$C$44,MATCH(Table7678[[#This Row],[Item 2]],Table75[Power_list],0))+INDEX($C$31:$C$44,MATCH(Table7678[[#This Row],[Item 1]],Table75[Power_list],0))+INDEX($C$31:$C$44,MATCH(Table7678[[#This Row],[Item 3]],Table75[Power_list],0))</f>
        <v>31</v>
      </c>
      <c r="J62" s="1">
        <v>15</v>
      </c>
      <c r="K62" s="1" t="s">
        <v>271</v>
      </c>
      <c r="L62" s="1" t="s">
        <v>273</v>
      </c>
      <c r="M62" s="1" t="s">
        <v>277</v>
      </c>
      <c r="N62" s="1">
        <v>30</v>
      </c>
      <c r="O62" s="1" t="b">
        <f>(IFERROR(FIND("Lower",Table78[[#This Row],[Item 1]]),0)+IFERROR(FIND("Lower",Table78[[#This Row],[Item 2]]),0)+IFERROR(FIND("Lower",Table78[[#This Row],[Item 3]]),0))&lt;2</f>
        <v>1</v>
      </c>
      <c r="Q62" s="1">
        <v>15</v>
      </c>
      <c r="R62" s="1" t="s">
        <v>274</v>
      </c>
      <c r="S62" s="1" t="s">
        <v>288</v>
      </c>
      <c r="T62" s="1" t="s">
        <v>296</v>
      </c>
      <c r="U62" s="1">
        <v>15</v>
      </c>
      <c r="V62" s="1" t="b">
        <v>1</v>
      </c>
    </row>
    <row r="63" spans="1:22" x14ac:dyDescent="0.25">
      <c r="A63" s="162">
        <v>1</v>
      </c>
      <c r="B63" s="1">
        <v>3</v>
      </c>
      <c r="C63" s="1">
        <v>8</v>
      </c>
      <c r="E63" s="162" t="str">
        <f>INDEX(Table75[Power_list],Table76[[#This Row],[Item 1]])</f>
        <v>HP +</v>
      </c>
      <c r="F63" s="162" t="str">
        <f>INDEX(Table75[Power_list],Table76[[#This Row],[Item 2]])</f>
        <v>Speed +</v>
      </c>
      <c r="G63" s="162" t="str">
        <f>INDEX(Table75[Power_list],Table76[[#This Row],[Item 3]])</f>
        <v>Score +</v>
      </c>
      <c r="H63" s="1">
        <f>INDEX($C$31:$C$44,MATCH(Table7678[[#This Row],[Item 2]],Table75[Power_list],0))+INDEX($C$31:$C$44,MATCH(Table7678[[#This Row],[Item 1]],Table75[Power_list],0))+INDEX($C$31:$C$44,MATCH(Table7678[[#This Row],[Item 3]],Table75[Power_list],0))</f>
        <v>30</v>
      </c>
      <c r="J63" s="1">
        <v>16</v>
      </c>
      <c r="K63" s="1" t="s">
        <v>271</v>
      </c>
      <c r="L63" s="1" t="s">
        <v>273</v>
      </c>
      <c r="M63" s="1" t="s">
        <v>278</v>
      </c>
      <c r="N63" s="1">
        <v>29</v>
      </c>
      <c r="O63" s="1" t="b">
        <f>(IFERROR(FIND("Lower",Table78[[#This Row],[Item 1]]),0)+IFERROR(FIND("Lower",Table78[[#This Row],[Item 2]]),0)+IFERROR(FIND("Lower",Table78[[#This Row],[Item 3]]),0))&lt;2</f>
        <v>1</v>
      </c>
      <c r="Q63" s="1">
        <v>16</v>
      </c>
      <c r="R63" s="1" t="s">
        <v>275</v>
      </c>
      <c r="S63" s="1" t="s">
        <v>276</v>
      </c>
      <c r="T63" s="1" t="s">
        <v>296</v>
      </c>
      <c r="U63" s="1">
        <v>15</v>
      </c>
      <c r="V63" s="1" t="b">
        <v>1</v>
      </c>
    </row>
    <row r="64" spans="1:22" x14ac:dyDescent="0.25">
      <c r="A64" s="162">
        <v>1</v>
      </c>
      <c r="B64" s="1">
        <v>3</v>
      </c>
      <c r="C64" s="1">
        <v>9</v>
      </c>
      <c r="E64" s="162" t="str">
        <f>INDEX(Table75[Power_list],Table76[[#This Row],[Item 1]])</f>
        <v>HP +</v>
      </c>
      <c r="F64" s="162" t="str">
        <f>INDEX(Table75[Power_list],Table76[[#This Row],[Item 2]])</f>
        <v>Speed +</v>
      </c>
      <c r="G64" s="162" t="str">
        <f>INDEX(Table75[Power_list],Table76[[#This Row],[Item 3]])</f>
        <v>Food +</v>
      </c>
      <c r="H64" s="1">
        <f>INDEX($C$31:$C$44,MATCH(Table7678[[#This Row],[Item 2]],Table75[Power_list],0))+INDEX($C$31:$C$44,MATCH(Table7678[[#This Row],[Item 1]],Table75[Power_list],0))+INDEX($C$31:$C$44,MATCH(Table7678[[#This Row],[Item 3]],Table75[Power_list],0))</f>
        <v>24</v>
      </c>
      <c r="J64" s="1">
        <v>17</v>
      </c>
      <c r="K64" s="1" t="s">
        <v>271</v>
      </c>
      <c r="L64" s="1" t="s">
        <v>273</v>
      </c>
      <c r="M64" s="1" t="s">
        <v>288</v>
      </c>
      <c r="N64" s="1">
        <v>23</v>
      </c>
      <c r="O64" s="1" t="b">
        <f>(IFERROR(FIND("Lower",Table78[[#This Row],[Item 1]]),0)+IFERROR(FIND("Lower",Table78[[#This Row],[Item 2]]),0)+IFERROR(FIND("Lower",Table78[[#This Row],[Item 3]]),0))&lt;2</f>
        <v>1</v>
      </c>
      <c r="Q64" s="1">
        <v>17</v>
      </c>
      <c r="R64" s="1" t="s">
        <v>275</v>
      </c>
      <c r="S64" s="1" t="s">
        <v>288</v>
      </c>
      <c r="T64" s="1" t="s">
        <v>294</v>
      </c>
      <c r="U64" s="1">
        <v>15</v>
      </c>
      <c r="V64" s="1" t="b">
        <v>1</v>
      </c>
    </row>
    <row r="65" spans="1:22" x14ac:dyDescent="0.25">
      <c r="A65" s="162">
        <v>1</v>
      </c>
      <c r="B65" s="1">
        <v>3</v>
      </c>
      <c r="C65" s="1">
        <v>10</v>
      </c>
      <c r="E65" s="162" t="str">
        <f>INDEX(Table75[Power_list],Table76[[#This Row],[Item 1]])</f>
        <v>HP +</v>
      </c>
      <c r="F65" s="162" t="str">
        <f>INDEX(Table75[Power_list],Table76[[#This Row],[Item 2]])</f>
        <v>Speed +</v>
      </c>
      <c r="G65" s="162" t="str">
        <f>INDEX(Table75[Power_list],Table76[[#This Row],[Item 3]])</f>
        <v xml:space="preserve">Lower damage from mines </v>
      </c>
      <c r="H65" s="1">
        <f>INDEX($C$31:$C$44,MATCH(Table7678[[#This Row],[Item 2]],Table75[Power_list],0))+INDEX($C$31:$C$44,MATCH(Table7678[[#This Row],[Item 1]],Table75[Power_list],0))+INDEX($C$31:$C$44,MATCH(Table7678[[#This Row],[Item 3]],Table75[Power_list],0))</f>
        <v>26</v>
      </c>
      <c r="J65" s="1">
        <v>18</v>
      </c>
      <c r="K65" s="1" t="s">
        <v>271</v>
      </c>
      <c r="L65" s="1" t="s">
        <v>273</v>
      </c>
      <c r="M65" s="1" t="s">
        <v>294</v>
      </c>
      <c r="N65" s="1">
        <v>25</v>
      </c>
      <c r="O65" s="1" t="b">
        <f>(IFERROR(FIND("Lower",Table78[[#This Row],[Item 1]]),0)+IFERROR(FIND("Lower",Table78[[#This Row],[Item 2]]),0)+IFERROR(FIND("Lower",Table78[[#This Row],[Item 3]]),0))&lt;2</f>
        <v>1</v>
      </c>
      <c r="Q65" s="1">
        <v>18</v>
      </c>
      <c r="R65" s="1" t="s">
        <v>276</v>
      </c>
      <c r="S65" s="1" t="s">
        <v>288</v>
      </c>
      <c r="T65" s="1" t="s">
        <v>299</v>
      </c>
      <c r="U65" s="1">
        <v>15</v>
      </c>
      <c r="V65" s="1" t="b">
        <v>1</v>
      </c>
    </row>
    <row r="66" spans="1:22" x14ac:dyDescent="0.25">
      <c r="A66" s="162">
        <v>1</v>
      </c>
      <c r="B66" s="1">
        <v>3</v>
      </c>
      <c r="C66" s="1">
        <v>11</v>
      </c>
      <c r="E66" s="162" t="str">
        <f>INDEX(Table75[Power_list],Table76[[#This Row],[Item 1]])</f>
        <v>HP +</v>
      </c>
      <c r="F66" s="162" t="str">
        <f>INDEX(Table75[Power_list],Table76[[#This Row],[Item 2]])</f>
        <v>Speed +</v>
      </c>
      <c r="G66" s="162" t="str">
        <f>INDEX(Table75[Power_list],Table76[[#This Row],[Item 3]])</f>
        <v xml:space="preserve">Lower damage from ghosts </v>
      </c>
      <c r="H66" s="1">
        <f>INDEX($C$31:$C$44,MATCH(Table7678[[#This Row],[Item 2]],Table75[Power_list],0))+INDEX($C$31:$C$44,MATCH(Table7678[[#This Row],[Item 1]],Table75[Power_list],0))+INDEX($C$31:$C$44,MATCH(Table7678[[#This Row],[Item 3]],Table75[Power_list],0))</f>
        <v>21</v>
      </c>
      <c r="J66" s="1">
        <v>19</v>
      </c>
      <c r="K66" s="1" t="s">
        <v>271</v>
      </c>
      <c r="L66" s="1" t="s">
        <v>273</v>
      </c>
      <c r="M66" s="1" t="s">
        <v>295</v>
      </c>
      <c r="N66" s="1">
        <v>20</v>
      </c>
      <c r="O66" s="1" t="b">
        <f>(IFERROR(FIND("Lower",Table78[[#This Row],[Item 1]]),0)+IFERROR(FIND("Lower",Table78[[#This Row],[Item 2]]),0)+IFERROR(FIND("Lower",Table78[[#This Row],[Item 3]]),0))&lt;2</f>
        <v>1</v>
      </c>
      <c r="Q66" s="1">
        <v>19</v>
      </c>
      <c r="R66" s="1" t="s">
        <v>278</v>
      </c>
      <c r="S66" s="1" t="s">
        <v>288</v>
      </c>
      <c r="T66" s="1" t="s">
        <v>295</v>
      </c>
      <c r="U66" s="1">
        <v>15</v>
      </c>
      <c r="V66" s="1" t="b">
        <v>1</v>
      </c>
    </row>
    <row r="67" spans="1:22" x14ac:dyDescent="0.25">
      <c r="A67" s="162">
        <v>1</v>
      </c>
      <c r="B67" s="1">
        <v>3</v>
      </c>
      <c r="C67" s="1">
        <v>12</v>
      </c>
      <c r="E67" s="162" t="str">
        <f>INDEX(Table75[Power_list],Table76[[#This Row],[Item 1]])</f>
        <v>HP +</v>
      </c>
      <c r="F67" s="162" t="str">
        <f>INDEX(Table75[Power_list],Table76[[#This Row],[Item 2]])</f>
        <v>Speed +</v>
      </c>
      <c r="G67" s="162" t="str">
        <f>INDEX(Table75[Power_list],Table76[[#This Row],[Item 3]])</f>
        <v xml:space="preserve">Lower damage from poison </v>
      </c>
      <c r="H67" s="1">
        <f>INDEX($C$31:$C$44,MATCH(Table7678[[#This Row],[Item 2]],Table75[Power_list],0))+INDEX($C$31:$C$44,MATCH(Table7678[[#This Row],[Item 1]],Table75[Power_list],0))+INDEX($C$31:$C$44,MATCH(Table7678[[#This Row],[Item 3]],Table75[Power_list],0))</f>
        <v>23</v>
      </c>
      <c r="J67" s="1">
        <v>20</v>
      </c>
      <c r="K67" s="1" t="s">
        <v>271</v>
      </c>
      <c r="L67" s="1" t="s">
        <v>273</v>
      </c>
      <c r="M67" s="1" t="s">
        <v>299</v>
      </c>
      <c r="N67" s="1">
        <v>22</v>
      </c>
      <c r="O67" s="1" t="b">
        <f>(IFERROR(FIND("Lower",Table78[[#This Row],[Item 1]]),0)+IFERROR(FIND("Lower",Table78[[#This Row],[Item 2]]),0)+IFERROR(FIND("Lower",Table78[[#This Row],[Item 3]]),0))&lt;2</f>
        <v>1</v>
      </c>
      <c r="Q67" s="1">
        <v>20</v>
      </c>
      <c r="R67" s="1" t="s">
        <v>273</v>
      </c>
      <c r="S67" s="1" t="s">
        <v>275</v>
      </c>
      <c r="T67" s="1" t="s">
        <v>288</v>
      </c>
      <c r="U67" s="1">
        <v>16</v>
      </c>
      <c r="V67" s="1" t="b">
        <v>1</v>
      </c>
    </row>
    <row r="68" spans="1:22" x14ac:dyDescent="0.25">
      <c r="A68" s="162">
        <v>1</v>
      </c>
      <c r="B68" s="1">
        <v>3</v>
      </c>
      <c r="C68" s="1">
        <v>13</v>
      </c>
      <c r="E68" s="162" t="str">
        <f>INDEX(Table75[Power_list],Table76[[#This Row],[Item 1]])</f>
        <v>HP +</v>
      </c>
      <c r="F68" s="162" t="str">
        <f>INDEX(Table75[Power_list],Table76[[#This Row],[Item 2]])</f>
        <v>Speed +</v>
      </c>
      <c r="G68" s="162" t="str">
        <f>INDEX(Table75[Power_list],Table76[[#This Row],[Item 3]])</f>
        <v xml:space="preserve">Lower damage from arrows </v>
      </c>
      <c r="H68" s="1">
        <f>INDEX($C$31:$C$44,MATCH(Table7678[[#This Row],[Item 2]],Table75[Power_list],0))+INDEX($C$31:$C$44,MATCH(Table7678[[#This Row],[Item 1]],Table75[Power_list],0))+INDEX($C$31:$C$44,MATCH(Table7678[[#This Row],[Item 3]],Table75[Power_list],0))</f>
        <v>22</v>
      </c>
      <c r="J68" s="1">
        <v>21</v>
      </c>
      <c r="K68" s="1" t="s">
        <v>271</v>
      </c>
      <c r="L68" s="1" t="s">
        <v>273</v>
      </c>
      <c r="M68" s="1" t="s">
        <v>296</v>
      </c>
      <c r="N68" s="1">
        <v>21</v>
      </c>
      <c r="O68" s="1" t="b">
        <f>(IFERROR(FIND("Lower",Table78[[#This Row],[Item 1]]),0)+IFERROR(FIND("Lower",Table78[[#This Row],[Item 2]]),0)+IFERROR(FIND("Lower",Table78[[#This Row],[Item 3]]),0))&lt;2</f>
        <v>1</v>
      </c>
      <c r="Q68" s="1">
        <v>21</v>
      </c>
      <c r="R68" s="1" t="s">
        <v>273</v>
      </c>
      <c r="S68" s="1" t="s">
        <v>276</v>
      </c>
      <c r="T68" s="1" t="s">
        <v>295</v>
      </c>
      <c r="U68" s="1">
        <v>16</v>
      </c>
      <c r="V68" s="1" t="b">
        <v>1</v>
      </c>
    </row>
    <row r="69" spans="1:22" x14ac:dyDescent="0.25">
      <c r="A69" s="162">
        <v>1</v>
      </c>
      <c r="B69" s="1">
        <v>4</v>
      </c>
      <c r="C69" s="1">
        <v>5</v>
      </c>
      <c r="E69" s="162" t="str">
        <f>INDEX(Table75[Power_list],Table76[[#This Row],[Item 1]])</f>
        <v>HP +</v>
      </c>
      <c r="F69" s="162" t="str">
        <f>INDEX(Table75[Power_list],Table76[[#This Row],[Item 2]])</f>
        <v>Boost +</v>
      </c>
      <c r="G69" s="162" t="str">
        <f>INDEX(Table75[Power_list],Table76[[#This Row],[Item 3]])</f>
        <v>Fire (size) +</v>
      </c>
      <c r="H69" s="1">
        <f>INDEX($C$31:$C$44,MATCH(Table7678[[#This Row],[Item 2]],Table75[Power_list],0))+INDEX($C$31:$C$44,MATCH(Table7678[[#This Row],[Item 1]],Table75[Power_list],0))+INDEX($C$31:$C$44,MATCH(Table7678[[#This Row],[Item 3]],Table75[Power_list],0))</f>
        <v>27</v>
      </c>
      <c r="J69" s="1">
        <v>22</v>
      </c>
      <c r="K69" s="1" t="s">
        <v>271</v>
      </c>
      <c r="L69" s="1" t="s">
        <v>274</v>
      </c>
      <c r="M69" s="1" t="s">
        <v>275</v>
      </c>
      <c r="N69" s="1">
        <v>26</v>
      </c>
      <c r="O69" s="1" t="b">
        <f>(IFERROR(FIND("Lower",Table78[[#This Row],[Item 1]]),0)+IFERROR(FIND("Lower",Table78[[#This Row],[Item 2]]),0)+IFERROR(FIND("Lower",Table78[[#This Row],[Item 3]]),0))&lt;2</f>
        <v>1</v>
      </c>
      <c r="Q69" s="1">
        <v>22</v>
      </c>
      <c r="R69" s="1" t="s">
        <v>274</v>
      </c>
      <c r="S69" s="1" t="s">
        <v>275</v>
      </c>
      <c r="T69" s="1" t="s">
        <v>296</v>
      </c>
      <c r="U69" s="1">
        <v>16</v>
      </c>
      <c r="V69" s="1" t="b">
        <v>1</v>
      </c>
    </row>
    <row r="70" spans="1:22" x14ac:dyDescent="0.25">
      <c r="A70" s="162">
        <v>1</v>
      </c>
      <c r="B70" s="1">
        <v>4</v>
      </c>
      <c r="C70" s="1">
        <v>6</v>
      </c>
      <c r="E70" s="162" t="str">
        <f>INDEX(Table75[Power_list],Table76[[#This Row],[Item 1]])</f>
        <v>HP +</v>
      </c>
      <c r="F70" s="162" t="str">
        <f>INDEX(Table75[Power_list],Table76[[#This Row],[Item 2]])</f>
        <v>Boost +</v>
      </c>
      <c r="G70" s="162" t="str">
        <f>INDEX(Table75[Power_list],Table76[[#This Row],[Item 3]])</f>
        <v>Fire Rush Time +</v>
      </c>
      <c r="H70" s="1">
        <f>INDEX($C$31:$C$44,MATCH(Table7678[[#This Row],[Item 2]],Table75[Power_list],0))+INDEX($C$31:$C$44,MATCH(Table7678[[#This Row],[Item 1]],Table75[Power_list],0))+INDEX($C$31:$C$44,MATCH(Table7678[[#This Row],[Item 3]],Table75[Power_list],0))</f>
        <v>30</v>
      </c>
      <c r="J70" s="1">
        <v>23</v>
      </c>
      <c r="K70" s="1" t="s">
        <v>271</v>
      </c>
      <c r="L70" s="1" t="s">
        <v>274</v>
      </c>
      <c r="M70" s="1" t="s">
        <v>276</v>
      </c>
      <c r="N70" s="1">
        <v>29</v>
      </c>
      <c r="O70" s="1" t="b">
        <f>(IFERROR(FIND("Lower",Table78[[#This Row],[Item 1]]),0)+IFERROR(FIND("Lower",Table78[[#This Row],[Item 2]]),0)+IFERROR(FIND("Lower",Table78[[#This Row],[Item 3]]),0))&lt;2</f>
        <v>1</v>
      </c>
      <c r="Q70" s="1">
        <v>23</v>
      </c>
      <c r="R70" s="1" t="s">
        <v>274</v>
      </c>
      <c r="S70" s="1" t="s">
        <v>288</v>
      </c>
      <c r="T70" s="1" t="s">
        <v>299</v>
      </c>
      <c r="U70" s="1">
        <v>16</v>
      </c>
      <c r="V70" s="1" t="b">
        <v>1</v>
      </c>
    </row>
    <row r="71" spans="1:22" x14ac:dyDescent="0.25">
      <c r="A71" s="162">
        <v>1</v>
      </c>
      <c r="B71" s="1">
        <v>4</v>
      </c>
      <c r="C71" s="1">
        <v>7</v>
      </c>
      <c r="E71" s="162" t="str">
        <f>INDEX(Table75[Power_list],Table76[[#This Row],[Item 1]])</f>
        <v>HP +</v>
      </c>
      <c r="F71" s="162" t="str">
        <f>INDEX(Table75[Power_list],Table76[[#This Row],[Item 2]])</f>
        <v>Boost +</v>
      </c>
      <c r="G71" s="162" t="str">
        <f>INDEX(Table75[Power_list],Table76[[#This Row],[Item 3]])</f>
        <v>SC +</v>
      </c>
      <c r="H71" s="1">
        <f>INDEX($C$31:$C$44,MATCH(Table7678[[#This Row],[Item 2]],Table75[Power_list],0))+INDEX($C$31:$C$44,MATCH(Table7678[[#This Row],[Item 1]],Table75[Power_list],0))+INDEX($C$31:$C$44,MATCH(Table7678[[#This Row],[Item 3]],Table75[Power_list],0))</f>
        <v>33</v>
      </c>
      <c r="J71" s="1">
        <v>24</v>
      </c>
      <c r="K71" s="1" t="s">
        <v>271</v>
      </c>
      <c r="L71" s="1" t="s">
        <v>274</v>
      </c>
      <c r="M71" s="1" t="s">
        <v>277</v>
      </c>
      <c r="N71" s="1">
        <v>32</v>
      </c>
      <c r="O71" s="1" t="b">
        <f>(IFERROR(FIND("Lower",Table78[[#This Row],[Item 1]]),0)+IFERROR(FIND("Lower",Table78[[#This Row],[Item 2]]),0)+IFERROR(FIND("Lower",Table78[[#This Row],[Item 3]]),0))&lt;2</f>
        <v>1</v>
      </c>
      <c r="Q71" s="1">
        <v>24</v>
      </c>
      <c r="R71" s="1" t="s">
        <v>275</v>
      </c>
      <c r="S71" s="1" t="s">
        <v>276</v>
      </c>
      <c r="T71" s="1" t="s">
        <v>299</v>
      </c>
      <c r="U71" s="1">
        <v>16</v>
      </c>
      <c r="V71" s="1" t="b">
        <v>1</v>
      </c>
    </row>
    <row r="72" spans="1:22" x14ac:dyDescent="0.25">
      <c r="A72" s="162">
        <v>1</v>
      </c>
      <c r="B72" s="1">
        <v>4</v>
      </c>
      <c r="C72" s="1">
        <v>8</v>
      </c>
      <c r="E72" s="162" t="str">
        <f>INDEX(Table75[Power_list],Table76[[#This Row],[Item 1]])</f>
        <v>HP +</v>
      </c>
      <c r="F72" s="162" t="str">
        <f>INDEX(Table75[Power_list],Table76[[#This Row],[Item 2]])</f>
        <v>Boost +</v>
      </c>
      <c r="G72" s="162" t="str">
        <f>INDEX(Table75[Power_list],Table76[[#This Row],[Item 3]])</f>
        <v>Score +</v>
      </c>
      <c r="H72" s="1">
        <f>INDEX($C$31:$C$44,MATCH(Table7678[[#This Row],[Item 2]],Table75[Power_list],0))+INDEX($C$31:$C$44,MATCH(Table7678[[#This Row],[Item 1]],Table75[Power_list],0))+INDEX($C$31:$C$44,MATCH(Table7678[[#This Row],[Item 3]],Table75[Power_list],0))</f>
        <v>32</v>
      </c>
      <c r="J72" s="1">
        <v>25</v>
      </c>
      <c r="K72" s="1" t="s">
        <v>271</v>
      </c>
      <c r="L72" s="1" t="s">
        <v>274</v>
      </c>
      <c r="M72" s="1" t="s">
        <v>278</v>
      </c>
      <c r="N72" s="1">
        <v>31</v>
      </c>
      <c r="O72" s="1" t="b">
        <f>(IFERROR(FIND("Lower",Table78[[#This Row],[Item 1]]),0)+IFERROR(FIND("Lower",Table78[[#This Row],[Item 2]]),0)+IFERROR(FIND("Lower",Table78[[#This Row],[Item 3]]),0))&lt;2</f>
        <v>1</v>
      </c>
      <c r="Q72" s="1">
        <v>25</v>
      </c>
      <c r="R72" s="1" t="s">
        <v>275</v>
      </c>
      <c r="S72" s="1" t="s">
        <v>278</v>
      </c>
      <c r="T72" s="1" t="s">
        <v>295</v>
      </c>
      <c r="U72" s="1">
        <v>16</v>
      </c>
      <c r="V72" s="1" t="b">
        <v>1</v>
      </c>
    </row>
    <row r="73" spans="1:22" x14ac:dyDescent="0.25">
      <c r="A73" s="162">
        <v>1</v>
      </c>
      <c r="B73" s="1">
        <v>4</v>
      </c>
      <c r="C73" s="1">
        <v>9</v>
      </c>
      <c r="E73" s="162" t="str">
        <f>INDEX(Table75[Power_list],Table76[[#This Row],[Item 1]])</f>
        <v>HP +</v>
      </c>
      <c r="F73" s="162" t="str">
        <f>INDEX(Table75[Power_list],Table76[[#This Row],[Item 2]])</f>
        <v>Boost +</v>
      </c>
      <c r="G73" s="162" t="str">
        <f>INDEX(Table75[Power_list],Table76[[#This Row],[Item 3]])</f>
        <v>Food +</v>
      </c>
      <c r="H73" s="1">
        <f>INDEX($C$31:$C$44,MATCH(Table7678[[#This Row],[Item 2]],Table75[Power_list],0))+INDEX($C$31:$C$44,MATCH(Table7678[[#This Row],[Item 1]],Table75[Power_list],0))+INDEX($C$31:$C$44,MATCH(Table7678[[#This Row],[Item 3]],Table75[Power_list],0))</f>
        <v>26</v>
      </c>
      <c r="J73" s="1">
        <v>26</v>
      </c>
      <c r="K73" s="1" t="s">
        <v>271</v>
      </c>
      <c r="L73" s="1" t="s">
        <v>274</v>
      </c>
      <c r="M73" s="1" t="s">
        <v>288</v>
      </c>
      <c r="N73" s="1">
        <v>25</v>
      </c>
      <c r="O73" s="1" t="b">
        <f>(IFERROR(FIND("Lower",Table78[[#This Row],[Item 1]]),0)+IFERROR(FIND("Lower",Table78[[#This Row],[Item 2]]),0)+IFERROR(FIND("Lower",Table78[[#This Row],[Item 3]]),0))&lt;2</f>
        <v>1</v>
      </c>
      <c r="Q73" s="1">
        <v>26</v>
      </c>
      <c r="R73" s="1" t="s">
        <v>277</v>
      </c>
      <c r="S73" s="1" t="s">
        <v>288</v>
      </c>
      <c r="T73" s="1" t="s">
        <v>295</v>
      </c>
      <c r="U73" s="1">
        <v>16</v>
      </c>
      <c r="V73" s="1" t="b">
        <v>1</v>
      </c>
    </row>
    <row r="74" spans="1:22" x14ac:dyDescent="0.25">
      <c r="A74" s="162">
        <v>1</v>
      </c>
      <c r="B74" s="1">
        <v>4</v>
      </c>
      <c r="C74" s="1">
        <v>10</v>
      </c>
      <c r="E74" s="162" t="str">
        <f>INDEX(Table75[Power_list],Table76[[#This Row],[Item 1]])</f>
        <v>HP +</v>
      </c>
      <c r="F74" s="162" t="str">
        <f>INDEX(Table75[Power_list],Table76[[#This Row],[Item 2]])</f>
        <v>Boost +</v>
      </c>
      <c r="G74" s="162" t="str">
        <f>INDEX(Table75[Power_list],Table76[[#This Row],[Item 3]])</f>
        <v xml:space="preserve">Lower damage from mines </v>
      </c>
      <c r="H74" s="1">
        <f>INDEX($C$31:$C$44,MATCH(Table7678[[#This Row],[Item 2]],Table75[Power_list],0))+INDEX($C$31:$C$44,MATCH(Table7678[[#This Row],[Item 1]],Table75[Power_list],0))+INDEX($C$31:$C$44,MATCH(Table7678[[#This Row],[Item 3]],Table75[Power_list],0))</f>
        <v>28</v>
      </c>
      <c r="J74" s="1">
        <v>27</v>
      </c>
      <c r="K74" s="1" t="s">
        <v>271</v>
      </c>
      <c r="L74" s="1" t="s">
        <v>274</v>
      </c>
      <c r="M74" s="1" t="s">
        <v>294</v>
      </c>
      <c r="N74" s="1">
        <v>27</v>
      </c>
      <c r="O74" s="1" t="b">
        <f>(IFERROR(FIND("Lower",Table78[[#This Row],[Item 1]]),0)+IFERROR(FIND("Lower",Table78[[#This Row],[Item 2]]),0)+IFERROR(FIND("Lower",Table78[[#This Row],[Item 3]]),0))&lt;2</f>
        <v>1</v>
      </c>
      <c r="Q74" s="1">
        <v>27</v>
      </c>
      <c r="R74" s="1" t="s">
        <v>278</v>
      </c>
      <c r="S74" s="1" t="s">
        <v>288</v>
      </c>
      <c r="T74" s="1" t="s">
        <v>296</v>
      </c>
      <c r="U74" s="1">
        <v>16</v>
      </c>
      <c r="V74" s="1" t="b">
        <v>1</v>
      </c>
    </row>
    <row r="75" spans="1:22" x14ac:dyDescent="0.25">
      <c r="A75" s="162">
        <v>1</v>
      </c>
      <c r="B75" s="1">
        <v>4</v>
      </c>
      <c r="C75" s="1">
        <v>11</v>
      </c>
      <c r="E75" s="162" t="str">
        <f>INDEX(Table75[Power_list],Table76[[#This Row],[Item 1]])</f>
        <v>HP +</v>
      </c>
      <c r="F75" s="162" t="str">
        <f>INDEX(Table75[Power_list],Table76[[#This Row],[Item 2]])</f>
        <v>Boost +</v>
      </c>
      <c r="G75" s="162" t="str">
        <f>INDEX(Table75[Power_list],Table76[[#This Row],[Item 3]])</f>
        <v xml:space="preserve">Lower damage from ghosts </v>
      </c>
      <c r="H75" s="1">
        <f>INDEX($C$31:$C$44,MATCH(Table7678[[#This Row],[Item 2]],Table75[Power_list],0))+INDEX($C$31:$C$44,MATCH(Table7678[[#This Row],[Item 1]],Table75[Power_list],0))+INDEX($C$31:$C$44,MATCH(Table7678[[#This Row],[Item 3]],Table75[Power_list],0))</f>
        <v>23</v>
      </c>
      <c r="J75" s="1">
        <v>28</v>
      </c>
      <c r="K75" s="1" t="s">
        <v>271</v>
      </c>
      <c r="L75" s="1" t="s">
        <v>274</v>
      </c>
      <c r="M75" s="1" t="s">
        <v>295</v>
      </c>
      <c r="N75" s="1">
        <v>22</v>
      </c>
      <c r="O75" s="1" t="b">
        <f>(IFERROR(FIND("Lower",Table78[[#This Row],[Item 1]]),0)+IFERROR(FIND("Lower",Table78[[#This Row],[Item 2]]),0)+IFERROR(FIND("Lower",Table78[[#This Row],[Item 3]]),0))&lt;2</f>
        <v>1</v>
      </c>
      <c r="Q75" s="1">
        <v>28</v>
      </c>
      <c r="R75" s="1" t="s">
        <v>271</v>
      </c>
      <c r="S75" s="1" t="s">
        <v>288</v>
      </c>
      <c r="T75" s="1" t="s">
        <v>295</v>
      </c>
      <c r="U75" s="1">
        <v>17</v>
      </c>
      <c r="V75" s="1" t="b">
        <v>1</v>
      </c>
    </row>
    <row r="76" spans="1:22" x14ac:dyDescent="0.25">
      <c r="A76" s="162">
        <v>1</v>
      </c>
      <c r="B76" s="1">
        <v>4</v>
      </c>
      <c r="C76" s="1">
        <v>12</v>
      </c>
      <c r="E76" s="162" t="str">
        <f>INDEX(Table75[Power_list],Table76[[#This Row],[Item 1]])</f>
        <v>HP +</v>
      </c>
      <c r="F76" s="162" t="str">
        <f>INDEX(Table75[Power_list],Table76[[#This Row],[Item 2]])</f>
        <v>Boost +</v>
      </c>
      <c r="G76" s="162" t="str">
        <f>INDEX(Table75[Power_list],Table76[[#This Row],[Item 3]])</f>
        <v xml:space="preserve">Lower damage from poison </v>
      </c>
      <c r="H76" s="1">
        <f>INDEX($C$31:$C$44,MATCH(Table7678[[#This Row],[Item 2]],Table75[Power_list],0))+INDEX($C$31:$C$44,MATCH(Table7678[[#This Row],[Item 1]],Table75[Power_list],0))+INDEX($C$31:$C$44,MATCH(Table7678[[#This Row],[Item 3]],Table75[Power_list],0))</f>
        <v>25</v>
      </c>
      <c r="J76" s="1">
        <v>29</v>
      </c>
      <c r="K76" s="1" t="s">
        <v>271</v>
      </c>
      <c r="L76" s="1" t="s">
        <v>274</v>
      </c>
      <c r="M76" s="1" t="s">
        <v>299</v>
      </c>
      <c r="N76" s="1">
        <v>24</v>
      </c>
      <c r="O76" s="1" t="b">
        <f>(IFERROR(FIND("Lower",Table78[[#This Row],[Item 1]]),0)+IFERROR(FIND("Lower",Table78[[#This Row],[Item 2]]),0)+IFERROR(FIND("Lower",Table78[[#This Row],[Item 3]]),0))&lt;2</f>
        <v>1</v>
      </c>
      <c r="Q76" s="1">
        <v>29</v>
      </c>
      <c r="R76" s="1" t="s">
        <v>273</v>
      </c>
      <c r="S76" s="1" t="s">
        <v>274</v>
      </c>
      <c r="T76" s="1" t="s">
        <v>295</v>
      </c>
      <c r="U76" s="1">
        <v>17</v>
      </c>
      <c r="V76" s="1" t="b">
        <v>1</v>
      </c>
    </row>
    <row r="77" spans="1:22" x14ac:dyDescent="0.25">
      <c r="A77" s="162">
        <v>1</v>
      </c>
      <c r="B77" s="1">
        <v>4</v>
      </c>
      <c r="C77" s="1">
        <v>13</v>
      </c>
      <c r="E77" s="162" t="str">
        <f>INDEX(Table75[Power_list],Table76[[#This Row],[Item 1]])</f>
        <v>HP +</v>
      </c>
      <c r="F77" s="162" t="str">
        <f>INDEX(Table75[Power_list],Table76[[#This Row],[Item 2]])</f>
        <v>Boost +</v>
      </c>
      <c r="G77" s="162" t="str">
        <f>INDEX(Table75[Power_list],Table76[[#This Row],[Item 3]])</f>
        <v xml:space="preserve">Lower damage from arrows </v>
      </c>
      <c r="H77" s="1">
        <f>INDEX($C$31:$C$44,MATCH(Table7678[[#This Row],[Item 2]],Table75[Power_list],0))+INDEX($C$31:$C$44,MATCH(Table7678[[#This Row],[Item 1]],Table75[Power_list],0))+INDEX($C$31:$C$44,MATCH(Table7678[[#This Row],[Item 3]],Table75[Power_list],0))</f>
        <v>24</v>
      </c>
      <c r="J77" s="1">
        <v>30</v>
      </c>
      <c r="K77" s="1" t="s">
        <v>271</v>
      </c>
      <c r="L77" s="1" t="s">
        <v>274</v>
      </c>
      <c r="M77" s="1" t="s">
        <v>296</v>
      </c>
      <c r="N77" s="1">
        <v>23</v>
      </c>
      <c r="O77" s="1" t="b">
        <f>(IFERROR(FIND("Lower",Table78[[#This Row],[Item 1]]),0)+IFERROR(FIND("Lower",Table78[[#This Row],[Item 2]]),0)+IFERROR(FIND("Lower",Table78[[#This Row],[Item 3]]),0))&lt;2</f>
        <v>1</v>
      </c>
      <c r="Q77" s="1">
        <v>30</v>
      </c>
      <c r="R77" s="1" t="s">
        <v>273</v>
      </c>
      <c r="S77" s="1" t="s">
        <v>276</v>
      </c>
      <c r="T77" s="1" t="s">
        <v>296</v>
      </c>
      <c r="U77" s="1">
        <v>17</v>
      </c>
      <c r="V77" s="1" t="b">
        <v>1</v>
      </c>
    </row>
    <row r="78" spans="1:22" x14ac:dyDescent="0.25">
      <c r="A78" s="162">
        <v>1</v>
      </c>
      <c r="B78" s="1">
        <v>5</v>
      </c>
      <c r="C78" s="1">
        <v>6</v>
      </c>
      <c r="E78" s="162" t="str">
        <f>INDEX(Table75[Power_list],Table76[[#This Row],[Item 1]])</f>
        <v>HP +</v>
      </c>
      <c r="F78" s="162" t="str">
        <f>INDEX(Table75[Power_list],Table76[[#This Row],[Item 2]])</f>
        <v>Fire (size) +</v>
      </c>
      <c r="G78" s="162" t="str">
        <f>INDEX(Table75[Power_list],Table76[[#This Row],[Item 3]])</f>
        <v>Fire Rush Time +</v>
      </c>
      <c r="H78" s="1">
        <f>INDEX($C$31:$C$44,MATCH(Table7678[[#This Row],[Item 2]],Table75[Power_list],0))+INDEX($C$31:$C$44,MATCH(Table7678[[#This Row],[Item 1]],Table75[Power_list],0))+INDEX($C$31:$C$44,MATCH(Table7678[[#This Row],[Item 3]],Table75[Power_list],0))</f>
        <v>26</v>
      </c>
      <c r="J78" s="1">
        <v>31</v>
      </c>
      <c r="K78" s="1" t="s">
        <v>271</v>
      </c>
      <c r="L78" s="1" t="s">
        <v>275</v>
      </c>
      <c r="M78" s="1" t="s">
        <v>276</v>
      </c>
      <c r="N78" s="1">
        <v>25</v>
      </c>
      <c r="O78" s="1" t="b">
        <f>(IFERROR(FIND("Lower",Table78[[#This Row],[Item 1]]),0)+IFERROR(FIND("Lower",Table78[[#This Row],[Item 2]]),0)+IFERROR(FIND("Lower",Table78[[#This Row],[Item 3]]),0))&lt;2</f>
        <v>1</v>
      </c>
      <c r="Q78" s="1">
        <v>31</v>
      </c>
      <c r="R78" s="1" t="s">
        <v>273</v>
      </c>
      <c r="S78" s="1" t="s">
        <v>288</v>
      </c>
      <c r="T78" s="1" t="s">
        <v>294</v>
      </c>
      <c r="U78" s="1">
        <v>17</v>
      </c>
      <c r="V78" s="1" t="b">
        <v>1</v>
      </c>
    </row>
    <row r="79" spans="1:22" x14ac:dyDescent="0.25">
      <c r="A79" s="162">
        <v>1</v>
      </c>
      <c r="B79" s="1">
        <v>5</v>
      </c>
      <c r="C79" s="1">
        <v>7</v>
      </c>
      <c r="E79" s="162" t="str">
        <f>INDEX(Table75[Power_list],Table76[[#This Row],[Item 1]])</f>
        <v>HP +</v>
      </c>
      <c r="F79" s="162" t="str">
        <f>INDEX(Table75[Power_list],Table76[[#This Row],[Item 2]])</f>
        <v>Fire (size) +</v>
      </c>
      <c r="G79" s="162" t="str">
        <f>INDEX(Table75[Power_list],Table76[[#This Row],[Item 3]])</f>
        <v>SC +</v>
      </c>
      <c r="H79" s="1">
        <f>INDEX($C$31:$C$44,MATCH(Table7678[[#This Row],[Item 2]],Table75[Power_list],0))+INDEX($C$31:$C$44,MATCH(Table7678[[#This Row],[Item 1]],Table75[Power_list],0))+INDEX($C$31:$C$44,MATCH(Table7678[[#This Row],[Item 3]],Table75[Power_list],0))</f>
        <v>29</v>
      </c>
      <c r="J79" s="1">
        <v>32</v>
      </c>
      <c r="K79" s="1" t="s">
        <v>271</v>
      </c>
      <c r="L79" s="1" t="s">
        <v>275</v>
      </c>
      <c r="M79" s="1" t="s">
        <v>277</v>
      </c>
      <c r="N79" s="1">
        <v>28</v>
      </c>
      <c r="O79" s="1" t="b">
        <f>(IFERROR(FIND("Lower",Table78[[#This Row],[Item 1]]),0)+IFERROR(FIND("Lower",Table78[[#This Row],[Item 2]]),0)+IFERROR(FIND("Lower",Table78[[#This Row],[Item 3]]),0))&lt;2</f>
        <v>1</v>
      </c>
      <c r="Q79" s="1">
        <v>32</v>
      </c>
      <c r="R79" s="1" t="s">
        <v>274</v>
      </c>
      <c r="S79" s="1" t="s">
        <v>275</v>
      </c>
      <c r="T79" s="1" t="s">
        <v>299</v>
      </c>
      <c r="U79" s="1">
        <v>17</v>
      </c>
      <c r="V79" s="1" t="b">
        <v>1</v>
      </c>
    </row>
    <row r="80" spans="1:22" x14ac:dyDescent="0.25">
      <c r="A80" s="162">
        <v>1</v>
      </c>
      <c r="B80" s="1">
        <v>5</v>
      </c>
      <c r="C80" s="1">
        <v>8</v>
      </c>
      <c r="E80" s="162" t="str">
        <f>INDEX(Table75[Power_list],Table76[[#This Row],[Item 1]])</f>
        <v>HP +</v>
      </c>
      <c r="F80" s="162" t="str">
        <f>INDEX(Table75[Power_list],Table76[[#This Row],[Item 2]])</f>
        <v>Fire (size) +</v>
      </c>
      <c r="G80" s="162" t="str">
        <f>INDEX(Table75[Power_list],Table76[[#This Row],[Item 3]])</f>
        <v>Score +</v>
      </c>
      <c r="H80" s="1">
        <f>INDEX($C$31:$C$44,MATCH(Table7678[[#This Row],[Item 2]],Table75[Power_list],0))+INDEX($C$31:$C$44,MATCH(Table7678[[#This Row],[Item 1]],Table75[Power_list],0))+INDEX($C$31:$C$44,MATCH(Table7678[[#This Row],[Item 3]],Table75[Power_list],0))</f>
        <v>28</v>
      </c>
      <c r="J80" s="1">
        <v>33</v>
      </c>
      <c r="K80" s="1" t="s">
        <v>271</v>
      </c>
      <c r="L80" s="1" t="s">
        <v>275</v>
      </c>
      <c r="M80" s="1" t="s">
        <v>278</v>
      </c>
      <c r="N80" s="1">
        <v>27</v>
      </c>
      <c r="O80" s="1" t="b">
        <f>(IFERROR(FIND("Lower",Table78[[#This Row],[Item 1]]),0)+IFERROR(FIND("Lower",Table78[[#This Row],[Item 2]]),0)+IFERROR(FIND("Lower",Table78[[#This Row],[Item 3]]),0))&lt;2</f>
        <v>1</v>
      </c>
      <c r="Q80" s="1">
        <v>33</v>
      </c>
      <c r="R80" s="1" t="s">
        <v>275</v>
      </c>
      <c r="S80" s="1" t="s">
        <v>276</v>
      </c>
      <c r="T80" s="1" t="s">
        <v>288</v>
      </c>
      <c r="U80" s="1">
        <v>17</v>
      </c>
      <c r="V80" s="1" t="b">
        <v>1</v>
      </c>
    </row>
    <row r="81" spans="1:22" x14ac:dyDescent="0.25">
      <c r="A81" s="162">
        <v>1</v>
      </c>
      <c r="B81" s="1">
        <v>5</v>
      </c>
      <c r="C81" s="1">
        <v>9</v>
      </c>
      <c r="E81" s="162" t="str">
        <f>INDEX(Table75[Power_list],Table76[[#This Row],[Item 1]])</f>
        <v>HP +</v>
      </c>
      <c r="F81" s="162" t="str">
        <f>INDEX(Table75[Power_list],Table76[[#This Row],[Item 2]])</f>
        <v>Fire (size) +</v>
      </c>
      <c r="G81" s="162" t="str">
        <f>INDEX(Table75[Power_list],Table76[[#This Row],[Item 3]])</f>
        <v>Food +</v>
      </c>
      <c r="H81" s="1">
        <f>INDEX($C$31:$C$44,MATCH(Table7678[[#This Row],[Item 2]],Table75[Power_list],0))+INDEX($C$31:$C$44,MATCH(Table7678[[#This Row],[Item 1]],Table75[Power_list],0))+INDEX($C$31:$C$44,MATCH(Table7678[[#This Row],[Item 3]],Table75[Power_list],0))</f>
        <v>22</v>
      </c>
      <c r="J81" s="1">
        <v>34</v>
      </c>
      <c r="K81" s="1" t="s">
        <v>271</v>
      </c>
      <c r="L81" s="1" t="s">
        <v>275</v>
      </c>
      <c r="M81" s="1" t="s">
        <v>288</v>
      </c>
      <c r="N81" s="1">
        <v>21</v>
      </c>
      <c r="O81" s="1" t="b">
        <f>(IFERROR(FIND("Lower",Table78[[#This Row],[Item 1]]),0)+IFERROR(FIND("Lower",Table78[[#This Row],[Item 2]]),0)+IFERROR(FIND("Lower",Table78[[#This Row],[Item 3]]),0))&lt;2</f>
        <v>1</v>
      </c>
      <c r="Q81" s="1">
        <v>34</v>
      </c>
      <c r="R81" s="1" t="s">
        <v>275</v>
      </c>
      <c r="S81" s="1" t="s">
        <v>277</v>
      </c>
      <c r="T81" s="1" t="s">
        <v>295</v>
      </c>
      <c r="U81" s="1">
        <v>17</v>
      </c>
      <c r="V81" s="1" t="b">
        <v>1</v>
      </c>
    </row>
    <row r="82" spans="1:22" x14ac:dyDescent="0.25">
      <c r="A82" s="162">
        <v>1</v>
      </c>
      <c r="B82" s="1">
        <v>5</v>
      </c>
      <c r="C82" s="1">
        <v>10</v>
      </c>
      <c r="E82" s="162" t="str">
        <f>INDEX(Table75[Power_list],Table76[[#This Row],[Item 1]])</f>
        <v>HP +</v>
      </c>
      <c r="F82" s="162" t="str">
        <f>INDEX(Table75[Power_list],Table76[[#This Row],[Item 2]])</f>
        <v>Fire (size) +</v>
      </c>
      <c r="G82" s="162" t="str">
        <f>INDEX(Table75[Power_list],Table76[[#This Row],[Item 3]])</f>
        <v xml:space="preserve">Lower damage from mines </v>
      </c>
      <c r="H82" s="1">
        <f>INDEX($C$31:$C$44,MATCH(Table7678[[#This Row],[Item 2]],Table75[Power_list],0))+INDEX($C$31:$C$44,MATCH(Table7678[[#This Row],[Item 1]],Table75[Power_list],0))+INDEX($C$31:$C$44,MATCH(Table7678[[#This Row],[Item 3]],Table75[Power_list],0))</f>
        <v>24</v>
      </c>
      <c r="J82" s="1">
        <v>35</v>
      </c>
      <c r="K82" s="1" t="s">
        <v>271</v>
      </c>
      <c r="L82" s="1" t="s">
        <v>275</v>
      </c>
      <c r="M82" s="1" t="s">
        <v>294</v>
      </c>
      <c r="N82" s="1">
        <v>23</v>
      </c>
      <c r="O82" s="1" t="b">
        <f>(IFERROR(FIND("Lower",Table78[[#This Row],[Item 1]]),0)+IFERROR(FIND("Lower",Table78[[#This Row],[Item 2]]),0)+IFERROR(FIND("Lower",Table78[[#This Row],[Item 3]]),0))&lt;2</f>
        <v>1</v>
      </c>
      <c r="Q82" s="1">
        <v>35</v>
      </c>
      <c r="R82" s="1" t="s">
        <v>275</v>
      </c>
      <c r="S82" s="1" t="s">
        <v>278</v>
      </c>
      <c r="T82" s="1" t="s">
        <v>296</v>
      </c>
      <c r="U82" s="1">
        <v>17</v>
      </c>
      <c r="V82" s="1" t="b">
        <v>1</v>
      </c>
    </row>
    <row r="83" spans="1:22" x14ac:dyDescent="0.25">
      <c r="A83" s="162">
        <v>1</v>
      </c>
      <c r="B83" s="1">
        <v>5</v>
      </c>
      <c r="C83" s="1">
        <v>11</v>
      </c>
      <c r="E83" s="162" t="str">
        <f>INDEX(Table75[Power_list],Table76[[#This Row],[Item 1]])</f>
        <v>HP +</v>
      </c>
      <c r="F83" s="162" t="str">
        <f>INDEX(Table75[Power_list],Table76[[#This Row],[Item 2]])</f>
        <v>Fire (size) +</v>
      </c>
      <c r="G83" s="162" t="str">
        <f>INDEX(Table75[Power_list],Table76[[#This Row],[Item 3]])</f>
        <v xml:space="preserve">Lower damage from ghosts </v>
      </c>
      <c r="H83" s="1">
        <f>INDEX($C$31:$C$44,MATCH(Table7678[[#This Row],[Item 2]],Table75[Power_list],0))+INDEX($C$31:$C$44,MATCH(Table7678[[#This Row],[Item 1]],Table75[Power_list],0))+INDEX($C$31:$C$44,MATCH(Table7678[[#This Row],[Item 3]],Table75[Power_list],0))</f>
        <v>19</v>
      </c>
      <c r="J83" s="1">
        <v>36</v>
      </c>
      <c r="K83" s="1" t="s">
        <v>271</v>
      </c>
      <c r="L83" s="1" t="s">
        <v>275</v>
      </c>
      <c r="M83" s="1" t="s">
        <v>295</v>
      </c>
      <c r="N83" s="1">
        <v>18</v>
      </c>
      <c r="O83" s="1" t="b">
        <f>(IFERROR(FIND("Lower",Table78[[#This Row],[Item 1]]),0)+IFERROR(FIND("Lower",Table78[[#This Row],[Item 2]]),0)+IFERROR(FIND("Lower",Table78[[#This Row],[Item 3]]),0))&lt;2</f>
        <v>1</v>
      </c>
      <c r="Q83" s="1">
        <v>36</v>
      </c>
      <c r="R83" s="1" t="s">
        <v>277</v>
      </c>
      <c r="S83" s="1" t="s">
        <v>288</v>
      </c>
      <c r="T83" s="1" t="s">
        <v>296</v>
      </c>
      <c r="U83" s="1">
        <v>17</v>
      </c>
      <c r="V83" s="1" t="b">
        <v>1</v>
      </c>
    </row>
    <row r="84" spans="1:22" x14ac:dyDescent="0.25">
      <c r="A84" s="162">
        <v>1</v>
      </c>
      <c r="B84" s="1">
        <v>5</v>
      </c>
      <c r="C84" s="1">
        <v>12</v>
      </c>
      <c r="E84" s="162" t="str">
        <f>INDEX(Table75[Power_list],Table76[[#This Row],[Item 1]])</f>
        <v>HP +</v>
      </c>
      <c r="F84" s="162" t="str">
        <f>INDEX(Table75[Power_list],Table76[[#This Row],[Item 2]])</f>
        <v>Fire (size) +</v>
      </c>
      <c r="G84" s="162" t="str">
        <f>INDEX(Table75[Power_list],Table76[[#This Row],[Item 3]])</f>
        <v xml:space="preserve">Lower damage from poison </v>
      </c>
      <c r="H84" s="1">
        <f>INDEX($C$31:$C$44,MATCH(Table7678[[#This Row],[Item 2]],Table75[Power_list],0))+INDEX($C$31:$C$44,MATCH(Table7678[[#This Row],[Item 1]],Table75[Power_list],0))+INDEX($C$31:$C$44,MATCH(Table7678[[#This Row],[Item 3]],Table75[Power_list],0))</f>
        <v>21</v>
      </c>
      <c r="J84" s="1">
        <v>37</v>
      </c>
      <c r="K84" s="1" t="s">
        <v>271</v>
      </c>
      <c r="L84" s="1" t="s">
        <v>275</v>
      </c>
      <c r="M84" s="1" t="s">
        <v>299</v>
      </c>
      <c r="N84" s="1">
        <v>20</v>
      </c>
      <c r="O84" s="1" t="b">
        <f>(IFERROR(FIND("Lower",Table78[[#This Row],[Item 1]]),0)+IFERROR(FIND("Lower",Table78[[#This Row],[Item 2]]),0)+IFERROR(FIND("Lower",Table78[[#This Row],[Item 3]]),0))&lt;2</f>
        <v>1</v>
      </c>
      <c r="Q84" s="1">
        <v>37</v>
      </c>
      <c r="R84" s="1" t="s">
        <v>278</v>
      </c>
      <c r="S84" s="1" t="s">
        <v>288</v>
      </c>
      <c r="T84" s="1" t="s">
        <v>299</v>
      </c>
      <c r="U84" s="1">
        <v>17</v>
      </c>
      <c r="V84" s="1" t="b">
        <v>1</v>
      </c>
    </row>
    <row r="85" spans="1:22" x14ac:dyDescent="0.25">
      <c r="A85" s="162">
        <v>1</v>
      </c>
      <c r="B85" s="1">
        <v>5</v>
      </c>
      <c r="C85" s="1">
        <v>13</v>
      </c>
      <c r="E85" s="162" t="str">
        <f>INDEX(Table75[Power_list],Table76[[#This Row],[Item 1]])</f>
        <v>HP +</v>
      </c>
      <c r="F85" s="162" t="str">
        <f>INDEX(Table75[Power_list],Table76[[#This Row],[Item 2]])</f>
        <v>Fire (size) +</v>
      </c>
      <c r="G85" s="162" t="str">
        <f>INDEX(Table75[Power_list],Table76[[#This Row],[Item 3]])</f>
        <v xml:space="preserve">Lower damage from arrows </v>
      </c>
      <c r="H85" s="1">
        <f>INDEX($C$31:$C$44,MATCH(Table7678[[#This Row],[Item 2]],Table75[Power_list],0))+INDEX($C$31:$C$44,MATCH(Table7678[[#This Row],[Item 1]],Table75[Power_list],0))+INDEX($C$31:$C$44,MATCH(Table7678[[#This Row],[Item 3]],Table75[Power_list],0))</f>
        <v>20</v>
      </c>
      <c r="J85" s="1">
        <v>38</v>
      </c>
      <c r="K85" s="1" t="s">
        <v>271</v>
      </c>
      <c r="L85" s="1" t="s">
        <v>275</v>
      </c>
      <c r="M85" s="1" t="s">
        <v>296</v>
      </c>
      <c r="N85" s="1">
        <v>19</v>
      </c>
      <c r="O85" s="1" t="b">
        <f>(IFERROR(FIND("Lower",Table78[[#This Row],[Item 1]]),0)+IFERROR(FIND("Lower",Table78[[#This Row],[Item 2]]),0)+IFERROR(FIND("Lower",Table78[[#This Row],[Item 3]]),0))&lt;2</f>
        <v>1</v>
      </c>
      <c r="Q85" s="1">
        <v>38</v>
      </c>
      <c r="R85" s="1" t="s">
        <v>271</v>
      </c>
      <c r="S85" s="1" t="s">
        <v>275</v>
      </c>
      <c r="T85" s="1" t="s">
        <v>295</v>
      </c>
      <c r="U85" s="1">
        <v>18</v>
      </c>
      <c r="V85" s="1" t="b">
        <v>1</v>
      </c>
    </row>
    <row r="86" spans="1:22" x14ac:dyDescent="0.25">
      <c r="A86" s="162">
        <v>1</v>
      </c>
      <c r="B86" s="1">
        <v>6</v>
      </c>
      <c r="C86" s="1">
        <v>7</v>
      </c>
      <c r="E86" s="162" t="str">
        <f>INDEX(Table75[Power_list],Table76[[#This Row],[Item 1]])</f>
        <v>HP +</v>
      </c>
      <c r="F86" s="162" t="str">
        <f>INDEX(Table75[Power_list],Table76[[#This Row],[Item 2]])</f>
        <v>Fire Rush Time +</v>
      </c>
      <c r="G86" s="162" t="str">
        <f>INDEX(Table75[Power_list],Table76[[#This Row],[Item 3]])</f>
        <v>SC +</v>
      </c>
      <c r="H86" s="1">
        <f>INDEX($C$31:$C$44,MATCH(Table7678[[#This Row],[Item 2]],Table75[Power_list],0))+INDEX($C$31:$C$44,MATCH(Table7678[[#This Row],[Item 1]],Table75[Power_list],0))+INDEX($C$31:$C$44,MATCH(Table7678[[#This Row],[Item 3]],Table75[Power_list],0))</f>
        <v>32</v>
      </c>
      <c r="J86" s="1">
        <v>39</v>
      </c>
      <c r="K86" s="1" t="s">
        <v>271</v>
      </c>
      <c r="L86" s="1" t="s">
        <v>276</v>
      </c>
      <c r="M86" s="1" t="s">
        <v>277</v>
      </c>
      <c r="N86" s="1">
        <v>31</v>
      </c>
      <c r="O86" s="1" t="b">
        <f>(IFERROR(FIND("Lower",Table78[[#This Row],[Item 1]]),0)+IFERROR(FIND("Lower",Table78[[#This Row],[Item 2]]),0)+IFERROR(FIND("Lower",Table78[[#This Row],[Item 3]]),0))&lt;2</f>
        <v>1</v>
      </c>
      <c r="Q86" s="1">
        <v>39</v>
      </c>
      <c r="R86" s="1" t="s">
        <v>271</v>
      </c>
      <c r="S86" s="1" t="s">
        <v>288</v>
      </c>
      <c r="T86" s="1" t="s">
        <v>296</v>
      </c>
      <c r="U86" s="1">
        <v>18</v>
      </c>
      <c r="V86" s="1" t="b">
        <v>1</v>
      </c>
    </row>
    <row r="87" spans="1:22" x14ac:dyDescent="0.25">
      <c r="A87" s="162">
        <v>1</v>
      </c>
      <c r="B87" s="1">
        <v>6</v>
      </c>
      <c r="C87" s="1">
        <v>8</v>
      </c>
      <c r="E87" s="162" t="str">
        <f>INDEX(Table75[Power_list],Table76[[#This Row],[Item 1]])</f>
        <v>HP +</v>
      </c>
      <c r="F87" s="162" t="str">
        <f>INDEX(Table75[Power_list],Table76[[#This Row],[Item 2]])</f>
        <v>Fire Rush Time +</v>
      </c>
      <c r="G87" s="162" t="str">
        <f>INDEX(Table75[Power_list],Table76[[#This Row],[Item 3]])</f>
        <v>Score +</v>
      </c>
      <c r="H87" s="1">
        <f>INDEX($C$31:$C$44,MATCH(Table7678[[#This Row],[Item 2]],Table75[Power_list],0))+INDEX($C$31:$C$44,MATCH(Table7678[[#This Row],[Item 1]],Table75[Power_list],0))+INDEX($C$31:$C$44,MATCH(Table7678[[#This Row],[Item 3]],Table75[Power_list],0))</f>
        <v>31</v>
      </c>
      <c r="J87" s="1">
        <v>40</v>
      </c>
      <c r="K87" s="1" t="s">
        <v>271</v>
      </c>
      <c r="L87" s="1" t="s">
        <v>276</v>
      </c>
      <c r="M87" s="1" t="s">
        <v>278</v>
      </c>
      <c r="N87" s="1">
        <v>30</v>
      </c>
      <c r="O87" s="1" t="b">
        <f>(IFERROR(FIND("Lower",Table78[[#This Row],[Item 1]]),0)+IFERROR(FIND("Lower",Table78[[#This Row],[Item 2]]),0)+IFERROR(FIND("Lower",Table78[[#This Row],[Item 3]]),0))&lt;2</f>
        <v>1</v>
      </c>
      <c r="Q87" s="1">
        <v>40</v>
      </c>
      <c r="R87" s="1" t="s">
        <v>272</v>
      </c>
      <c r="S87" s="1" t="s">
        <v>288</v>
      </c>
      <c r="T87" s="1" t="s">
        <v>295</v>
      </c>
      <c r="U87" s="1">
        <v>18</v>
      </c>
      <c r="V87" s="1" t="b">
        <v>1</v>
      </c>
    </row>
    <row r="88" spans="1:22" x14ac:dyDescent="0.25">
      <c r="A88" s="162">
        <v>1</v>
      </c>
      <c r="B88" s="1">
        <v>6</v>
      </c>
      <c r="C88" s="1">
        <v>9</v>
      </c>
      <c r="E88" s="162" t="str">
        <f>INDEX(Table75[Power_list],Table76[[#This Row],[Item 1]])</f>
        <v>HP +</v>
      </c>
      <c r="F88" s="162" t="str">
        <f>INDEX(Table75[Power_list],Table76[[#This Row],[Item 2]])</f>
        <v>Fire Rush Time +</v>
      </c>
      <c r="G88" s="162" t="str">
        <f>INDEX(Table75[Power_list],Table76[[#This Row],[Item 3]])</f>
        <v>Food +</v>
      </c>
      <c r="H88" s="1">
        <f>INDEX($C$31:$C$44,MATCH(Table7678[[#This Row],[Item 2]],Table75[Power_list],0))+INDEX($C$31:$C$44,MATCH(Table7678[[#This Row],[Item 1]],Table75[Power_list],0))+INDEX($C$31:$C$44,MATCH(Table7678[[#This Row],[Item 3]],Table75[Power_list],0))</f>
        <v>25</v>
      </c>
      <c r="J88" s="1">
        <v>41</v>
      </c>
      <c r="K88" s="1" t="s">
        <v>271</v>
      </c>
      <c r="L88" s="1" t="s">
        <v>276</v>
      </c>
      <c r="M88" s="1" t="s">
        <v>288</v>
      </c>
      <c r="N88" s="1">
        <v>24</v>
      </c>
      <c r="O88" s="1" t="b">
        <f>(IFERROR(FIND("Lower",Table78[[#This Row],[Item 1]]),0)+IFERROR(FIND("Lower",Table78[[#This Row],[Item 2]]),0)+IFERROR(FIND("Lower",Table78[[#This Row],[Item 3]]),0))&lt;2</f>
        <v>1</v>
      </c>
      <c r="Q88" s="1">
        <v>41</v>
      </c>
      <c r="R88" s="1" t="s">
        <v>273</v>
      </c>
      <c r="S88" s="1" t="s">
        <v>274</v>
      </c>
      <c r="T88" s="1" t="s">
        <v>296</v>
      </c>
      <c r="U88" s="1">
        <v>18</v>
      </c>
      <c r="V88" s="1" t="b">
        <v>1</v>
      </c>
    </row>
    <row r="89" spans="1:22" x14ac:dyDescent="0.25">
      <c r="A89" s="162">
        <v>1</v>
      </c>
      <c r="B89" s="1">
        <v>6</v>
      </c>
      <c r="C89" s="1">
        <v>10</v>
      </c>
      <c r="E89" s="162" t="str">
        <f>INDEX(Table75[Power_list],Table76[[#This Row],[Item 1]])</f>
        <v>HP +</v>
      </c>
      <c r="F89" s="162" t="str">
        <f>INDEX(Table75[Power_list],Table76[[#This Row],[Item 2]])</f>
        <v>Fire Rush Time +</v>
      </c>
      <c r="G89" s="162" t="str">
        <f>INDEX(Table75[Power_list],Table76[[#This Row],[Item 3]])</f>
        <v xml:space="preserve">Lower damage from mines </v>
      </c>
      <c r="H89" s="1">
        <f>INDEX($C$31:$C$44,MATCH(Table7678[[#This Row],[Item 2]],Table75[Power_list],0))+INDEX($C$31:$C$44,MATCH(Table7678[[#This Row],[Item 1]],Table75[Power_list],0))+INDEX($C$31:$C$44,MATCH(Table7678[[#This Row],[Item 3]],Table75[Power_list],0))</f>
        <v>27</v>
      </c>
      <c r="J89" s="1">
        <v>42</v>
      </c>
      <c r="K89" s="1" t="s">
        <v>271</v>
      </c>
      <c r="L89" s="1" t="s">
        <v>276</v>
      </c>
      <c r="M89" s="1" t="s">
        <v>294</v>
      </c>
      <c r="N89" s="1">
        <v>26</v>
      </c>
      <c r="O89" s="1" t="b">
        <f>(IFERROR(FIND("Lower",Table78[[#This Row],[Item 1]]),0)+IFERROR(FIND("Lower",Table78[[#This Row],[Item 2]]),0)+IFERROR(FIND("Lower",Table78[[#This Row],[Item 3]]),0))&lt;2</f>
        <v>1</v>
      </c>
      <c r="Q89" s="1">
        <v>42</v>
      </c>
      <c r="R89" s="1" t="s">
        <v>273</v>
      </c>
      <c r="S89" s="1" t="s">
        <v>275</v>
      </c>
      <c r="T89" s="1" t="s">
        <v>294</v>
      </c>
      <c r="U89" s="1">
        <v>18</v>
      </c>
      <c r="V89" s="1" t="b">
        <v>1</v>
      </c>
    </row>
    <row r="90" spans="1:22" x14ac:dyDescent="0.25">
      <c r="A90" s="162">
        <v>1</v>
      </c>
      <c r="B90" s="1">
        <v>6</v>
      </c>
      <c r="C90" s="1">
        <v>11</v>
      </c>
      <c r="E90" s="162" t="str">
        <f>INDEX(Table75[Power_list],Table76[[#This Row],[Item 1]])</f>
        <v>HP +</v>
      </c>
      <c r="F90" s="162" t="str">
        <f>INDEX(Table75[Power_list],Table76[[#This Row],[Item 2]])</f>
        <v>Fire Rush Time +</v>
      </c>
      <c r="G90" s="162" t="str">
        <f>INDEX(Table75[Power_list],Table76[[#This Row],[Item 3]])</f>
        <v xml:space="preserve">Lower damage from ghosts </v>
      </c>
      <c r="H90" s="1">
        <f>INDEX($C$31:$C$44,MATCH(Table7678[[#This Row],[Item 2]],Table75[Power_list],0))+INDEX($C$31:$C$44,MATCH(Table7678[[#This Row],[Item 1]],Table75[Power_list],0))+INDEX($C$31:$C$44,MATCH(Table7678[[#This Row],[Item 3]],Table75[Power_list],0))</f>
        <v>22</v>
      </c>
      <c r="J90" s="1">
        <v>43</v>
      </c>
      <c r="K90" s="1" t="s">
        <v>271</v>
      </c>
      <c r="L90" s="1" t="s">
        <v>276</v>
      </c>
      <c r="M90" s="1" t="s">
        <v>295</v>
      </c>
      <c r="N90" s="1">
        <v>21</v>
      </c>
      <c r="O90" s="1" t="b">
        <f>(IFERROR(FIND("Lower",Table78[[#This Row],[Item 1]]),0)+IFERROR(FIND("Lower",Table78[[#This Row],[Item 2]]),0)+IFERROR(FIND("Lower",Table78[[#This Row],[Item 3]]),0))&lt;2</f>
        <v>1</v>
      </c>
      <c r="Q90" s="1">
        <v>43</v>
      </c>
      <c r="R90" s="1" t="s">
        <v>273</v>
      </c>
      <c r="S90" s="1" t="s">
        <v>276</v>
      </c>
      <c r="T90" s="1" t="s">
        <v>299</v>
      </c>
      <c r="U90" s="1">
        <v>18</v>
      </c>
      <c r="V90" s="1" t="b">
        <v>1</v>
      </c>
    </row>
    <row r="91" spans="1:22" x14ac:dyDescent="0.25">
      <c r="A91" s="162">
        <v>1</v>
      </c>
      <c r="B91" s="1">
        <v>6</v>
      </c>
      <c r="C91" s="1">
        <v>12</v>
      </c>
      <c r="E91" s="162" t="str">
        <f>INDEX(Table75[Power_list],Table76[[#This Row],[Item 1]])</f>
        <v>HP +</v>
      </c>
      <c r="F91" s="162" t="str">
        <f>INDEX(Table75[Power_list],Table76[[#This Row],[Item 2]])</f>
        <v>Fire Rush Time +</v>
      </c>
      <c r="G91" s="162" t="str">
        <f>INDEX(Table75[Power_list],Table76[[#This Row],[Item 3]])</f>
        <v xml:space="preserve">Lower damage from poison </v>
      </c>
      <c r="H91" s="1">
        <f>INDEX($C$31:$C$44,MATCH(Table7678[[#This Row],[Item 2]],Table75[Power_list],0))+INDEX($C$31:$C$44,MATCH(Table7678[[#This Row],[Item 1]],Table75[Power_list],0))+INDEX($C$31:$C$44,MATCH(Table7678[[#This Row],[Item 3]],Table75[Power_list],0))</f>
        <v>24</v>
      </c>
      <c r="J91" s="1">
        <v>44</v>
      </c>
      <c r="K91" s="1" t="s">
        <v>271</v>
      </c>
      <c r="L91" s="1" t="s">
        <v>276</v>
      </c>
      <c r="M91" s="1" t="s">
        <v>299</v>
      </c>
      <c r="N91" s="1">
        <v>23</v>
      </c>
      <c r="O91" s="1" t="b">
        <f>(IFERROR(FIND("Lower",Table78[[#This Row],[Item 1]]),0)+IFERROR(FIND("Lower",Table78[[#This Row],[Item 2]]),0)+IFERROR(FIND("Lower",Table78[[#This Row],[Item 3]]),0))&lt;2</f>
        <v>1</v>
      </c>
      <c r="Q91" s="1">
        <v>44</v>
      </c>
      <c r="R91" s="1" t="s">
        <v>273</v>
      </c>
      <c r="S91" s="1" t="s">
        <v>278</v>
      </c>
      <c r="T91" s="1" t="s">
        <v>295</v>
      </c>
      <c r="U91" s="1">
        <v>18</v>
      </c>
      <c r="V91" s="1" t="b">
        <v>1</v>
      </c>
    </row>
    <row r="92" spans="1:22" x14ac:dyDescent="0.25">
      <c r="A92" s="162">
        <v>1</v>
      </c>
      <c r="B92" s="1">
        <v>6</v>
      </c>
      <c r="C92" s="1">
        <v>13</v>
      </c>
      <c r="E92" s="162" t="str">
        <f>INDEX(Table75[Power_list],Table76[[#This Row],[Item 1]])</f>
        <v>HP +</v>
      </c>
      <c r="F92" s="162" t="str">
        <f>INDEX(Table75[Power_list],Table76[[#This Row],[Item 2]])</f>
        <v>Fire Rush Time +</v>
      </c>
      <c r="G92" s="162" t="str">
        <f>INDEX(Table75[Power_list],Table76[[#This Row],[Item 3]])</f>
        <v xml:space="preserve">Lower damage from arrows </v>
      </c>
      <c r="H92" s="1">
        <f>INDEX($C$31:$C$44,MATCH(Table7678[[#This Row],[Item 2]],Table75[Power_list],0))+INDEX($C$31:$C$44,MATCH(Table7678[[#This Row],[Item 1]],Table75[Power_list],0))+INDEX($C$31:$C$44,MATCH(Table7678[[#This Row],[Item 3]],Table75[Power_list],0))</f>
        <v>23</v>
      </c>
      <c r="J92" s="1">
        <v>45</v>
      </c>
      <c r="K92" s="1" t="s">
        <v>271</v>
      </c>
      <c r="L92" s="1" t="s">
        <v>276</v>
      </c>
      <c r="M92" s="1" t="s">
        <v>296</v>
      </c>
      <c r="N92" s="1">
        <v>22</v>
      </c>
      <c r="O92" s="1" t="b">
        <f>(IFERROR(FIND("Lower",Table78[[#This Row],[Item 1]]),0)+IFERROR(FIND("Lower",Table78[[#This Row],[Item 2]]),0)+IFERROR(FIND("Lower",Table78[[#This Row],[Item 3]]),0))&lt;2</f>
        <v>1</v>
      </c>
      <c r="Q92" s="1">
        <v>45</v>
      </c>
      <c r="R92" s="1" t="s">
        <v>274</v>
      </c>
      <c r="S92" s="1" t="s">
        <v>275</v>
      </c>
      <c r="T92" s="1" t="s">
        <v>288</v>
      </c>
      <c r="U92" s="1">
        <v>18</v>
      </c>
      <c r="V92" s="1" t="b">
        <v>1</v>
      </c>
    </row>
    <row r="93" spans="1:22" x14ac:dyDescent="0.25">
      <c r="A93" s="162">
        <v>1</v>
      </c>
      <c r="B93" s="1">
        <v>7</v>
      </c>
      <c r="C93" s="1">
        <v>8</v>
      </c>
      <c r="E93" s="162" t="str">
        <f>INDEX(Table75[Power_list],Table76[[#This Row],[Item 1]])</f>
        <v>HP +</v>
      </c>
      <c r="F93" s="162" t="str">
        <f>INDEX(Table75[Power_list],Table76[[#This Row],[Item 2]])</f>
        <v>SC +</v>
      </c>
      <c r="G93" s="162" t="str">
        <f>INDEX(Table75[Power_list],Table76[[#This Row],[Item 3]])</f>
        <v>Score +</v>
      </c>
      <c r="H93" s="1">
        <f>INDEX($C$31:$C$44,MATCH(Table7678[[#This Row],[Item 2]],Table75[Power_list],0))+INDEX($C$31:$C$44,MATCH(Table7678[[#This Row],[Item 1]],Table75[Power_list],0))+INDEX($C$31:$C$44,MATCH(Table7678[[#This Row],[Item 3]],Table75[Power_list],0))</f>
        <v>34</v>
      </c>
      <c r="J93" s="1">
        <v>46</v>
      </c>
      <c r="K93" s="1" t="s">
        <v>271</v>
      </c>
      <c r="L93" s="1" t="s">
        <v>277</v>
      </c>
      <c r="M93" s="1" t="s">
        <v>278</v>
      </c>
      <c r="N93" s="1">
        <v>33</v>
      </c>
      <c r="O93" s="1" t="b">
        <f>(IFERROR(FIND("Lower",Table78[[#This Row],[Item 1]]),0)+IFERROR(FIND("Lower",Table78[[#This Row],[Item 2]]),0)+IFERROR(FIND("Lower",Table78[[#This Row],[Item 3]]),0))&lt;2</f>
        <v>1</v>
      </c>
      <c r="Q93" s="1">
        <v>46</v>
      </c>
      <c r="R93" s="1" t="s">
        <v>274</v>
      </c>
      <c r="S93" s="1" t="s">
        <v>276</v>
      </c>
      <c r="T93" s="1" t="s">
        <v>295</v>
      </c>
      <c r="U93" s="1">
        <v>18</v>
      </c>
      <c r="V93" s="1" t="b">
        <v>1</v>
      </c>
    </row>
    <row r="94" spans="1:22" x14ac:dyDescent="0.25">
      <c r="A94" s="162">
        <v>1</v>
      </c>
      <c r="B94" s="1">
        <v>7</v>
      </c>
      <c r="C94" s="1">
        <v>9</v>
      </c>
      <c r="E94" s="162" t="str">
        <f>INDEX(Table75[Power_list],Table76[[#This Row],[Item 1]])</f>
        <v>HP +</v>
      </c>
      <c r="F94" s="162" t="str">
        <f>INDEX(Table75[Power_list],Table76[[#This Row],[Item 2]])</f>
        <v>SC +</v>
      </c>
      <c r="G94" s="162" t="str">
        <f>INDEX(Table75[Power_list],Table76[[#This Row],[Item 3]])</f>
        <v>Food +</v>
      </c>
      <c r="H94" s="1">
        <f>INDEX($C$31:$C$44,MATCH(Table7678[[#This Row],[Item 2]],Table75[Power_list],0))+INDEX($C$31:$C$44,MATCH(Table7678[[#This Row],[Item 1]],Table75[Power_list],0))+INDEX($C$31:$C$44,MATCH(Table7678[[#This Row],[Item 3]],Table75[Power_list],0))</f>
        <v>28</v>
      </c>
      <c r="J94" s="1">
        <v>47</v>
      </c>
      <c r="K94" s="1" t="s">
        <v>271</v>
      </c>
      <c r="L94" s="1" t="s">
        <v>277</v>
      </c>
      <c r="M94" s="1" t="s">
        <v>288</v>
      </c>
      <c r="N94" s="1">
        <v>27</v>
      </c>
      <c r="O94" s="1" t="b">
        <f>(IFERROR(FIND("Lower",Table78[[#This Row],[Item 1]]),0)+IFERROR(FIND("Lower",Table78[[#This Row],[Item 2]]),0)+IFERROR(FIND("Lower",Table78[[#This Row],[Item 3]]),0))&lt;2</f>
        <v>1</v>
      </c>
      <c r="Q94" s="1">
        <v>47</v>
      </c>
      <c r="R94" s="1" t="s">
        <v>275</v>
      </c>
      <c r="S94" s="1" t="s">
        <v>277</v>
      </c>
      <c r="T94" s="1" t="s">
        <v>296</v>
      </c>
      <c r="U94" s="1">
        <v>18</v>
      </c>
      <c r="V94" s="1" t="b">
        <v>1</v>
      </c>
    </row>
    <row r="95" spans="1:22" x14ac:dyDescent="0.25">
      <c r="A95" s="162">
        <v>1</v>
      </c>
      <c r="B95" s="1">
        <v>7</v>
      </c>
      <c r="C95" s="1">
        <v>10</v>
      </c>
      <c r="E95" s="162" t="str">
        <f>INDEX(Table75[Power_list],Table76[[#This Row],[Item 1]])</f>
        <v>HP +</v>
      </c>
      <c r="F95" s="162" t="str">
        <f>INDEX(Table75[Power_list],Table76[[#This Row],[Item 2]])</f>
        <v>SC +</v>
      </c>
      <c r="G95" s="162" t="str">
        <f>INDEX(Table75[Power_list],Table76[[#This Row],[Item 3]])</f>
        <v xml:space="preserve">Lower damage from mines </v>
      </c>
      <c r="H95" s="1">
        <f>INDEX($C$31:$C$44,MATCH(Table7678[[#This Row],[Item 2]],Table75[Power_list],0))+INDEX($C$31:$C$44,MATCH(Table7678[[#This Row],[Item 1]],Table75[Power_list],0))+INDEX($C$31:$C$44,MATCH(Table7678[[#This Row],[Item 3]],Table75[Power_list],0))</f>
        <v>30</v>
      </c>
      <c r="J95" s="1">
        <v>48</v>
      </c>
      <c r="K95" s="1" t="s">
        <v>271</v>
      </c>
      <c r="L95" s="1" t="s">
        <v>277</v>
      </c>
      <c r="M95" s="1" t="s">
        <v>294</v>
      </c>
      <c r="N95" s="1">
        <v>29</v>
      </c>
      <c r="O95" s="1" t="b">
        <f>(IFERROR(FIND("Lower",Table78[[#This Row],[Item 1]]),0)+IFERROR(FIND("Lower",Table78[[#This Row],[Item 2]]),0)+IFERROR(FIND("Lower",Table78[[#This Row],[Item 3]]),0))&lt;2</f>
        <v>1</v>
      </c>
      <c r="Q95" s="1">
        <v>48</v>
      </c>
      <c r="R95" s="1" t="s">
        <v>275</v>
      </c>
      <c r="S95" s="1" t="s">
        <v>278</v>
      </c>
      <c r="T95" s="1" t="s">
        <v>299</v>
      </c>
      <c r="U95" s="1">
        <v>18</v>
      </c>
      <c r="V95" s="1" t="b">
        <v>1</v>
      </c>
    </row>
    <row r="96" spans="1:22" x14ac:dyDescent="0.25">
      <c r="A96" s="162">
        <v>1</v>
      </c>
      <c r="B96" s="1">
        <v>7</v>
      </c>
      <c r="C96" s="1">
        <v>11</v>
      </c>
      <c r="E96" s="162" t="str">
        <f>INDEX(Table75[Power_list],Table76[[#This Row],[Item 1]])</f>
        <v>HP +</v>
      </c>
      <c r="F96" s="162" t="str">
        <f>INDEX(Table75[Power_list],Table76[[#This Row],[Item 2]])</f>
        <v>SC +</v>
      </c>
      <c r="G96" s="162" t="str">
        <f>INDEX(Table75[Power_list],Table76[[#This Row],[Item 3]])</f>
        <v xml:space="preserve">Lower damage from ghosts </v>
      </c>
      <c r="H96" s="1">
        <f>INDEX($C$31:$C$44,MATCH(Table7678[[#This Row],[Item 2]],Table75[Power_list],0))+INDEX($C$31:$C$44,MATCH(Table7678[[#This Row],[Item 1]],Table75[Power_list],0))+INDEX($C$31:$C$44,MATCH(Table7678[[#This Row],[Item 3]],Table75[Power_list],0))</f>
        <v>25</v>
      </c>
      <c r="J96" s="1">
        <v>49</v>
      </c>
      <c r="K96" s="1" t="s">
        <v>271</v>
      </c>
      <c r="L96" s="1" t="s">
        <v>277</v>
      </c>
      <c r="M96" s="1" t="s">
        <v>295</v>
      </c>
      <c r="N96" s="1">
        <v>24</v>
      </c>
      <c r="O96" s="1" t="b">
        <f>(IFERROR(FIND("Lower",Table78[[#This Row],[Item 1]]),0)+IFERROR(FIND("Lower",Table78[[#This Row],[Item 2]]),0)+IFERROR(FIND("Lower",Table78[[#This Row],[Item 3]]),0))&lt;2</f>
        <v>1</v>
      </c>
      <c r="Q96" s="1">
        <v>49</v>
      </c>
      <c r="R96" s="1" t="s">
        <v>276</v>
      </c>
      <c r="S96" s="1" t="s">
        <v>288</v>
      </c>
      <c r="T96" s="1" t="s">
        <v>294</v>
      </c>
      <c r="U96" s="1">
        <v>18</v>
      </c>
      <c r="V96" s="1" t="b">
        <v>1</v>
      </c>
    </row>
    <row r="97" spans="1:22" x14ac:dyDescent="0.25">
      <c r="A97" s="162">
        <v>1</v>
      </c>
      <c r="B97" s="1">
        <v>7</v>
      </c>
      <c r="C97" s="1">
        <v>12</v>
      </c>
      <c r="E97" s="162" t="str">
        <f>INDEX(Table75[Power_list],Table76[[#This Row],[Item 1]])</f>
        <v>HP +</v>
      </c>
      <c r="F97" s="162" t="str">
        <f>INDEX(Table75[Power_list],Table76[[#This Row],[Item 2]])</f>
        <v>SC +</v>
      </c>
      <c r="G97" s="162" t="str">
        <f>INDEX(Table75[Power_list],Table76[[#This Row],[Item 3]])</f>
        <v xml:space="preserve">Lower damage from poison </v>
      </c>
      <c r="H97" s="1">
        <f>INDEX($C$31:$C$44,MATCH(Table7678[[#This Row],[Item 2]],Table75[Power_list],0))+INDEX($C$31:$C$44,MATCH(Table7678[[#This Row],[Item 1]],Table75[Power_list],0))+INDEX($C$31:$C$44,MATCH(Table7678[[#This Row],[Item 3]],Table75[Power_list],0))</f>
        <v>27</v>
      </c>
      <c r="J97" s="1">
        <v>50</v>
      </c>
      <c r="K97" s="1" t="s">
        <v>271</v>
      </c>
      <c r="L97" s="1" t="s">
        <v>277</v>
      </c>
      <c r="M97" s="1" t="s">
        <v>299</v>
      </c>
      <c r="N97" s="1">
        <v>26</v>
      </c>
      <c r="O97" s="1" t="b">
        <f>(IFERROR(FIND("Lower",Table78[[#This Row],[Item 1]]),0)+IFERROR(FIND("Lower",Table78[[#This Row],[Item 2]]),0)+IFERROR(FIND("Lower",Table78[[#This Row],[Item 3]]),0))&lt;2</f>
        <v>1</v>
      </c>
      <c r="Q97" s="1">
        <v>50</v>
      </c>
      <c r="R97" s="1" t="s">
        <v>277</v>
      </c>
      <c r="S97" s="1" t="s">
        <v>288</v>
      </c>
      <c r="T97" s="1" t="s">
        <v>299</v>
      </c>
      <c r="U97" s="1">
        <v>18</v>
      </c>
      <c r="V97" s="1" t="b">
        <v>1</v>
      </c>
    </row>
    <row r="98" spans="1:22" x14ac:dyDescent="0.25">
      <c r="A98" s="162">
        <v>1</v>
      </c>
      <c r="B98" s="1">
        <v>7</v>
      </c>
      <c r="C98" s="1">
        <v>13</v>
      </c>
      <c r="E98" s="162" t="str">
        <f>INDEX(Table75[Power_list],Table76[[#This Row],[Item 1]])</f>
        <v>HP +</v>
      </c>
      <c r="F98" s="162" t="str">
        <f>INDEX(Table75[Power_list],Table76[[#This Row],[Item 2]])</f>
        <v>SC +</v>
      </c>
      <c r="G98" s="162" t="str">
        <f>INDEX(Table75[Power_list],Table76[[#This Row],[Item 3]])</f>
        <v xml:space="preserve">Lower damage from arrows </v>
      </c>
      <c r="H98" s="1">
        <f>INDEX($C$31:$C$44,MATCH(Table7678[[#This Row],[Item 2]],Table75[Power_list],0))+INDEX($C$31:$C$44,MATCH(Table7678[[#This Row],[Item 1]],Table75[Power_list],0))+INDEX($C$31:$C$44,MATCH(Table7678[[#This Row],[Item 3]],Table75[Power_list],0))</f>
        <v>26</v>
      </c>
      <c r="J98" s="1">
        <v>51</v>
      </c>
      <c r="K98" s="1" t="s">
        <v>271</v>
      </c>
      <c r="L98" s="1" t="s">
        <v>277</v>
      </c>
      <c r="M98" s="1" t="s">
        <v>296</v>
      </c>
      <c r="N98" s="1">
        <v>25</v>
      </c>
      <c r="O98" s="1" t="b">
        <f>(IFERROR(FIND("Lower",Table78[[#This Row],[Item 1]]),0)+IFERROR(FIND("Lower",Table78[[#This Row],[Item 2]]),0)+IFERROR(FIND("Lower",Table78[[#This Row],[Item 3]]),0))&lt;2</f>
        <v>1</v>
      </c>
      <c r="Q98" s="1">
        <v>51</v>
      </c>
      <c r="R98" s="1" t="s">
        <v>271</v>
      </c>
      <c r="S98" s="1" t="s">
        <v>275</v>
      </c>
      <c r="T98" s="1" t="s">
        <v>296</v>
      </c>
      <c r="U98" s="1">
        <v>19</v>
      </c>
      <c r="V98" s="1" t="b">
        <v>1</v>
      </c>
    </row>
    <row r="99" spans="1:22" x14ac:dyDescent="0.25">
      <c r="A99" s="162">
        <v>1</v>
      </c>
      <c r="B99" s="1">
        <v>8</v>
      </c>
      <c r="C99" s="1">
        <v>9</v>
      </c>
      <c r="E99" s="162" t="str">
        <f>INDEX(Table75[Power_list],Table76[[#This Row],[Item 1]])</f>
        <v>HP +</v>
      </c>
      <c r="F99" s="162" t="str">
        <f>INDEX(Table75[Power_list],Table76[[#This Row],[Item 2]])</f>
        <v>Score +</v>
      </c>
      <c r="G99" s="162" t="str">
        <f>INDEX(Table75[Power_list],Table76[[#This Row],[Item 3]])</f>
        <v>Food +</v>
      </c>
      <c r="H99" s="1">
        <f>INDEX($C$31:$C$44,MATCH(Table7678[[#This Row],[Item 2]],Table75[Power_list],0))+INDEX($C$31:$C$44,MATCH(Table7678[[#This Row],[Item 1]],Table75[Power_list],0))+INDEX($C$31:$C$44,MATCH(Table7678[[#This Row],[Item 3]],Table75[Power_list],0))</f>
        <v>27</v>
      </c>
      <c r="J99" s="1">
        <v>52</v>
      </c>
      <c r="K99" s="1" t="s">
        <v>271</v>
      </c>
      <c r="L99" s="1" t="s">
        <v>278</v>
      </c>
      <c r="M99" s="1" t="s">
        <v>288</v>
      </c>
      <c r="N99" s="1">
        <v>26</v>
      </c>
      <c r="O99" s="1" t="b">
        <f>(IFERROR(FIND("Lower",Table78[[#This Row],[Item 1]]),0)+IFERROR(FIND("Lower",Table78[[#This Row],[Item 2]]),0)+IFERROR(FIND("Lower",Table78[[#This Row],[Item 3]]),0))&lt;2</f>
        <v>1</v>
      </c>
      <c r="Q99" s="1">
        <v>52</v>
      </c>
      <c r="R99" s="1" t="s">
        <v>271</v>
      </c>
      <c r="S99" s="1" t="s">
        <v>288</v>
      </c>
      <c r="T99" s="1" t="s">
        <v>299</v>
      </c>
      <c r="U99" s="1">
        <v>19</v>
      </c>
      <c r="V99" s="1" t="b">
        <v>1</v>
      </c>
    </row>
    <row r="100" spans="1:22" x14ac:dyDescent="0.25">
      <c r="A100" s="162">
        <v>1</v>
      </c>
      <c r="B100" s="1">
        <v>8</v>
      </c>
      <c r="C100" s="1">
        <v>10</v>
      </c>
      <c r="E100" s="162" t="str">
        <f>INDEX(Table75[Power_list],Table76[[#This Row],[Item 1]])</f>
        <v>HP +</v>
      </c>
      <c r="F100" s="162" t="str">
        <f>INDEX(Table75[Power_list],Table76[[#This Row],[Item 2]])</f>
        <v>Score +</v>
      </c>
      <c r="G100" s="162" t="str">
        <f>INDEX(Table75[Power_list],Table76[[#This Row],[Item 3]])</f>
        <v xml:space="preserve">Lower damage from mines </v>
      </c>
      <c r="H100" s="1">
        <f>INDEX($C$31:$C$44,MATCH(Table7678[[#This Row],[Item 2]],Table75[Power_list],0))+INDEX($C$31:$C$44,MATCH(Table7678[[#This Row],[Item 1]],Table75[Power_list],0))+INDEX($C$31:$C$44,MATCH(Table7678[[#This Row],[Item 3]],Table75[Power_list],0))</f>
        <v>29</v>
      </c>
      <c r="J100" s="1">
        <v>53</v>
      </c>
      <c r="K100" s="1" t="s">
        <v>271</v>
      </c>
      <c r="L100" s="1" t="s">
        <v>278</v>
      </c>
      <c r="M100" s="1" t="s">
        <v>294</v>
      </c>
      <c r="N100" s="1">
        <v>28</v>
      </c>
      <c r="O100" s="1" t="b">
        <f>(IFERROR(FIND("Lower",Table78[[#This Row],[Item 1]]),0)+IFERROR(FIND("Lower",Table78[[#This Row],[Item 2]]),0)+IFERROR(FIND("Lower",Table78[[#This Row],[Item 3]]),0))&lt;2</f>
        <v>1</v>
      </c>
      <c r="Q100" s="1">
        <v>53</v>
      </c>
      <c r="R100" s="1" t="s">
        <v>272</v>
      </c>
      <c r="S100" s="1" t="s">
        <v>275</v>
      </c>
      <c r="T100" s="1" t="s">
        <v>295</v>
      </c>
      <c r="U100" s="1">
        <v>19</v>
      </c>
      <c r="V100" s="1" t="b">
        <v>1</v>
      </c>
    </row>
    <row r="101" spans="1:22" x14ac:dyDescent="0.25">
      <c r="A101" s="162">
        <v>1</v>
      </c>
      <c r="B101" s="1">
        <v>8</v>
      </c>
      <c r="C101" s="1">
        <v>11</v>
      </c>
      <c r="E101" s="162" t="str">
        <f>INDEX(Table75[Power_list],Table76[[#This Row],[Item 1]])</f>
        <v>HP +</v>
      </c>
      <c r="F101" s="162" t="str">
        <f>INDEX(Table75[Power_list],Table76[[#This Row],[Item 2]])</f>
        <v>Score +</v>
      </c>
      <c r="G101" s="162" t="str">
        <f>INDEX(Table75[Power_list],Table76[[#This Row],[Item 3]])</f>
        <v xml:space="preserve">Lower damage from ghosts </v>
      </c>
      <c r="H101" s="1">
        <f>INDEX($C$31:$C$44,MATCH(Table7678[[#This Row],[Item 2]],Table75[Power_list],0))+INDEX($C$31:$C$44,MATCH(Table7678[[#This Row],[Item 1]],Table75[Power_list],0))+INDEX($C$31:$C$44,MATCH(Table7678[[#This Row],[Item 3]],Table75[Power_list],0))</f>
        <v>24</v>
      </c>
      <c r="J101" s="1">
        <v>54</v>
      </c>
      <c r="K101" s="1" t="s">
        <v>271</v>
      </c>
      <c r="L101" s="1" t="s">
        <v>278</v>
      </c>
      <c r="M101" s="1" t="s">
        <v>295</v>
      </c>
      <c r="N101" s="1">
        <v>23</v>
      </c>
      <c r="O101" s="1" t="b">
        <f>(IFERROR(FIND("Lower",Table78[[#This Row],[Item 1]]),0)+IFERROR(FIND("Lower",Table78[[#This Row],[Item 2]]),0)+IFERROR(FIND("Lower",Table78[[#This Row],[Item 3]]),0))&lt;2</f>
        <v>1</v>
      </c>
      <c r="Q101" s="1">
        <v>54</v>
      </c>
      <c r="R101" s="1" t="s">
        <v>272</v>
      </c>
      <c r="S101" s="1" t="s">
        <v>288</v>
      </c>
      <c r="T101" s="1" t="s">
        <v>296</v>
      </c>
      <c r="U101" s="1">
        <v>19</v>
      </c>
      <c r="V101" s="1" t="b">
        <v>1</v>
      </c>
    </row>
    <row r="102" spans="1:22" x14ac:dyDescent="0.25">
      <c r="A102" s="162">
        <v>1</v>
      </c>
      <c r="B102" s="1">
        <v>8</v>
      </c>
      <c r="C102" s="1">
        <v>12</v>
      </c>
      <c r="E102" s="162" t="str">
        <f>INDEX(Table75[Power_list],Table76[[#This Row],[Item 1]])</f>
        <v>HP +</v>
      </c>
      <c r="F102" s="162" t="str">
        <f>INDEX(Table75[Power_list],Table76[[#This Row],[Item 2]])</f>
        <v>Score +</v>
      </c>
      <c r="G102" s="162" t="str">
        <f>INDEX(Table75[Power_list],Table76[[#This Row],[Item 3]])</f>
        <v xml:space="preserve">Lower damage from poison </v>
      </c>
      <c r="H102" s="1">
        <f>INDEX($C$31:$C$44,MATCH(Table7678[[#This Row],[Item 2]],Table75[Power_list],0))+INDEX($C$31:$C$44,MATCH(Table7678[[#This Row],[Item 1]],Table75[Power_list],0))+INDEX($C$31:$C$44,MATCH(Table7678[[#This Row],[Item 3]],Table75[Power_list],0))</f>
        <v>26</v>
      </c>
      <c r="J102" s="1">
        <v>55</v>
      </c>
      <c r="K102" s="1" t="s">
        <v>271</v>
      </c>
      <c r="L102" s="1" t="s">
        <v>278</v>
      </c>
      <c r="M102" s="1" t="s">
        <v>299</v>
      </c>
      <c r="N102" s="1">
        <v>25</v>
      </c>
      <c r="O102" s="1" t="b">
        <f>(IFERROR(FIND("Lower",Table78[[#This Row],[Item 1]]),0)+IFERROR(FIND("Lower",Table78[[#This Row],[Item 2]]),0)+IFERROR(FIND("Lower",Table78[[#This Row],[Item 3]]),0))&lt;2</f>
        <v>1</v>
      </c>
      <c r="Q102" s="1">
        <v>55</v>
      </c>
      <c r="R102" s="1" t="s">
        <v>273</v>
      </c>
      <c r="S102" s="1" t="s">
        <v>274</v>
      </c>
      <c r="T102" s="1" t="s">
        <v>299</v>
      </c>
      <c r="U102" s="1">
        <v>19</v>
      </c>
      <c r="V102" s="1" t="b">
        <v>1</v>
      </c>
    </row>
    <row r="103" spans="1:22" x14ac:dyDescent="0.25">
      <c r="A103" s="162">
        <v>1</v>
      </c>
      <c r="B103" s="1">
        <v>8</v>
      </c>
      <c r="C103" s="1">
        <v>13</v>
      </c>
      <c r="E103" s="162" t="str">
        <f>INDEX(Table75[Power_list],Table76[[#This Row],[Item 1]])</f>
        <v>HP +</v>
      </c>
      <c r="F103" s="162" t="str">
        <f>INDEX(Table75[Power_list],Table76[[#This Row],[Item 2]])</f>
        <v>Score +</v>
      </c>
      <c r="G103" s="162" t="str">
        <f>INDEX(Table75[Power_list],Table76[[#This Row],[Item 3]])</f>
        <v xml:space="preserve">Lower damage from arrows </v>
      </c>
      <c r="H103" s="1">
        <f>INDEX($C$31:$C$44,MATCH(Table7678[[#This Row],[Item 2]],Table75[Power_list],0))+INDEX($C$31:$C$44,MATCH(Table7678[[#This Row],[Item 1]],Table75[Power_list],0))+INDEX($C$31:$C$44,MATCH(Table7678[[#This Row],[Item 3]],Table75[Power_list],0))</f>
        <v>25</v>
      </c>
      <c r="J103" s="1">
        <v>56</v>
      </c>
      <c r="K103" s="1" t="s">
        <v>271</v>
      </c>
      <c r="L103" s="1" t="s">
        <v>278</v>
      </c>
      <c r="M103" s="1" t="s">
        <v>296</v>
      </c>
      <c r="N103" s="1">
        <v>24</v>
      </c>
      <c r="O103" s="1" t="b">
        <f>(IFERROR(FIND("Lower",Table78[[#This Row],[Item 1]]),0)+IFERROR(FIND("Lower",Table78[[#This Row],[Item 2]]),0)+IFERROR(FIND("Lower",Table78[[#This Row],[Item 3]]),0))&lt;2</f>
        <v>1</v>
      </c>
      <c r="Q103" s="1">
        <v>56</v>
      </c>
      <c r="R103" s="1" t="s">
        <v>273</v>
      </c>
      <c r="S103" s="1" t="s">
        <v>276</v>
      </c>
      <c r="T103" s="1" t="s">
        <v>288</v>
      </c>
      <c r="U103" s="1">
        <v>19</v>
      </c>
      <c r="V103" s="1" t="b">
        <v>1</v>
      </c>
    </row>
    <row r="104" spans="1:22" x14ac:dyDescent="0.25">
      <c r="A104" s="162">
        <v>1</v>
      </c>
      <c r="B104" s="1">
        <v>9</v>
      </c>
      <c r="C104" s="1">
        <v>10</v>
      </c>
      <c r="E104" s="162" t="str">
        <f>INDEX(Table75[Power_list],Table76[[#This Row],[Item 1]])</f>
        <v>HP +</v>
      </c>
      <c r="F104" s="162" t="str">
        <f>INDEX(Table75[Power_list],Table76[[#This Row],[Item 2]])</f>
        <v>Food +</v>
      </c>
      <c r="G104" s="162" t="str">
        <f>INDEX(Table75[Power_list],Table76[[#This Row],[Item 3]])</f>
        <v xml:space="preserve">Lower damage from mines </v>
      </c>
      <c r="H104" s="1">
        <f>INDEX($C$31:$C$44,MATCH(Table7678[[#This Row],[Item 2]],Table75[Power_list],0))+INDEX($C$31:$C$44,MATCH(Table7678[[#This Row],[Item 1]],Table75[Power_list],0))+INDEX($C$31:$C$44,MATCH(Table7678[[#This Row],[Item 3]],Table75[Power_list],0))</f>
        <v>23</v>
      </c>
      <c r="J104" s="1">
        <v>57</v>
      </c>
      <c r="K104" s="1" t="s">
        <v>271</v>
      </c>
      <c r="L104" s="1" t="s">
        <v>288</v>
      </c>
      <c r="M104" s="1" t="s">
        <v>294</v>
      </c>
      <c r="N104" s="1">
        <v>22</v>
      </c>
      <c r="O104" s="1" t="b">
        <f>(IFERROR(FIND("Lower",Table78[[#This Row],[Item 1]]),0)+IFERROR(FIND("Lower",Table78[[#This Row],[Item 2]]),0)+IFERROR(FIND("Lower",Table78[[#This Row],[Item 3]]),0))&lt;2</f>
        <v>1</v>
      </c>
      <c r="Q104" s="1">
        <v>57</v>
      </c>
      <c r="R104" s="1" t="s">
        <v>273</v>
      </c>
      <c r="S104" s="1" t="s">
        <v>277</v>
      </c>
      <c r="T104" s="1" t="s">
        <v>295</v>
      </c>
      <c r="U104" s="1">
        <v>19</v>
      </c>
      <c r="V104" s="1" t="b">
        <v>1</v>
      </c>
    </row>
    <row r="105" spans="1:22" x14ac:dyDescent="0.25">
      <c r="A105" s="162">
        <v>1</v>
      </c>
      <c r="B105" s="1">
        <v>9</v>
      </c>
      <c r="C105" s="1">
        <v>11</v>
      </c>
      <c r="E105" s="162" t="str">
        <f>INDEX(Table75[Power_list],Table76[[#This Row],[Item 1]])</f>
        <v>HP +</v>
      </c>
      <c r="F105" s="162" t="str">
        <f>INDEX(Table75[Power_list],Table76[[#This Row],[Item 2]])</f>
        <v>Food +</v>
      </c>
      <c r="G105" s="162" t="str">
        <f>INDEX(Table75[Power_list],Table76[[#This Row],[Item 3]])</f>
        <v xml:space="preserve">Lower damage from ghosts </v>
      </c>
      <c r="H105" s="1">
        <f>INDEX($C$31:$C$44,MATCH(Table7678[[#This Row],[Item 2]],Table75[Power_list],0))+INDEX($C$31:$C$44,MATCH(Table7678[[#This Row],[Item 1]],Table75[Power_list],0))+INDEX($C$31:$C$44,MATCH(Table7678[[#This Row],[Item 3]],Table75[Power_list],0))</f>
        <v>18</v>
      </c>
      <c r="J105" s="1">
        <v>58</v>
      </c>
      <c r="K105" s="1" t="s">
        <v>271</v>
      </c>
      <c r="L105" s="1" t="s">
        <v>288</v>
      </c>
      <c r="M105" s="1" t="s">
        <v>295</v>
      </c>
      <c r="N105" s="1">
        <v>17</v>
      </c>
      <c r="O105" s="1" t="b">
        <f>(IFERROR(FIND("Lower",Table78[[#This Row],[Item 1]]),0)+IFERROR(FIND("Lower",Table78[[#This Row],[Item 2]]),0)+IFERROR(FIND("Lower",Table78[[#This Row],[Item 3]]),0))&lt;2</f>
        <v>1</v>
      </c>
      <c r="Q105" s="1">
        <v>58</v>
      </c>
      <c r="R105" s="1" t="s">
        <v>273</v>
      </c>
      <c r="S105" s="1" t="s">
        <v>278</v>
      </c>
      <c r="T105" s="1" t="s">
        <v>296</v>
      </c>
      <c r="U105" s="1">
        <v>19</v>
      </c>
      <c r="V105" s="1" t="b">
        <v>1</v>
      </c>
    </row>
    <row r="106" spans="1:22" x14ac:dyDescent="0.25">
      <c r="A106" s="162">
        <v>1</v>
      </c>
      <c r="B106" s="1">
        <v>9</v>
      </c>
      <c r="C106" s="1">
        <v>12</v>
      </c>
      <c r="E106" s="162" t="str">
        <f>INDEX(Table75[Power_list],Table76[[#This Row],[Item 1]])</f>
        <v>HP +</v>
      </c>
      <c r="F106" s="162" t="str">
        <f>INDEX(Table75[Power_list],Table76[[#This Row],[Item 2]])</f>
        <v>Food +</v>
      </c>
      <c r="G106" s="162" t="str">
        <f>INDEX(Table75[Power_list],Table76[[#This Row],[Item 3]])</f>
        <v xml:space="preserve">Lower damage from poison </v>
      </c>
      <c r="H106" s="1">
        <f>INDEX($C$31:$C$44,MATCH(Table7678[[#This Row],[Item 2]],Table75[Power_list],0))+INDEX($C$31:$C$44,MATCH(Table7678[[#This Row],[Item 1]],Table75[Power_list],0))+INDEX($C$31:$C$44,MATCH(Table7678[[#This Row],[Item 3]],Table75[Power_list],0))</f>
        <v>20</v>
      </c>
      <c r="J106" s="1">
        <v>59</v>
      </c>
      <c r="K106" s="1" t="s">
        <v>271</v>
      </c>
      <c r="L106" s="1" t="s">
        <v>288</v>
      </c>
      <c r="M106" s="1" t="s">
        <v>299</v>
      </c>
      <c r="N106" s="1">
        <v>19</v>
      </c>
      <c r="O106" s="1" t="b">
        <f>(IFERROR(FIND("Lower",Table78[[#This Row],[Item 1]]),0)+IFERROR(FIND("Lower",Table78[[#This Row],[Item 2]]),0)+IFERROR(FIND("Lower",Table78[[#This Row],[Item 3]]),0))&lt;2</f>
        <v>1</v>
      </c>
      <c r="Q106" s="1">
        <v>59</v>
      </c>
      <c r="R106" s="1" t="s">
        <v>274</v>
      </c>
      <c r="S106" s="1" t="s">
        <v>276</v>
      </c>
      <c r="T106" s="1" t="s">
        <v>296</v>
      </c>
      <c r="U106" s="1">
        <v>19</v>
      </c>
      <c r="V106" s="1" t="b">
        <v>1</v>
      </c>
    </row>
    <row r="107" spans="1:22" x14ac:dyDescent="0.25">
      <c r="A107" s="162">
        <v>1</v>
      </c>
      <c r="B107" s="1">
        <v>9</v>
      </c>
      <c r="C107" s="1">
        <v>13</v>
      </c>
      <c r="E107" s="162" t="str">
        <f>INDEX(Table75[Power_list],Table76[[#This Row],[Item 1]])</f>
        <v>HP +</v>
      </c>
      <c r="F107" s="162" t="str">
        <f>INDEX(Table75[Power_list],Table76[[#This Row],[Item 2]])</f>
        <v>Food +</v>
      </c>
      <c r="G107" s="162" t="str">
        <f>INDEX(Table75[Power_list],Table76[[#This Row],[Item 3]])</f>
        <v xml:space="preserve">Lower damage from arrows </v>
      </c>
      <c r="H107" s="1">
        <f>INDEX($C$31:$C$44,MATCH(Table7678[[#This Row],[Item 2]],Table75[Power_list],0))+INDEX($C$31:$C$44,MATCH(Table7678[[#This Row],[Item 1]],Table75[Power_list],0))+INDEX($C$31:$C$44,MATCH(Table7678[[#This Row],[Item 3]],Table75[Power_list],0))</f>
        <v>19</v>
      </c>
      <c r="J107" s="1">
        <v>60</v>
      </c>
      <c r="K107" s="1" t="s">
        <v>271</v>
      </c>
      <c r="L107" s="1" t="s">
        <v>288</v>
      </c>
      <c r="M107" s="1" t="s">
        <v>296</v>
      </c>
      <c r="N107" s="1">
        <v>18</v>
      </c>
      <c r="O107" s="1" t="b">
        <f>(IFERROR(FIND("Lower",Table78[[#This Row],[Item 1]]),0)+IFERROR(FIND("Lower",Table78[[#This Row],[Item 2]]),0)+IFERROR(FIND("Lower",Table78[[#This Row],[Item 3]]),0))&lt;2</f>
        <v>1</v>
      </c>
      <c r="Q107" s="1">
        <v>60</v>
      </c>
      <c r="R107" s="1" t="s">
        <v>274</v>
      </c>
      <c r="S107" s="1" t="s">
        <v>288</v>
      </c>
      <c r="T107" s="1" t="s">
        <v>294</v>
      </c>
      <c r="U107" s="1">
        <v>19</v>
      </c>
      <c r="V107" s="1" t="b">
        <v>1</v>
      </c>
    </row>
    <row r="108" spans="1:22" x14ac:dyDescent="0.25">
      <c r="A108" s="162">
        <v>1</v>
      </c>
      <c r="B108" s="1">
        <v>10</v>
      </c>
      <c r="C108" s="1">
        <v>11</v>
      </c>
      <c r="E108" s="162" t="str">
        <f>INDEX(Table75[Power_list],Table76[[#This Row],[Item 1]])</f>
        <v>HP +</v>
      </c>
      <c r="F108" s="162" t="str">
        <f>INDEX(Table75[Power_list],Table76[[#This Row],[Item 2]])</f>
        <v xml:space="preserve">Lower damage from mines </v>
      </c>
      <c r="G108" s="162" t="str">
        <f>INDEX(Table75[Power_list],Table76[[#This Row],[Item 3]])</f>
        <v xml:space="preserve">Lower damage from ghosts </v>
      </c>
      <c r="H108" s="1">
        <f>INDEX($C$31:$C$44,MATCH(Table7678[[#This Row],[Item 2]],Table75[Power_list],0))+INDEX($C$31:$C$44,MATCH(Table7678[[#This Row],[Item 1]],Table75[Power_list],0))+INDEX($C$31:$C$44,MATCH(Table7678[[#This Row],[Item 3]],Table75[Power_list],0))</f>
        <v>20</v>
      </c>
      <c r="J108" s="1">
        <v>61</v>
      </c>
      <c r="K108" s="1" t="s">
        <v>272</v>
      </c>
      <c r="L108" s="1" t="s">
        <v>273</v>
      </c>
      <c r="M108" s="1" t="s">
        <v>274</v>
      </c>
      <c r="N108" s="1">
        <v>29</v>
      </c>
      <c r="O108" s="1" t="b">
        <f>(IFERROR(FIND("Lower",Table78[[#This Row],[Item 1]]),0)+IFERROR(FIND("Lower",Table78[[#This Row],[Item 2]]),0)+IFERROR(FIND("Lower",Table78[[#This Row],[Item 3]]),0))&lt;2</f>
        <v>1</v>
      </c>
      <c r="Q108" s="1">
        <v>61</v>
      </c>
      <c r="R108" s="1" t="s">
        <v>275</v>
      </c>
      <c r="S108" s="1" t="s">
        <v>276</v>
      </c>
      <c r="T108" s="1" t="s">
        <v>294</v>
      </c>
      <c r="U108" s="1">
        <v>19</v>
      </c>
      <c r="V108" s="1" t="b">
        <v>1</v>
      </c>
    </row>
    <row r="109" spans="1:22" x14ac:dyDescent="0.25">
      <c r="A109" s="162">
        <v>1</v>
      </c>
      <c r="B109" s="1">
        <v>10</v>
      </c>
      <c r="C109" s="1">
        <v>12</v>
      </c>
      <c r="E109" s="162" t="str">
        <f>INDEX(Table75[Power_list],Table76[[#This Row],[Item 1]])</f>
        <v>HP +</v>
      </c>
      <c r="F109" s="162" t="str">
        <f>INDEX(Table75[Power_list],Table76[[#This Row],[Item 2]])</f>
        <v xml:space="preserve">Lower damage from mines </v>
      </c>
      <c r="G109" s="162" t="str">
        <f>INDEX(Table75[Power_list],Table76[[#This Row],[Item 3]])</f>
        <v xml:space="preserve">Lower damage from poison </v>
      </c>
      <c r="H109" s="1">
        <f>INDEX($C$31:$C$44,MATCH(Table7678[[#This Row],[Item 2]],Table75[Power_list],0))+INDEX($C$31:$C$44,MATCH(Table7678[[#This Row],[Item 1]],Table75[Power_list],0))+INDEX($C$31:$C$44,MATCH(Table7678[[#This Row],[Item 3]],Table75[Power_list],0))</f>
        <v>22</v>
      </c>
      <c r="J109" s="1">
        <v>62</v>
      </c>
      <c r="K109" s="1" t="s">
        <v>272</v>
      </c>
      <c r="L109" s="1" t="s">
        <v>273</v>
      </c>
      <c r="M109" s="1" t="s">
        <v>275</v>
      </c>
      <c r="N109" s="1">
        <v>25</v>
      </c>
      <c r="O109" s="1" t="b">
        <f>(IFERROR(FIND("Lower",Table78[[#This Row],[Item 1]]),0)+IFERROR(FIND("Lower",Table78[[#This Row],[Item 2]]),0)+IFERROR(FIND("Lower",Table78[[#This Row],[Item 3]]),0))&lt;2</f>
        <v>1</v>
      </c>
      <c r="Q109" s="1">
        <v>62</v>
      </c>
      <c r="R109" s="1" t="s">
        <v>275</v>
      </c>
      <c r="S109" s="1" t="s">
        <v>277</v>
      </c>
      <c r="T109" s="1" t="s">
        <v>299</v>
      </c>
      <c r="U109" s="1">
        <v>19</v>
      </c>
      <c r="V109" s="1" t="b">
        <v>1</v>
      </c>
    </row>
    <row r="110" spans="1:22" x14ac:dyDescent="0.25">
      <c r="A110" s="162">
        <v>1</v>
      </c>
      <c r="B110" s="1">
        <v>10</v>
      </c>
      <c r="C110" s="1">
        <v>13</v>
      </c>
      <c r="E110" s="162" t="str">
        <f>INDEX(Table75[Power_list],Table76[[#This Row],[Item 1]])</f>
        <v>HP +</v>
      </c>
      <c r="F110" s="162" t="str">
        <f>INDEX(Table75[Power_list],Table76[[#This Row],[Item 2]])</f>
        <v xml:space="preserve">Lower damage from mines </v>
      </c>
      <c r="G110" s="162" t="str">
        <f>INDEX(Table75[Power_list],Table76[[#This Row],[Item 3]])</f>
        <v xml:space="preserve">Lower damage from arrows </v>
      </c>
      <c r="H110" s="1">
        <f>INDEX($C$31:$C$44,MATCH(Table7678[[#This Row],[Item 2]],Table75[Power_list],0))+INDEX($C$31:$C$44,MATCH(Table7678[[#This Row],[Item 1]],Table75[Power_list],0))+INDEX($C$31:$C$44,MATCH(Table7678[[#This Row],[Item 3]],Table75[Power_list],0))</f>
        <v>21</v>
      </c>
      <c r="J110" s="1">
        <v>63</v>
      </c>
      <c r="K110" s="1" t="s">
        <v>272</v>
      </c>
      <c r="L110" s="1" t="s">
        <v>273</v>
      </c>
      <c r="M110" s="1" t="s">
        <v>276</v>
      </c>
      <c r="N110" s="1">
        <v>28</v>
      </c>
      <c r="O110" s="1" t="b">
        <f>(IFERROR(FIND("Lower",Table78[[#This Row],[Item 1]]),0)+IFERROR(FIND("Lower",Table78[[#This Row],[Item 2]]),0)+IFERROR(FIND("Lower",Table78[[#This Row],[Item 3]]),0))&lt;2</f>
        <v>1</v>
      </c>
      <c r="Q110" s="1">
        <v>63</v>
      </c>
      <c r="R110" s="1" t="s">
        <v>275</v>
      </c>
      <c r="S110" s="1" t="s">
        <v>278</v>
      </c>
      <c r="T110" s="1" t="s">
        <v>288</v>
      </c>
      <c r="U110" s="1">
        <v>19</v>
      </c>
      <c r="V110" s="1" t="b">
        <v>1</v>
      </c>
    </row>
    <row r="111" spans="1:22" x14ac:dyDescent="0.25">
      <c r="A111" s="162">
        <v>1</v>
      </c>
      <c r="B111" s="1">
        <v>11</v>
      </c>
      <c r="C111" s="1">
        <v>12</v>
      </c>
      <c r="E111" s="162" t="str">
        <f>INDEX(Table75[Power_list],Table76[[#This Row],[Item 1]])</f>
        <v>HP +</v>
      </c>
      <c r="F111" s="162" t="str">
        <f>INDEX(Table75[Power_list],Table76[[#This Row],[Item 2]])</f>
        <v xml:space="preserve">Lower damage from ghosts </v>
      </c>
      <c r="G111" s="162" t="str">
        <f>INDEX(Table75[Power_list],Table76[[#This Row],[Item 3]])</f>
        <v xml:space="preserve">Lower damage from poison </v>
      </c>
      <c r="H111" s="1">
        <f>INDEX($C$31:$C$44,MATCH(Table7678[[#This Row],[Item 2]],Table75[Power_list],0))+INDEX($C$31:$C$44,MATCH(Table7678[[#This Row],[Item 1]],Table75[Power_list],0))+INDEX($C$31:$C$44,MATCH(Table7678[[#This Row],[Item 3]],Table75[Power_list],0))</f>
        <v>17</v>
      </c>
      <c r="J111" s="1">
        <v>64</v>
      </c>
      <c r="K111" s="1" t="s">
        <v>272</v>
      </c>
      <c r="L111" s="1" t="s">
        <v>273</v>
      </c>
      <c r="M111" s="1" t="s">
        <v>277</v>
      </c>
      <c r="N111" s="1">
        <v>31</v>
      </c>
      <c r="O111" s="1" t="b">
        <f>(IFERROR(FIND("Lower",Table78[[#This Row],[Item 1]]),0)+IFERROR(FIND("Lower",Table78[[#This Row],[Item 2]]),0)+IFERROR(FIND("Lower",Table78[[#This Row],[Item 3]]),0))&lt;2</f>
        <v>1</v>
      </c>
      <c r="Q111" s="1">
        <v>64</v>
      </c>
      <c r="R111" s="1" t="s">
        <v>276</v>
      </c>
      <c r="S111" s="1" t="s">
        <v>278</v>
      </c>
      <c r="T111" s="1" t="s">
        <v>295</v>
      </c>
      <c r="U111" s="1">
        <v>19</v>
      </c>
      <c r="V111" s="1" t="b">
        <v>1</v>
      </c>
    </row>
    <row r="112" spans="1:22" x14ac:dyDescent="0.25">
      <c r="A112" s="162">
        <v>1</v>
      </c>
      <c r="B112" s="1">
        <v>11</v>
      </c>
      <c r="C112" s="1">
        <v>13</v>
      </c>
      <c r="E112" s="162" t="str">
        <f>INDEX(Table75[Power_list],Table76[[#This Row],[Item 1]])</f>
        <v>HP +</v>
      </c>
      <c r="F112" s="162" t="str">
        <f>INDEX(Table75[Power_list],Table76[[#This Row],[Item 2]])</f>
        <v xml:space="preserve">Lower damage from ghosts </v>
      </c>
      <c r="G112" s="162" t="str">
        <f>INDEX(Table75[Power_list],Table76[[#This Row],[Item 3]])</f>
        <v xml:space="preserve">Lower damage from arrows </v>
      </c>
      <c r="H112" s="1">
        <f>INDEX($C$31:$C$44,MATCH(Table7678[[#This Row],[Item 2]],Table75[Power_list],0))+INDEX($C$31:$C$44,MATCH(Table7678[[#This Row],[Item 1]],Table75[Power_list],0))+INDEX($C$31:$C$44,MATCH(Table7678[[#This Row],[Item 3]],Table75[Power_list],0))</f>
        <v>16</v>
      </c>
      <c r="J112" s="1">
        <v>65</v>
      </c>
      <c r="K112" s="1" t="s">
        <v>272</v>
      </c>
      <c r="L112" s="1" t="s">
        <v>273</v>
      </c>
      <c r="M112" s="1" t="s">
        <v>278</v>
      </c>
      <c r="N112" s="1">
        <v>30</v>
      </c>
      <c r="O112" s="1" t="b">
        <f>(IFERROR(FIND("Lower",Table78[[#This Row],[Item 1]]),0)+IFERROR(FIND("Lower",Table78[[#This Row],[Item 2]]),0)+IFERROR(FIND("Lower",Table78[[#This Row],[Item 3]]),0))&lt;2</f>
        <v>1</v>
      </c>
      <c r="Q112" s="1">
        <v>65</v>
      </c>
      <c r="R112" s="1" t="s">
        <v>271</v>
      </c>
      <c r="S112" s="1" t="s">
        <v>273</v>
      </c>
      <c r="T112" s="1" t="s">
        <v>295</v>
      </c>
      <c r="U112" s="1">
        <v>20</v>
      </c>
      <c r="V112" s="1" t="b">
        <v>1</v>
      </c>
    </row>
    <row r="113" spans="1:22" x14ac:dyDescent="0.25">
      <c r="A113" s="162">
        <v>1</v>
      </c>
      <c r="B113" s="1">
        <v>12</v>
      </c>
      <c r="C113" s="1">
        <v>13</v>
      </c>
      <c r="E113" s="162" t="str">
        <f>INDEX(Table75[Power_list],Table76[[#This Row],[Item 1]])</f>
        <v>HP +</v>
      </c>
      <c r="F113" s="162" t="str">
        <f>INDEX(Table75[Power_list],Table76[[#This Row],[Item 2]])</f>
        <v xml:space="preserve">Lower damage from poison </v>
      </c>
      <c r="G113" s="162" t="str">
        <f>INDEX(Table75[Power_list],Table76[[#This Row],[Item 3]])</f>
        <v xml:space="preserve">Lower damage from arrows </v>
      </c>
      <c r="H113" s="1">
        <f>INDEX($C$31:$C$44,MATCH(Table7678[[#This Row],[Item 2]],Table75[Power_list],0))+INDEX($C$31:$C$44,MATCH(Table7678[[#This Row],[Item 1]],Table75[Power_list],0))+INDEX($C$31:$C$44,MATCH(Table7678[[#This Row],[Item 3]],Table75[Power_list],0))</f>
        <v>18</v>
      </c>
      <c r="J113" s="1">
        <v>66</v>
      </c>
      <c r="K113" s="1" t="s">
        <v>272</v>
      </c>
      <c r="L113" s="1" t="s">
        <v>273</v>
      </c>
      <c r="M113" s="1" t="s">
        <v>288</v>
      </c>
      <c r="N113" s="1">
        <v>24</v>
      </c>
      <c r="O113" s="1" t="b">
        <f>(IFERROR(FIND("Lower",Table78[[#This Row],[Item 1]]),0)+IFERROR(FIND("Lower",Table78[[#This Row],[Item 2]]),0)+IFERROR(FIND("Lower",Table78[[#This Row],[Item 3]]),0))&lt;2</f>
        <v>1</v>
      </c>
      <c r="Q113" s="1">
        <v>66</v>
      </c>
      <c r="R113" s="1" t="s">
        <v>271</v>
      </c>
      <c r="S113" s="1" t="s">
        <v>275</v>
      </c>
      <c r="T113" s="1" t="s">
        <v>299</v>
      </c>
      <c r="U113" s="1">
        <v>20</v>
      </c>
      <c r="V113" s="1" t="b">
        <v>1</v>
      </c>
    </row>
    <row r="114" spans="1:22" x14ac:dyDescent="0.25">
      <c r="A114" s="162">
        <v>2</v>
      </c>
      <c r="B114" s="1">
        <v>3</v>
      </c>
      <c r="C114" s="1">
        <v>4</v>
      </c>
      <c r="E114" s="162" t="str">
        <f>INDEX(Table75[Power_list],Table76[[#This Row],[Item 1]])</f>
        <v>Life Drain Reduced</v>
      </c>
      <c r="F114" s="162" t="str">
        <f>INDEX(Table75[Power_list],Table76[[#This Row],[Item 2]])</f>
        <v>Speed +</v>
      </c>
      <c r="G114" s="162" t="str">
        <f>INDEX(Table75[Power_list],Table76[[#This Row],[Item 3]])</f>
        <v>Boost +</v>
      </c>
      <c r="H114" s="1">
        <f>INDEX($C$31:$C$44,MATCH(Table7678[[#This Row],[Item 2]],Table75[Power_list],0))+INDEX($C$31:$C$44,MATCH(Table7678[[#This Row],[Item 1]],Table75[Power_list],0))+INDEX($C$31:$C$44,MATCH(Table7678[[#This Row],[Item 3]],Table75[Power_list],0))</f>
        <v>30</v>
      </c>
      <c r="J114" s="1">
        <v>67</v>
      </c>
      <c r="K114" s="1" t="s">
        <v>272</v>
      </c>
      <c r="L114" s="1" t="s">
        <v>273</v>
      </c>
      <c r="M114" s="1" t="s">
        <v>294</v>
      </c>
      <c r="N114" s="1">
        <v>26</v>
      </c>
      <c r="O114" s="1" t="b">
        <f>(IFERROR(FIND("Lower",Table78[[#This Row],[Item 1]]),0)+IFERROR(FIND("Lower",Table78[[#This Row],[Item 2]]),0)+IFERROR(FIND("Lower",Table78[[#This Row],[Item 3]]),0))&lt;2</f>
        <v>1</v>
      </c>
      <c r="Q114" s="1">
        <v>67</v>
      </c>
      <c r="R114" s="1" t="s">
        <v>272</v>
      </c>
      <c r="S114" s="1" t="s">
        <v>275</v>
      </c>
      <c r="T114" s="1" t="s">
        <v>296</v>
      </c>
      <c r="U114" s="1">
        <v>20</v>
      </c>
      <c r="V114" s="1" t="b">
        <v>1</v>
      </c>
    </row>
    <row r="115" spans="1:22" x14ac:dyDescent="0.25">
      <c r="A115" s="162">
        <v>2</v>
      </c>
      <c r="B115" s="1">
        <v>3</v>
      </c>
      <c r="C115" s="1">
        <v>5</v>
      </c>
      <c r="E115" s="162" t="str">
        <f>INDEX(Table75[Power_list],Table76[[#This Row],[Item 1]])</f>
        <v>Life Drain Reduced</v>
      </c>
      <c r="F115" s="162" t="str">
        <f>INDEX(Table75[Power_list],Table76[[#This Row],[Item 2]])</f>
        <v>Speed +</v>
      </c>
      <c r="G115" s="162" t="str">
        <f>INDEX(Table75[Power_list],Table76[[#This Row],[Item 3]])</f>
        <v>Fire (size) +</v>
      </c>
      <c r="H115" s="1">
        <f>INDEX($C$31:$C$44,MATCH(Table7678[[#This Row],[Item 2]],Table75[Power_list],0))+INDEX($C$31:$C$44,MATCH(Table7678[[#This Row],[Item 1]],Table75[Power_list],0))+INDEX($C$31:$C$44,MATCH(Table7678[[#This Row],[Item 3]],Table75[Power_list],0))</f>
        <v>26</v>
      </c>
      <c r="J115" s="1">
        <v>68</v>
      </c>
      <c r="K115" s="1" t="s">
        <v>272</v>
      </c>
      <c r="L115" s="1" t="s">
        <v>273</v>
      </c>
      <c r="M115" s="1" t="s">
        <v>295</v>
      </c>
      <c r="N115" s="1">
        <v>21</v>
      </c>
      <c r="O115" s="1" t="b">
        <f>(IFERROR(FIND("Lower",Table78[[#This Row],[Item 1]]),0)+IFERROR(FIND("Lower",Table78[[#This Row],[Item 2]]),0)+IFERROR(FIND("Lower",Table78[[#This Row],[Item 3]]),0))&lt;2</f>
        <v>1</v>
      </c>
      <c r="Q115" s="1">
        <v>68</v>
      </c>
      <c r="R115" s="1" t="s">
        <v>272</v>
      </c>
      <c r="S115" s="1" t="s">
        <v>288</v>
      </c>
      <c r="T115" s="1" t="s">
        <v>299</v>
      </c>
      <c r="U115" s="1">
        <v>20</v>
      </c>
      <c r="V115" s="1" t="b">
        <v>1</v>
      </c>
    </row>
    <row r="116" spans="1:22" x14ac:dyDescent="0.25">
      <c r="A116" s="162">
        <v>2</v>
      </c>
      <c r="B116" s="1">
        <v>3</v>
      </c>
      <c r="C116" s="1">
        <v>6</v>
      </c>
      <c r="E116" s="162" t="str">
        <f>INDEX(Table75[Power_list],Table76[[#This Row],[Item 1]])</f>
        <v>Life Drain Reduced</v>
      </c>
      <c r="F116" s="162" t="str">
        <f>INDEX(Table75[Power_list],Table76[[#This Row],[Item 2]])</f>
        <v>Speed +</v>
      </c>
      <c r="G116" s="162" t="str">
        <f>INDEX(Table75[Power_list],Table76[[#This Row],[Item 3]])</f>
        <v>Fire Rush Time +</v>
      </c>
      <c r="H116" s="1">
        <f>INDEX($C$31:$C$44,MATCH(Table7678[[#This Row],[Item 2]],Table75[Power_list],0))+INDEX($C$31:$C$44,MATCH(Table7678[[#This Row],[Item 1]],Table75[Power_list],0))+INDEX($C$31:$C$44,MATCH(Table7678[[#This Row],[Item 3]],Table75[Power_list],0))</f>
        <v>29</v>
      </c>
      <c r="J116" s="1">
        <v>69</v>
      </c>
      <c r="K116" s="1" t="s">
        <v>272</v>
      </c>
      <c r="L116" s="1" t="s">
        <v>273</v>
      </c>
      <c r="M116" s="1" t="s">
        <v>299</v>
      </c>
      <c r="N116" s="1">
        <v>23</v>
      </c>
      <c r="O116" s="1" t="b">
        <f>(IFERROR(FIND("Lower",Table78[[#This Row],[Item 1]]),0)+IFERROR(FIND("Lower",Table78[[#This Row],[Item 2]]),0)+IFERROR(FIND("Lower",Table78[[#This Row],[Item 3]]),0))&lt;2</f>
        <v>1</v>
      </c>
      <c r="Q116" s="1">
        <v>69</v>
      </c>
      <c r="R116" s="1" t="s">
        <v>273</v>
      </c>
      <c r="S116" s="1" t="s">
        <v>274</v>
      </c>
      <c r="T116" s="1" t="s">
        <v>288</v>
      </c>
      <c r="U116" s="1">
        <v>20</v>
      </c>
      <c r="V116" s="1" t="b">
        <v>1</v>
      </c>
    </row>
    <row r="117" spans="1:22" x14ac:dyDescent="0.25">
      <c r="A117" s="162">
        <v>2</v>
      </c>
      <c r="B117" s="1">
        <v>3</v>
      </c>
      <c r="C117" s="1">
        <v>7</v>
      </c>
      <c r="E117" s="162" t="str">
        <f>INDEX(Table75[Power_list],Table76[[#This Row],[Item 1]])</f>
        <v>Life Drain Reduced</v>
      </c>
      <c r="F117" s="162" t="str">
        <f>INDEX(Table75[Power_list],Table76[[#This Row],[Item 2]])</f>
        <v>Speed +</v>
      </c>
      <c r="G117" s="162" t="str">
        <f>INDEX(Table75[Power_list],Table76[[#This Row],[Item 3]])</f>
        <v>SC +</v>
      </c>
      <c r="H117" s="1">
        <f>INDEX($C$31:$C$44,MATCH(Table7678[[#This Row],[Item 2]],Table75[Power_list],0))+INDEX($C$31:$C$44,MATCH(Table7678[[#This Row],[Item 1]],Table75[Power_list],0))+INDEX($C$31:$C$44,MATCH(Table7678[[#This Row],[Item 3]],Table75[Power_list],0))</f>
        <v>32</v>
      </c>
      <c r="J117" s="1">
        <v>70</v>
      </c>
      <c r="K117" s="1" t="s">
        <v>272</v>
      </c>
      <c r="L117" s="1" t="s">
        <v>273</v>
      </c>
      <c r="M117" s="1" t="s">
        <v>296</v>
      </c>
      <c r="N117" s="1">
        <v>22</v>
      </c>
      <c r="O117" s="1" t="b">
        <f>(IFERROR(FIND("Lower",Table78[[#This Row],[Item 1]]),0)+IFERROR(FIND("Lower",Table78[[#This Row],[Item 2]]),0)+IFERROR(FIND("Lower",Table78[[#This Row],[Item 3]]),0))&lt;2</f>
        <v>1</v>
      </c>
      <c r="Q117" s="1">
        <v>70</v>
      </c>
      <c r="R117" s="1" t="s">
        <v>273</v>
      </c>
      <c r="S117" s="1" t="s">
        <v>275</v>
      </c>
      <c r="T117" s="1" t="s">
        <v>276</v>
      </c>
      <c r="U117" s="1">
        <v>20</v>
      </c>
      <c r="V117" s="1" t="b">
        <v>1</v>
      </c>
    </row>
    <row r="118" spans="1:22" x14ac:dyDescent="0.25">
      <c r="A118" s="162">
        <v>2</v>
      </c>
      <c r="B118" s="1">
        <v>3</v>
      </c>
      <c r="C118" s="1">
        <v>8</v>
      </c>
      <c r="E118" s="162" t="str">
        <f>INDEX(Table75[Power_list],Table76[[#This Row],[Item 1]])</f>
        <v>Life Drain Reduced</v>
      </c>
      <c r="F118" s="162" t="str">
        <f>INDEX(Table75[Power_list],Table76[[#This Row],[Item 2]])</f>
        <v>Speed +</v>
      </c>
      <c r="G118" s="162" t="str">
        <f>INDEX(Table75[Power_list],Table76[[#This Row],[Item 3]])</f>
        <v>Score +</v>
      </c>
      <c r="H118" s="1">
        <f>INDEX($C$31:$C$44,MATCH(Table7678[[#This Row],[Item 2]],Table75[Power_list],0))+INDEX($C$31:$C$44,MATCH(Table7678[[#This Row],[Item 1]],Table75[Power_list],0))+INDEX($C$31:$C$44,MATCH(Table7678[[#This Row],[Item 3]],Table75[Power_list],0))</f>
        <v>31</v>
      </c>
      <c r="J118" s="1">
        <v>71</v>
      </c>
      <c r="K118" s="1" t="s">
        <v>272</v>
      </c>
      <c r="L118" s="1" t="s">
        <v>274</v>
      </c>
      <c r="M118" s="1" t="s">
        <v>275</v>
      </c>
      <c r="N118" s="1">
        <v>27</v>
      </c>
      <c r="O118" s="1" t="b">
        <f>(IFERROR(FIND("Lower",Table78[[#This Row],[Item 1]]),0)+IFERROR(FIND("Lower",Table78[[#This Row],[Item 2]]),0)+IFERROR(FIND("Lower",Table78[[#This Row],[Item 3]]),0))&lt;2</f>
        <v>1</v>
      </c>
      <c r="Q118" s="1">
        <v>71</v>
      </c>
      <c r="R118" s="1" t="s">
        <v>273</v>
      </c>
      <c r="S118" s="1" t="s">
        <v>277</v>
      </c>
      <c r="T118" s="1" t="s">
        <v>296</v>
      </c>
      <c r="U118" s="1">
        <v>20</v>
      </c>
      <c r="V118" s="1" t="b">
        <v>1</v>
      </c>
    </row>
    <row r="119" spans="1:22" x14ac:dyDescent="0.25">
      <c r="A119" s="162">
        <v>2</v>
      </c>
      <c r="B119" s="1">
        <v>3</v>
      </c>
      <c r="C119" s="1">
        <v>9</v>
      </c>
      <c r="E119" s="162" t="str">
        <f>INDEX(Table75[Power_list],Table76[[#This Row],[Item 1]])</f>
        <v>Life Drain Reduced</v>
      </c>
      <c r="F119" s="162" t="str">
        <f>INDEX(Table75[Power_list],Table76[[#This Row],[Item 2]])</f>
        <v>Speed +</v>
      </c>
      <c r="G119" s="162" t="str">
        <f>INDEX(Table75[Power_list],Table76[[#This Row],[Item 3]])</f>
        <v>Food +</v>
      </c>
      <c r="H119" s="1">
        <f>INDEX($C$31:$C$44,MATCH(Table7678[[#This Row],[Item 2]],Table75[Power_list],0))+INDEX($C$31:$C$44,MATCH(Table7678[[#This Row],[Item 1]],Table75[Power_list],0))+INDEX($C$31:$C$44,MATCH(Table7678[[#This Row],[Item 3]],Table75[Power_list],0))</f>
        <v>25</v>
      </c>
      <c r="J119" s="1">
        <v>72</v>
      </c>
      <c r="K119" s="1" t="s">
        <v>272</v>
      </c>
      <c r="L119" s="1" t="s">
        <v>274</v>
      </c>
      <c r="M119" s="1" t="s">
        <v>276</v>
      </c>
      <c r="N119" s="1">
        <v>30</v>
      </c>
      <c r="O119" s="1" t="b">
        <f>(IFERROR(FIND("Lower",Table78[[#This Row],[Item 1]]),0)+IFERROR(FIND("Lower",Table78[[#This Row],[Item 2]]),0)+IFERROR(FIND("Lower",Table78[[#This Row],[Item 3]]),0))&lt;2</f>
        <v>1</v>
      </c>
      <c r="Q119" s="1">
        <v>72</v>
      </c>
      <c r="R119" s="1" t="s">
        <v>273</v>
      </c>
      <c r="S119" s="1" t="s">
        <v>278</v>
      </c>
      <c r="T119" s="1" t="s">
        <v>299</v>
      </c>
      <c r="U119" s="1">
        <v>20</v>
      </c>
      <c r="V119" s="1" t="b">
        <v>1</v>
      </c>
    </row>
    <row r="120" spans="1:22" x14ac:dyDescent="0.25">
      <c r="A120" s="162">
        <v>2</v>
      </c>
      <c r="B120" s="1">
        <v>3</v>
      </c>
      <c r="C120" s="1">
        <v>10</v>
      </c>
      <c r="E120" s="162" t="str">
        <f>INDEX(Table75[Power_list],Table76[[#This Row],[Item 1]])</f>
        <v>Life Drain Reduced</v>
      </c>
      <c r="F120" s="162" t="str">
        <f>INDEX(Table75[Power_list],Table76[[#This Row],[Item 2]])</f>
        <v>Speed +</v>
      </c>
      <c r="G120" s="162" t="str">
        <f>INDEX(Table75[Power_list],Table76[[#This Row],[Item 3]])</f>
        <v xml:space="preserve">Lower damage from mines </v>
      </c>
      <c r="H120" s="1">
        <f>INDEX($C$31:$C$44,MATCH(Table7678[[#This Row],[Item 2]],Table75[Power_list],0))+INDEX($C$31:$C$44,MATCH(Table7678[[#This Row],[Item 1]],Table75[Power_list],0))+INDEX($C$31:$C$44,MATCH(Table7678[[#This Row],[Item 3]],Table75[Power_list],0))</f>
        <v>27</v>
      </c>
      <c r="J120" s="1">
        <v>73</v>
      </c>
      <c r="K120" s="1" t="s">
        <v>272</v>
      </c>
      <c r="L120" s="1" t="s">
        <v>274</v>
      </c>
      <c r="M120" s="1" t="s">
        <v>277</v>
      </c>
      <c r="N120" s="1">
        <v>33</v>
      </c>
      <c r="O120" s="1" t="b">
        <f>(IFERROR(FIND("Lower",Table78[[#This Row],[Item 1]]),0)+IFERROR(FIND("Lower",Table78[[#This Row],[Item 2]]),0)+IFERROR(FIND("Lower",Table78[[#This Row],[Item 3]]),0))&lt;2</f>
        <v>1</v>
      </c>
      <c r="Q120" s="1">
        <v>73</v>
      </c>
      <c r="R120" s="1" t="s">
        <v>274</v>
      </c>
      <c r="S120" s="1" t="s">
        <v>275</v>
      </c>
      <c r="T120" s="1" t="s">
        <v>294</v>
      </c>
      <c r="U120" s="1">
        <v>20</v>
      </c>
      <c r="V120" s="1" t="b">
        <v>1</v>
      </c>
    </row>
    <row r="121" spans="1:22" x14ac:dyDescent="0.25">
      <c r="A121" s="162">
        <v>2</v>
      </c>
      <c r="B121" s="1">
        <v>3</v>
      </c>
      <c r="C121" s="1">
        <v>11</v>
      </c>
      <c r="E121" s="162" t="str">
        <f>INDEX(Table75[Power_list],Table76[[#This Row],[Item 1]])</f>
        <v>Life Drain Reduced</v>
      </c>
      <c r="F121" s="162" t="str">
        <f>INDEX(Table75[Power_list],Table76[[#This Row],[Item 2]])</f>
        <v>Speed +</v>
      </c>
      <c r="G121" s="162" t="str">
        <f>INDEX(Table75[Power_list],Table76[[#This Row],[Item 3]])</f>
        <v xml:space="preserve">Lower damage from ghosts </v>
      </c>
      <c r="H121" s="1">
        <f>INDEX($C$31:$C$44,MATCH(Table7678[[#This Row],[Item 2]],Table75[Power_list],0))+INDEX($C$31:$C$44,MATCH(Table7678[[#This Row],[Item 1]],Table75[Power_list],0))+INDEX($C$31:$C$44,MATCH(Table7678[[#This Row],[Item 3]],Table75[Power_list],0))</f>
        <v>22</v>
      </c>
      <c r="J121" s="1">
        <v>74</v>
      </c>
      <c r="K121" s="1" t="s">
        <v>272</v>
      </c>
      <c r="L121" s="1" t="s">
        <v>274</v>
      </c>
      <c r="M121" s="1" t="s">
        <v>278</v>
      </c>
      <c r="N121" s="1">
        <v>32</v>
      </c>
      <c r="O121" s="1" t="b">
        <f>(IFERROR(FIND("Lower",Table78[[#This Row],[Item 1]]),0)+IFERROR(FIND("Lower",Table78[[#This Row],[Item 2]]),0)+IFERROR(FIND("Lower",Table78[[#This Row],[Item 3]]),0))&lt;2</f>
        <v>1</v>
      </c>
      <c r="Q121" s="1">
        <v>74</v>
      </c>
      <c r="R121" s="1" t="s">
        <v>274</v>
      </c>
      <c r="S121" s="1" t="s">
        <v>276</v>
      </c>
      <c r="T121" s="1" t="s">
        <v>299</v>
      </c>
      <c r="U121" s="1">
        <v>20</v>
      </c>
      <c r="V121" s="1" t="b">
        <v>1</v>
      </c>
    </row>
    <row r="122" spans="1:22" x14ac:dyDescent="0.25">
      <c r="A122" s="162">
        <v>2</v>
      </c>
      <c r="B122" s="1">
        <v>3</v>
      </c>
      <c r="C122" s="1">
        <v>12</v>
      </c>
      <c r="E122" s="162" t="str">
        <f>INDEX(Table75[Power_list],Table76[[#This Row],[Item 1]])</f>
        <v>Life Drain Reduced</v>
      </c>
      <c r="F122" s="162" t="str">
        <f>INDEX(Table75[Power_list],Table76[[#This Row],[Item 2]])</f>
        <v>Speed +</v>
      </c>
      <c r="G122" s="162" t="str">
        <f>INDEX(Table75[Power_list],Table76[[#This Row],[Item 3]])</f>
        <v xml:space="preserve">Lower damage from poison </v>
      </c>
      <c r="H122" s="1">
        <f>INDEX($C$31:$C$44,MATCH(Table7678[[#This Row],[Item 2]],Table75[Power_list],0))+INDEX($C$31:$C$44,MATCH(Table7678[[#This Row],[Item 1]],Table75[Power_list],0))+INDEX($C$31:$C$44,MATCH(Table7678[[#This Row],[Item 3]],Table75[Power_list],0))</f>
        <v>24</v>
      </c>
      <c r="J122" s="1">
        <v>75</v>
      </c>
      <c r="K122" s="1" t="s">
        <v>272</v>
      </c>
      <c r="L122" s="1" t="s">
        <v>274</v>
      </c>
      <c r="M122" s="1" t="s">
        <v>288</v>
      </c>
      <c r="N122" s="1">
        <v>26</v>
      </c>
      <c r="O122" s="1" t="b">
        <f>(IFERROR(FIND("Lower",Table78[[#This Row],[Item 1]]),0)+IFERROR(FIND("Lower",Table78[[#This Row],[Item 2]]),0)+IFERROR(FIND("Lower",Table78[[#This Row],[Item 3]]),0))&lt;2</f>
        <v>1</v>
      </c>
      <c r="Q122" s="1">
        <v>75</v>
      </c>
      <c r="R122" s="1" t="s">
        <v>274</v>
      </c>
      <c r="S122" s="1" t="s">
        <v>278</v>
      </c>
      <c r="T122" s="1" t="s">
        <v>295</v>
      </c>
      <c r="U122" s="1">
        <v>20</v>
      </c>
      <c r="V122" s="1" t="b">
        <v>1</v>
      </c>
    </row>
    <row r="123" spans="1:22" x14ac:dyDescent="0.25">
      <c r="A123" s="162">
        <v>2</v>
      </c>
      <c r="B123" s="1">
        <v>3</v>
      </c>
      <c r="C123" s="1">
        <v>13</v>
      </c>
      <c r="E123" s="162" t="str">
        <f>INDEX(Table75[Power_list],Table76[[#This Row],[Item 1]])</f>
        <v>Life Drain Reduced</v>
      </c>
      <c r="F123" s="162" t="str">
        <f>INDEX(Table75[Power_list],Table76[[#This Row],[Item 2]])</f>
        <v>Speed +</v>
      </c>
      <c r="G123" s="162" t="str">
        <f>INDEX(Table75[Power_list],Table76[[#This Row],[Item 3]])</f>
        <v xml:space="preserve">Lower damage from arrows </v>
      </c>
      <c r="H123" s="1">
        <f>INDEX($C$31:$C$44,MATCH(Table7678[[#This Row],[Item 2]],Table75[Power_list],0))+INDEX($C$31:$C$44,MATCH(Table7678[[#This Row],[Item 1]],Table75[Power_list],0))+INDEX($C$31:$C$44,MATCH(Table7678[[#This Row],[Item 3]],Table75[Power_list],0))</f>
        <v>23</v>
      </c>
      <c r="J123" s="1">
        <v>76</v>
      </c>
      <c r="K123" s="1" t="s">
        <v>272</v>
      </c>
      <c r="L123" s="1" t="s">
        <v>274</v>
      </c>
      <c r="M123" s="1" t="s">
        <v>294</v>
      </c>
      <c r="N123" s="1">
        <v>28</v>
      </c>
      <c r="O123" s="1" t="b">
        <f>(IFERROR(FIND("Lower",Table78[[#This Row],[Item 1]]),0)+IFERROR(FIND("Lower",Table78[[#This Row],[Item 2]]),0)+IFERROR(FIND("Lower",Table78[[#This Row],[Item 3]]),0))&lt;2</f>
        <v>1</v>
      </c>
      <c r="Q123" s="1">
        <v>76</v>
      </c>
      <c r="R123" s="1" t="s">
        <v>275</v>
      </c>
      <c r="S123" s="1" t="s">
        <v>277</v>
      </c>
      <c r="T123" s="1" t="s">
        <v>288</v>
      </c>
      <c r="U123" s="1">
        <v>20</v>
      </c>
      <c r="V123" s="1" t="b">
        <v>1</v>
      </c>
    </row>
    <row r="124" spans="1:22" x14ac:dyDescent="0.25">
      <c r="A124" s="162">
        <v>2</v>
      </c>
      <c r="B124" s="1">
        <v>4</v>
      </c>
      <c r="C124" s="1">
        <v>5</v>
      </c>
      <c r="E124" s="162" t="str">
        <f>INDEX(Table75[Power_list],Table76[[#This Row],[Item 1]])</f>
        <v>Life Drain Reduced</v>
      </c>
      <c r="F124" s="162" t="str">
        <f>INDEX(Table75[Power_list],Table76[[#This Row],[Item 2]])</f>
        <v>Boost +</v>
      </c>
      <c r="G124" s="162" t="str">
        <f>INDEX(Table75[Power_list],Table76[[#This Row],[Item 3]])</f>
        <v>Fire (size) +</v>
      </c>
      <c r="H124" s="1">
        <f>INDEX($C$31:$C$44,MATCH(Table7678[[#This Row],[Item 2]],Table75[Power_list],0))+INDEX($C$31:$C$44,MATCH(Table7678[[#This Row],[Item 1]],Table75[Power_list],0))+INDEX($C$31:$C$44,MATCH(Table7678[[#This Row],[Item 3]],Table75[Power_list],0))</f>
        <v>28</v>
      </c>
      <c r="J124" s="1">
        <v>77</v>
      </c>
      <c r="K124" s="1" t="s">
        <v>272</v>
      </c>
      <c r="L124" s="1" t="s">
        <v>274</v>
      </c>
      <c r="M124" s="1" t="s">
        <v>295</v>
      </c>
      <c r="N124" s="1">
        <v>23</v>
      </c>
      <c r="O124" s="1" t="b">
        <f>(IFERROR(FIND("Lower",Table78[[#This Row],[Item 1]]),0)+IFERROR(FIND("Lower",Table78[[#This Row],[Item 2]]),0)+IFERROR(FIND("Lower",Table78[[#This Row],[Item 3]]),0))&lt;2</f>
        <v>1</v>
      </c>
      <c r="Q124" s="1">
        <v>77</v>
      </c>
      <c r="R124" s="1" t="s">
        <v>276</v>
      </c>
      <c r="S124" s="1" t="s">
        <v>277</v>
      </c>
      <c r="T124" s="1" t="s">
        <v>295</v>
      </c>
      <c r="U124" s="1">
        <v>20</v>
      </c>
      <c r="V124" s="1" t="b">
        <v>1</v>
      </c>
    </row>
    <row r="125" spans="1:22" x14ac:dyDescent="0.25">
      <c r="A125" s="162">
        <v>2</v>
      </c>
      <c r="B125" s="1">
        <v>4</v>
      </c>
      <c r="C125" s="1">
        <v>6</v>
      </c>
      <c r="E125" s="162" t="str">
        <f>INDEX(Table75[Power_list],Table76[[#This Row],[Item 1]])</f>
        <v>Life Drain Reduced</v>
      </c>
      <c r="F125" s="162" t="str">
        <f>INDEX(Table75[Power_list],Table76[[#This Row],[Item 2]])</f>
        <v>Boost +</v>
      </c>
      <c r="G125" s="162" t="str">
        <f>INDEX(Table75[Power_list],Table76[[#This Row],[Item 3]])</f>
        <v>Fire Rush Time +</v>
      </c>
      <c r="H125" s="1">
        <f>INDEX($C$31:$C$44,MATCH(Table7678[[#This Row],[Item 2]],Table75[Power_list],0))+INDEX($C$31:$C$44,MATCH(Table7678[[#This Row],[Item 1]],Table75[Power_list],0))+INDEX($C$31:$C$44,MATCH(Table7678[[#This Row],[Item 3]],Table75[Power_list],0))</f>
        <v>31</v>
      </c>
      <c r="J125" s="1">
        <v>78</v>
      </c>
      <c r="K125" s="1" t="s">
        <v>272</v>
      </c>
      <c r="L125" s="1" t="s">
        <v>274</v>
      </c>
      <c r="M125" s="1" t="s">
        <v>299</v>
      </c>
      <c r="N125" s="1">
        <v>25</v>
      </c>
      <c r="O125" s="1" t="b">
        <f>(IFERROR(FIND("Lower",Table78[[#This Row],[Item 1]]),0)+IFERROR(FIND("Lower",Table78[[#This Row],[Item 2]]),0)+IFERROR(FIND("Lower",Table78[[#This Row],[Item 3]]),0))&lt;2</f>
        <v>1</v>
      </c>
      <c r="Q125" s="1">
        <v>78</v>
      </c>
      <c r="R125" s="1" t="s">
        <v>276</v>
      </c>
      <c r="S125" s="1" t="s">
        <v>278</v>
      </c>
      <c r="T125" s="1" t="s">
        <v>296</v>
      </c>
      <c r="U125" s="1">
        <v>20</v>
      </c>
      <c r="V125" s="1" t="b">
        <v>1</v>
      </c>
    </row>
    <row r="126" spans="1:22" x14ac:dyDescent="0.25">
      <c r="A126" s="162">
        <v>2</v>
      </c>
      <c r="B126" s="1">
        <v>4</v>
      </c>
      <c r="C126" s="1">
        <v>7</v>
      </c>
      <c r="E126" s="162" t="str">
        <f>INDEX(Table75[Power_list],Table76[[#This Row],[Item 1]])</f>
        <v>Life Drain Reduced</v>
      </c>
      <c r="F126" s="162" t="str">
        <f>INDEX(Table75[Power_list],Table76[[#This Row],[Item 2]])</f>
        <v>Boost +</v>
      </c>
      <c r="G126" s="162" t="str">
        <f>INDEX(Table75[Power_list],Table76[[#This Row],[Item 3]])</f>
        <v>SC +</v>
      </c>
      <c r="H126" s="1">
        <f>INDEX($C$31:$C$44,MATCH(Table7678[[#This Row],[Item 2]],Table75[Power_list],0))+INDEX($C$31:$C$44,MATCH(Table7678[[#This Row],[Item 1]],Table75[Power_list],0))+INDEX($C$31:$C$44,MATCH(Table7678[[#This Row],[Item 3]],Table75[Power_list],0))</f>
        <v>34</v>
      </c>
      <c r="J126" s="1">
        <v>79</v>
      </c>
      <c r="K126" s="1" t="s">
        <v>272</v>
      </c>
      <c r="L126" s="1" t="s">
        <v>274</v>
      </c>
      <c r="M126" s="1" t="s">
        <v>296</v>
      </c>
      <c r="N126" s="1">
        <v>24</v>
      </c>
      <c r="O126" s="1" t="b">
        <f>(IFERROR(FIND("Lower",Table78[[#This Row],[Item 1]]),0)+IFERROR(FIND("Lower",Table78[[#This Row],[Item 2]]),0)+IFERROR(FIND("Lower",Table78[[#This Row],[Item 3]]),0))&lt;2</f>
        <v>1</v>
      </c>
      <c r="Q126" s="1">
        <v>79</v>
      </c>
      <c r="R126" s="1" t="s">
        <v>278</v>
      </c>
      <c r="S126" s="1" t="s">
        <v>288</v>
      </c>
      <c r="T126" s="1" t="s">
        <v>294</v>
      </c>
      <c r="U126" s="1">
        <v>20</v>
      </c>
      <c r="V126" s="1" t="b">
        <v>1</v>
      </c>
    </row>
    <row r="127" spans="1:22" x14ac:dyDescent="0.25">
      <c r="A127" s="162">
        <v>2</v>
      </c>
      <c r="B127" s="1">
        <v>4</v>
      </c>
      <c r="C127" s="1">
        <v>8</v>
      </c>
      <c r="E127" s="162" t="str">
        <f>INDEX(Table75[Power_list],Table76[[#This Row],[Item 1]])</f>
        <v>Life Drain Reduced</v>
      </c>
      <c r="F127" s="162" t="str">
        <f>INDEX(Table75[Power_list],Table76[[#This Row],[Item 2]])</f>
        <v>Boost +</v>
      </c>
      <c r="G127" s="162" t="str">
        <f>INDEX(Table75[Power_list],Table76[[#This Row],[Item 3]])</f>
        <v>Score +</v>
      </c>
      <c r="H127" s="1">
        <f>INDEX($C$31:$C$44,MATCH(Table7678[[#This Row],[Item 2]],Table75[Power_list],0))+INDEX($C$31:$C$44,MATCH(Table7678[[#This Row],[Item 1]],Table75[Power_list],0))+INDEX($C$31:$C$44,MATCH(Table7678[[#This Row],[Item 3]],Table75[Power_list],0))</f>
        <v>33</v>
      </c>
      <c r="J127" s="1">
        <v>80</v>
      </c>
      <c r="K127" s="1" t="s">
        <v>272</v>
      </c>
      <c r="L127" s="1" t="s">
        <v>275</v>
      </c>
      <c r="M127" s="1" t="s">
        <v>276</v>
      </c>
      <c r="N127" s="1">
        <v>26</v>
      </c>
      <c r="O127" s="1" t="b">
        <f>(IFERROR(FIND("Lower",Table78[[#This Row],[Item 1]]),0)+IFERROR(FIND("Lower",Table78[[#This Row],[Item 2]]),0)+IFERROR(FIND("Lower",Table78[[#This Row],[Item 3]]),0))&lt;2</f>
        <v>1</v>
      </c>
      <c r="Q127" s="1">
        <v>80</v>
      </c>
      <c r="R127" s="1" t="s">
        <v>271</v>
      </c>
      <c r="S127" s="1" t="s">
        <v>273</v>
      </c>
      <c r="T127" s="1" t="s">
        <v>296</v>
      </c>
      <c r="U127" s="1">
        <v>21</v>
      </c>
      <c r="V127" s="1" t="b">
        <v>1</v>
      </c>
    </row>
    <row r="128" spans="1:22" x14ac:dyDescent="0.25">
      <c r="A128" s="162">
        <v>2</v>
      </c>
      <c r="B128" s="1">
        <v>4</v>
      </c>
      <c r="C128" s="1">
        <v>9</v>
      </c>
      <c r="E128" s="162" t="str">
        <f>INDEX(Table75[Power_list],Table76[[#This Row],[Item 1]])</f>
        <v>Life Drain Reduced</v>
      </c>
      <c r="F128" s="162" t="str">
        <f>INDEX(Table75[Power_list],Table76[[#This Row],[Item 2]])</f>
        <v>Boost +</v>
      </c>
      <c r="G128" s="162" t="str">
        <f>INDEX(Table75[Power_list],Table76[[#This Row],[Item 3]])</f>
        <v>Food +</v>
      </c>
      <c r="H128" s="1">
        <f>INDEX($C$31:$C$44,MATCH(Table7678[[#This Row],[Item 2]],Table75[Power_list],0))+INDEX($C$31:$C$44,MATCH(Table7678[[#This Row],[Item 1]],Table75[Power_list],0))+INDEX($C$31:$C$44,MATCH(Table7678[[#This Row],[Item 3]],Table75[Power_list],0))</f>
        <v>27</v>
      </c>
      <c r="J128" s="1">
        <v>81</v>
      </c>
      <c r="K128" s="1" t="s">
        <v>272</v>
      </c>
      <c r="L128" s="1" t="s">
        <v>275</v>
      </c>
      <c r="M128" s="1" t="s">
        <v>277</v>
      </c>
      <c r="N128" s="1">
        <v>29</v>
      </c>
      <c r="O128" s="1" t="b">
        <f>(IFERROR(FIND("Lower",Table78[[#This Row],[Item 1]]),0)+IFERROR(FIND("Lower",Table78[[#This Row],[Item 2]]),0)+IFERROR(FIND("Lower",Table78[[#This Row],[Item 3]]),0))&lt;2</f>
        <v>1</v>
      </c>
      <c r="Q128" s="1">
        <v>81</v>
      </c>
      <c r="R128" s="1" t="s">
        <v>271</v>
      </c>
      <c r="S128" s="1" t="s">
        <v>275</v>
      </c>
      <c r="T128" s="1" t="s">
        <v>288</v>
      </c>
      <c r="U128" s="1">
        <v>21</v>
      </c>
      <c r="V128" s="1" t="b">
        <v>1</v>
      </c>
    </row>
    <row r="129" spans="1:22" x14ac:dyDescent="0.25">
      <c r="A129" s="162">
        <v>2</v>
      </c>
      <c r="B129" s="1">
        <v>4</v>
      </c>
      <c r="C129" s="1">
        <v>10</v>
      </c>
      <c r="E129" s="162" t="str">
        <f>INDEX(Table75[Power_list],Table76[[#This Row],[Item 1]])</f>
        <v>Life Drain Reduced</v>
      </c>
      <c r="F129" s="162" t="str">
        <f>INDEX(Table75[Power_list],Table76[[#This Row],[Item 2]])</f>
        <v>Boost +</v>
      </c>
      <c r="G129" s="162" t="str">
        <f>INDEX(Table75[Power_list],Table76[[#This Row],[Item 3]])</f>
        <v xml:space="preserve">Lower damage from mines </v>
      </c>
      <c r="H129" s="1">
        <f>INDEX($C$31:$C$44,MATCH(Table7678[[#This Row],[Item 2]],Table75[Power_list],0))+INDEX($C$31:$C$44,MATCH(Table7678[[#This Row],[Item 1]],Table75[Power_list],0))+INDEX($C$31:$C$44,MATCH(Table7678[[#This Row],[Item 3]],Table75[Power_list],0))</f>
        <v>29</v>
      </c>
      <c r="J129" s="1">
        <v>82</v>
      </c>
      <c r="K129" s="1" t="s">
        <v>272</v>
      </c>
      <c r="L129" s="1" t="s">
        <v>275</v>
      </c>
      <c r="M129" s="1" t="s">
        <v>278</v>
      </c>
      <c r="N129" s="1">
        <v>28</v>
      </c>
      <c r="O129" s="1" t="b">
        <f>(IFERROR(FIND("Lower",Table78[[#This Row],[Item 1]]),0)+IFERROR(FIND("Lower",Table78[[#This Row],[Item 2]]),0)+IFERROR(FIND("Lower",Table78[[#This Row],[Item 3]]),0))&lt;2</f>
        <v>1</v>
      </c>
      <c r="Q129" s="1">
        <v>82</v>
      </c>
      <c r="R129" s="1" t="s">
        <v>271</v>
      </c>
      <c r="S129" s="1" t="s">
        <v>276</v>
      </c>
      <c r="T129" s="1" t="s">
        <v>295</v>
      </c>
      <c r="U129" s="1">
        <v>21</v>
      </c>
      <c r="V129" s="1" t="b">
        <v>1</v>
      </c>
    </row>
    <row r="130" spans="1:22" x14ac:dyDescent="0.25">
      <c r="A130" s="162">
        <v>2</v>
      </c>
      <c r="B130" s="1">
        <v>4</v>
      </c>
      <c r="C130" s="1">
        <v>11</v>
      </c>
      <c r="E130" s="162" t="str">
        <f>INDEX(Table75[Power_list],Table76[[#This Row],[Item 1]])</f>
        <v>Life Drain Reduced</v>
      </c>
      <c r="F130" s="162" t="str">
        <f>INDEX(Table75[Power_list],Table76[[#This Row],[Item 2]])</f>
        <v>Boost +</v>
      </c>
      <c r="G130" s="162" t="str">
        <f>INDEX(Table75[Power_list],Table76[[#This Row],[Item 3]])</f>
        <v xml:space="preserve">Lower damage from ghosts </v>
      </c>
      <c r="H130" s="1">
        <f>INDEX($C$31:$C$44,MATCH(Table7678[[#This Row],[Item 2]],Table75[Power_list],0))+INDEX($C$31:$C$44,MATCH(Table7678[[#This Row],[Item 1]],Table75[Power_list],0))+INDEX($C$31:$C$44,MATCH(Table7678[[#This Row],[Item 3]],Table75[Power_list],0))</f>
        <v>24</v>
      </c>
      <c r="J130" s="1">
        <v>83</v>
      </c>
      <c r="K130" s="1" t="s">
        <v>272</v>
      </c>
      <c r="L130" s="1" t="s">
        <v>275</v>
      </c>
      <c r="M130" s="1" t="s">
        <v>288</v>
      </c>
      <c r="N130" s="1">
        <v>22</v>
      </c>
      <c r="O130" s="1" t="b">
        <f>(IFERROR(FIND("Lower",Table78[[#This Row],[Item 1]]),0)+IFERROR(FIND("Lower",Table78[[#This Row],[Item 2]]),0)+IFERROR(FIND("Lower",Table78[[#This Row],[Item 3]]),0))&lt;2</f>
        <v>1</v>
      </c>
      <c r="Q130" s="1">
        <v>83</v>
      </c>
      <c r="R130" s="1" t="s">
        <v>272</v>
      </c>
      <c r="S130" s="1" t="s">
        <v>273</v>
      </c>
      <c r="T130" s="1" t="s">
        <v>295</v>
      </c>
      <c r="U130" s="1">
        <v>21</v>
      </c>
      <c r="V130" s="1" t="b">
        <v>1</v>
      </c>
    </row>
    <row r="131" spans="1:22" x14ac:dyDescent="0.25">
      <c r="A131" s="162">
        <v>2</v>
      </c>
      <c r="B131" s="1">
        <v>4</v>
      </c>
      <c r="C131" s="1">
        <v>12</v>
      </c>
      <c r="E131" s="162" t="str">
        <f>INDEX(Table75[Power_list],Table76[[#This Row],[Item 1]])</f>
        <v>Life Drain Reduced</v>
      </c>
      <c r="F131" s="162" t="str">
        <f>INDEX(Table75[Power_list],Table76[[#This Row],[Item 2]])</f>
        <v>Boost +</v>
      </c>
      <c r="G131" s="162" t="str">
        <f>INDEX(Table75[Power_list],Table76[[#This Row],[Item 3]])</f>
        <v xml:space="preserve">Lower damage from poison </v>
      </c>
      <c r="H131" s="1">
        <f>INDEX($C$31:$C$44,MATCH(Table7678[[#This Row],[Item 2]],Table75[Power_list],0))+INDEX($C$31:$C$44,MATCH(Table7678[[#This Row],[Item 1]],Table75[Power_list],0))+INDEX($C$31:$C$44,MATCH(Table7678[[#This Row],[Item 3]],Table75[Power_list],0))</f>
        <v>26</v>
      </c>
      <c r="J131" s="1">
        <v>84</v>
      </c>
      <c r="K131" s="1" t="s">
        <v>272</v>
      </c>
      <c r="L131" s="1" t="s">
        <v>275</v>
      </c>
      <c r="M131" s="1" t="s">
        <v>294</v>
      </c>
      <c r="N131" s="1">
        <v>24</v>
      </c>
      <c r="O131" s="1" t="b">
        <f>(IFERROR(FIND("Lower",Table78[[#This Row],[Item 1]]),0)+IFERROR(FIND("Lower",Table78[[#This Row],[Item 2]]),0)+IFERROR(FIND("Lower",Table78[[#This Row],[Item 3]]),0))&lt;2</f>
        <v>1</v>
      </c>
      <c r="Q131" s="1">
        <v>84</v>
      </c>
      <c r="R131" s="1" t="s">
        <v>272</v>
      </c>
      <c r="S131" s="1" t="s">
        <v>275</v>
      </c>
      <c r="T131" s="1" t="s">
        <v>299</v>
      </c>
      <c r="U131" s="1">
        <v>21</v>
      </c>
      <c r="V131" s="1" t="b">
        <v>1</v>
      </c>
    </row>
    <row r="132" spans="1:22" x14ac:dyDescent="0.25">
      <c r="A132" s="162">
        <v>2</v>
      </c>
      <c r="B132" s="1">
        <v>4</v>
      </c>
      <c r="C132" s="1">
        <v>13</v>
      </c>
      <c r="E132" s="162" t="str">
        <f>INDEX(Table75[Power_list],Table76[[#This Row],[Item 1]])</f>
        <v>Life Drain Reduced</v>
      </c>
      <c r="F132" s="162" t="str">
        <f>INDEX(Table75[Power_list],Table76[[#This Row],[Item 2]])</f>
        <v>Boost +</v>
      </c>
      <c r="G132" s="162" t="str">
        <f>INDEX(Table75[Power_list],Table76[[#This Row],[Item 3]])</f>
        <v xml:space="preserve">Lower damage from arrows </v>
      </c>
      <c r="H132" s="1">
        <f>INDEX($C$31:$C$44,MATCH(Table7678[[#This Row],[Item 2]],Table75[Power_list],0))+INDEX($C$31:$C$44,MATCH(Table7678[[#This Row],[Item 1]],Table75[Power_list],0))+INDEX($C$31:$C$44,MATCH(Table7678[[#This Row],[Item 3]],Table75[Power_list],0))</f>
        <v>25</v>
      </c>
      <c r="J132" s="1">
        <v>85</v>
      </c>
      <c r="K132" s="1" t="s">
        <v>272</v>
      </c>
      <c r="L132" s="1" t="s">
        <v>275</v>
      </c>
      <c r="M132" s="1" t="s">
        <v>295</v>
      </c>
      <c r="N132" s="1">
        <v>19</v>
      </c>
      <c r="O132" s="1" t="b">
        <f>(IFERROR(FIND("Lower",Table78[[#This Row],[Item 1]]),0)+IFERROR(FIND("Lower",Table78[[#This Row],[Item 2]]),0)+IFERROR(FIND("Lower",Table78[[#This Row],[Item 3]]),0))&lt;2</f>
        <v>1</v>
      </c>
      <c r="Q132" s="1">
        <v>85</v>
      </c>
      <c r="R132" s="1" t="s">
        <v>273</v>
      </c>
      <c r="S132" s="1" t="s">
        <v>274</v>
      </c>
      <c r="T132" s="1" t="s">
        <v>275</v>
      </c>
      <c r="U132" s="1">
        <v>21</v>
      </c>
      <c r="V132" s="1" t="b">
        <v>1</v>
      </c>
    </row>
    <row r="133" spans="1:22" x14ac:dyDescent="0.25">
      <c r="A133" s="162">
        <v>2</v>
      </c>
      <c r="B133" s="1">
        <v>5</v>
      </c>
      <c r="C133" s="1">
        <v>6</v>
      </c>
      <c r="E133" s="162" t="str">
        <f>INDEX(Table75[Power_list],Table76[[#This Row],[Item 1]])</f>
        <v>Life Drain Reduced</v>
      </c>
      <c r="F133" s="162" t="str">
        <f>INDEX(Table75[Power_list],Table76[[#This Row],[Item 2]])</f>
        <v>Fire (size) +</v>
      </c>
      <c r="G133" s="162" t="str">
        <f>INDEX(Table75[Power_list],Table76[[#This Row],[Item 3]])</f>
        <v>Fire Rush Time +</v>
      </c>
      <c r="H133" s="1">
        <f>INDEX($C$31:$C$44,MATCH(Table7678[[#This Row],[Item 2]],Table75[Power_list],0))+INDEX($C$31:$C$44,MATCH(Table7678[[#This Row],[Item 1]],Table75[Power_list],0))+INDEX($C$31:$C$44,MATCH(Table7678[[#This Row],[Item 3]],Table75[Power_list],0))</f>
        <v>27</v>
      </c>
      <c r="J133" s="1">
        <v>86</v>
      </c>
      <c r="K133" s="1" t="s">
        <v>272</v>
      </c>
      <c r="L133" s="1" t="s">
        <v>275</v>
      </c>
      <c r="M133" s="1" t="s">
        <v>299</v>
      </c>
      <c r="N133" s="1">
        <v>21</v>
      </c>
      <c r="O133" s="1" t="b">
        <f>(IFERROR(FIND("Lower",Table78[[#This Row],[Item 1]]),0)+IFERROR(FIND("Lower",Table78[[#This Row],[Item 2]]),0)+IFERROR(FIND("Lower",Table78[[#This Row],[Item 3]]),0))&lt;2</f>
        <v>1</v>
      </c>
      <c r="Q133" s="1">
        <v>86</v>
      </c>
      <c r="R133" s="1" t="s">
        <v>273</v>
      </c>
      <c r="S133" s="1" t="s">
        <v>276</v>
      </c>
      <c r="T133" s="1" t="s">
        <v>294</v>
      </c>
      <c r="U133" s="1">
        <v>21</v>
      </c>
      <c r="V133" s="1" t="b">
        <v>1</v>
      </c>
    </row>
    <row r="134" spans="1:22" x14ac:dyDescent="0.25">
      <c r="A134" s="162">
        <v>2</v>
      </c>
      <c r="B134" s="1">
        <v>5</v>
      </c>
      <c r="C134" s="1">
        <v>7</v>
      </c>
      <c r="E134" s="162" t="str">
        <f>INDEX(Table75[Power_list],Table76[[#This Row],[Item 1]])</f>
        <v>Life Drain Reduced</v>
      </c>
      <c r="F134" s="162" t="str">
        <f>INDEX(Table75[Power_list],Table76[[#This Row],[Item 2]])</f>
        <v>Fire (size) +</v>
      </c>
      <c r="G134" s="162" t="str">
        <f>INDEX(Table75[Power_list],Table76[[#This Row],[Item 3]])</f>
        <v>SC +</v>
      </c>
      <c r="H134" s="1">
        <f>INDEX($C$31:$C$44,MATCH(Table7678[[#This Row],[Item 2]],Table75[Power_list],0))+INDEX($C$31:$C$44,MATCH(Table7678[[#This Row],[Item 1]],Table75[Power_list],0))+INDEX($C$31:$C$44,MATCH(Table7678[[#This Row],[Item 3]],Table75[Power_list],0))</f>
        <v>30</v>
      </c>
      <c r="J134" s="1">
        <v>87</v>
      </c>
      <c r="K134" s="1" t="s">
        <v>272</v>
      </c>
      <c r="L134" s="1" t="s">
        <v>275</v>
      </c>
      <c r="M134" s="1" t="s">
        <v>296</v>
      </c>
      <c r="N134" s="1">
        <v>20</v>
      </c>
      <c r="O134" s="1" t="b">
        <f>(IFERROR(FIND("Lower",Table78[[#This Row],[Item 1]]),0)+IFERROR(FIND("Lower",Table78[[#This Row],[Item 2]]),0)+IFERROR(FIND("Lower",Table78[[#This Row],[Item 3]]),0))&lt;2</f>
        <v>1</v>
      </c>
      <c r="Q134" s="1">
        <v>87</v>
      </c>
      <c r="R134" s="1" t="s">
        <v>273</v>
      </c>
      <c r="S134" s="1" t="s">
        <v>277</v>
      </c>
      <c r="T134" s="1" t="s">
        <v>299</v>
      </c>
      <c r="U134" s="1">
        <v>21</v>
      </c>
      <c r="V134" s="1" t="b">
        <v>1</v>
      </c>
    </row>
    <row r="135" spans="1:22" x14ac:dyDescent="0.25">
      <c r="A135" s="162">
        <v>2</v>
      </c>
      <c r="B135" s="1">
        <v>5</v>
      </c>
      <c r="C135" s="1">
        <v>8</v>
      </c>
      <c r="E135" s="162" t="str">
        <f>INDEX(Table75[Power_list],Table76[[#This Row],[Item 1]])</f>
        <v>Life Drain Reduced</v>
      </c>
      <c r="F135" s="162" t="str">
        <f>INDEX(Table75[Power_list],Table76[[#This Row],[Item 2]])</f>
        <v>Fire (size) +</v>
      </c>
      <c r="G135" s="162" t="str">
        <f>INDEX(Table75[Power_list],Table76[[#This Row],[Item 3]])</f>
        <v>Score +</v>
      </c>
      <c r="H135" s="1">
        <f>INDEX($C$31:$C$44,MATCH(Table7678[[#This Row],[Item 2]],Table75[Power_list],0))+INDEX($C$31:$C$44,MATCH(Table7678[[#This Row],[Item 1]],Table75[Power_list],0))+INDEX($C$31:$C$44,MATCH(Table7678[[#This Row],[Item 3]],Table75[Power_list],0))</f>
        <v>29</v>
      </c>
      <c r="J135" s="1">
        <v>88</v>
      </c>
      <c r="K135" s="1" t="s">
        <v>272</v>
      </c>
      <c r="L135" s="1" t="s">
        <v>276</v>
      </c>
      <c r="M135" s="1" t="s">
        <v>277</v>
      </c>
      <c r="N135" s="1">
        <v>32</v>
      </c>
      <c r="O135" s="1" t="b">
        <f>(IFERROR(FIND("Lower",Table78[[#This Row],[Item 1]]),0)+IFERROR(FIND("Lower",Table78[[#This Row],[Item 2]]),0)+IFERROR(FIND("Lower",Table78[[#This Row],[Item 3]]),0))&lt;2</f>
        <v>1</v>
      </c>
      <c r="Q135" s="1">
        <v>88</v>
      </c>
      <c r="R135" s="1" t="s">
        <v>273</v>
      </c>
      <c r="S135" s="1" t="s">
        <v>278</v>
      </c>
      <c r="T135" s="1" t="s">
        <v>288</v>
      </c>
      <c r="U135" s="1">
        <v>21</v>
      </c>
      <c r="V135" s="1" t="b">
        <v>1</v>
      </c>
    </row>
    <row r="136" spans="1:22" x14ac:dyDescent="0.25">
      <c r="A136" s="162">
        <v>2</v>
      </c>
      <c r="B136" s="1">
        <v>5</v>
      </c>
      <c r="C136" s="1">
        <v>9</v>
      </c>
      <c r="E136" s="162" t="str">
        <f>INDEX(Table75[Power_list],Table76[[#This Row],[Item 1]])</f>
        <v>Life Drain Reduced</v>
      </c>
      <c r="F136" s="162" t="str">
        <f>INDEX(Table75[Power_list],Table76[[#This Row],[Item 2]])</f>
        <v>Fire (size) +</v>
      </c>
      <c r="G136" s="162" t="str">
        <f>INDEX(Table75[Power_list],Table76[[#This Row],[Item 3]])</f>
        <v>Food +</v>
      </c>
      <c r="H136" s="1">
        <f>INDEX($C$31:$C$44,MATCH(Table7678[[#This Row],[Item 2]],Table75[Power_list],0))+INDEX($C$31:$C$44,MATCH(Table7678[[#This Row],[Item 1]],Table75[Power_list],0))+INDEX($C$31:$C$44,MATCH(Table7678[[#This Row],[Item 3]],Table75[Power_list],0))</f>
        <v>23</v>
      </c>
      <c r="J136" s="1">
        <v>89</v>
      </c>
      <c r="K136" s="1" t="s">
        <v>272</v>
      </c>
      <c r="L136" s="1" t="s">
        <v>276</v>
      </c>
      <c r="M136" s="1" t="s">
        <v>278</v>
      </c>
      <c r="N136" s="1">
        <v>31</v>
      </c>
      <c r="O136" s="1" t="b">
        <f>(IFERROR(FIND("Lower",Table78[[#This Row],[Item 1]]),0)+IFERROR(FIND("Lower",Table78[[#This Row],[Item 2]]),0)+IFERROR(FIND("Lower",Table78[[#This Row],[Item 3]]),0))&lt;2</f>
        <v>1</v>
      </c>
      <c r="Q136" s="1">
        <v>89</v>
      </c>
      <c r="R136" s="1" t="s">
        <v>274</v>
      </c>
      <c r="S136" s="1" t="s">
        <v>276</v>
      </c>
      <c r="T136" s="1" t="s">
        <v>288</v>
      </c>
      <c r="U136" s="1">
        <v>21</v>
      </c>
      <c r="V136" s="1" t="b">
        <v>1</v>
      </c>
    </row>
    <row r="137" spans="1:22" x14ac:dyDescent="0.25">
      <c r="A137" s="162">
        <v>2</v>
      </c>
      <c r="B137" s="1">
        <v>5</v>
      </c>
      <c r="C137" s="1">
        <v>10</v>
      </c>
      <c r="E137" s="162" t="str">
        <f>INDEX(Table75[Power_list],Table76[[#This Row],[Item 1]])</f>
        <v>Life Drain Reduced</v>
      </c>
      <c r="F137" s="162" t="str">
        <f>INDEX(Table75[Power_list],Table76[[#This Row],[Item 2]])</f>
        <v>Fire (size) +</v>
      </c>
      <c r="G137" s="162" t="str">
        <f>INDEX(Table75[Power_list],Table76[[#This Row],[Item 3]])</f>
        <v xml:space="preserve">Lower damage from mines </v>
      </c>
      <c r="H137" s="1">
        <f>INDEX($C$31:$C$44,MATCH(Table7678[[#This Row],[Item 2]],Table75[Power_list],0))+INDEX($C$31:$C$44,MATCH(Table7678[[#This Row],[Item 1]],Table75[Power_list],0))+INDEX($C$31:$C$44,MATCH(Table7678[[#This Row],[Item 3]],Table75[Power_list],0))</f>
        <v>25</v>
      </c>
      <c r="J137" s="1">
        <v>90</v>
      </c>
      <c r="K137" s="1" t="s">
        <v>272</v>
      </c>
      <c r="L137" s="1" t="s">
        <v>276</v>
      </c>
      <c r="M137" s="1" t="s">
        <v>288</v>
      </c>
      <c r="N137" s="1">
        <v>25</v>
      </c>
      <c r="O137" s="1" t="b">
        <f>(IFERROR(FIND("Lower",Table78[[#This Row],[Item 1]]),0)+IFERROR(FIND("Lower",Table78[[#This Row],[Item 2]]),0)+IFERROR(FIND("Lower",Table78[[#This Row],[Item 3]]),0))&lt;2</f>
        <v>1</v>
      </c>
      <c r="Q137" s="1">
        <v>90</v>
      </c>
      <c r="R137" s="1" t="s">
        <v>274</v>
      </c>
      <c r="S137" s="1" t="s">
        <v>277</v>
      </c>
      <c r="T137" s="1" t="s">
        <v>295</v>
      </c>
      <c r="U137" s="1">
        <v>21</v>
      </c>
      <c r="V137" s="1" t="b">
        <v>1</v>
      </c>
    </row>
    <row r="138" spans="1:22" x14ac:dyDescent="0.25">
      <c r="A138" s="162">
        <v>2</v>
      </c>
      <c r="B138" s="1">
        <v>5</v>
      </c>
      <c r="C138" s="1">
        <v>11</v>
      </c>
      <c r="E138" s="162" t="str">
        <f>INDEX(Table75[Power_list],Table76[[#This Row],[Item 1]])</f>
        <v>Life Drain Reduced</v>
      </c>
      <c r="F138" s="162" t="str">
        <f>INDEX(Table75[Power_list],Table76[[#This Row],[Item 2]])</f>
        <v>Fire (size) +</v>
      </c>
      <c r="G138" s="162" t="str">
        <f>INDEX(Table75[Power_list],Table76[[#This Row],[Item 3]])</f>
        <v xml:space="preserve">Lower damage from ghosts </v>
      </c>
      <c r="H138" s="1">
        <f>INDEX($C$31:$C$44,MATCH(Table7678[[#This Row],[Item 2]],Table75[Power_list],0))+INDEX($C$31:$C$44,MATCH(Table7678[[#This Row],[Item 1]],Table75[Power_list],0))+INDEX($C$31:$C$44,MATCH(Table7678[[#This Row],[Item 3]],Table75[Power_list],0))</f>
        <v>20</v>
      </c>
      <c r="J138" s="1">
        <v>91</v>
      </c>
      <c r="K138" s="1" t="s">
        <v>272</v>
      </c>
      <c r="L138" s="1" t="s">
        <v>276</v>
      </c>
      <c r="M138" s="1" t="s">
        <v>294</v>
      </c>
      <c r="N138" s="1">
        <v>27</v>
      </c>
      <c r="O138" s="1" t="b">
        <f>(IFERROR(FIND("Lower",Table78[[#This Row],[Item 1]]),0)+IFERROR(FIND("Lower",Table78[[#This Row],[Item 2]]),0)+IFERROR(FIND("Lower",Table78[[#This Row],[Item 3]]),0))&lt;2</f>
        <v>1</v>
      </c>
      <c r="Q138" s="1">
        <v>91</v>
      </c>
      <c r="R138" s="1" t="s">
        <v>274</v>
      </c>
      <c r="S138" s="1" t="s">
        <v>278</v>
      </c>
      <c r="T138" s="1" t="s">
        <v>296</v>
      </c>
      <c r="U138" s="1">
        <v>21</v>
      </c>
      <c r="V138" s="1" t="b">
        <v>1</v>
      </c>
    </row>
    <row r="139" spans="1:22" x14ac:dyDescent="0.25">
      <c r="A139" s="162">
        <v>2</v>
      </c>
      <c r="B139" s="1">
        <v>5</v>
      </c>
      <c r="C139" s="1">
        <v>12</v>
      </c>
      <c r="E139" s="162" t="str">
        <f>INDEX(Table75[Power_list],Table76[[#This Row],[Item 1]])</f>
        <v>Life Drain Reduced</v>
      </c>
      <c r="F139" s="162" t="str">
        <f>INDEX(Table75[Power_list],Table76[[#This Row],[Item 2]])</f>
        <v>Fire (size) +</v>
      </c>
      <c r="G139" s="162" t="str">
        <f>INDEX(Table75[Power_list],Table76[[#This Row],[Item 3]])</f>
        <v xml:space="preserve">Lower damage from poison </v>
      </c>
      <c r="H139" s="1">
        <f>INDEX($C$31:$C$44,MATCH(Table7678[[#This Row],[Item 2]],Table75[Power_list],0))+INDEX($C$31:$C$44,MATCH(Table7678[[#This Row],[Item 1]],Table75[Power_list],0))+INDEX($C$31:$C$44,MATCH(Table7678[[#This Row],[Item 3]],Table75[Power_list],0))</f>
        <v>22</v>
      </c>
      <c r="J139" s="1">
        <v>92</v>
      </c>
      <c r="K139" s="1" t="s">
        <v>272</v>
      </c>
      <c r="L139" s="1" t="s">
        <v>276</v>
      </c>
      <c r="M139" s="1" t="s">
        <v>295</v>
      </c>
      <c r="N139" s="1">
        <v>22</v>
      </c>
      <c r="O139" s="1" t="b">
        <f>(IFERROR(FIND("Lower",Table78[[#This Row],[Item 1]]),0)+IFERROR(FIND("Lower",Table78[[#This Row],[Item 2]]),0)+IFERROR(FIND("Lower",Table78[[#This Row],[Item 3]]),0))&lt;2</f>
        <v>1</v>
      </c>
      <c r="Q139" s="1">
        <v>92</v>
      </c>
      <c r="R139" s="1" t="s">
        <v>275</v>
      </c>
      <c r="S139" s="1" t="s">
        <v>278</v>
      </c>
      <c r="T139" s="1" t="s">
        <v>294</v>
      </c>
      <c r="U139" s="1">
        <v>21</v>
      </c>
      <c r="V139" s="1" t="b">
        <v>1</v>
      </c>
    </row>
    <row r="140" spans="1:22" x14ac:dyDescent="0.25">
      <c r="A140" s="162">
        <v>2</v>
      </c>
      <c r="B140" s="1">
        <v>5</v>
      </c>
      <c r="C140" s="1">
        <v>13</v>
      </c>
      <c r="E140" s="162" t="str">
        <f>INDEX(Table75[Power_list],Table76[[#This Row],[Item 1]])</f>
        <v>Life Drain Reduced</v>
      </c>
      <c r="F140" s="162" t="str">
        <f>INDEX(Table75[Power_list],Table76[[#This Row],[Item 2]])</f>
        <v>Fire (size) +</v>
      </c>
      <c r="G140" s="162" t="str">
        <f>INDEX(Table75[Power_list],Table76[[#This Row],[Item 3]])</f>
        <v xml:space="preserve">Lower damage from arrows </v>
      </c>
      <c r="H140" s="1">
        <f>INDEX($C$31:$C$44,MATCH(Table7678[[#This Row],[Item 2]],Table75[Power_list],0))+INDEX($C$31:$C$44,MATCH(Table7678[[#This Row],[Item 1]],Table75[Power_list],0))+INDEX($C$31:$C$44,MATCH(Table7678[[#This Row],[Item 3]],Table75[Power_list],0))</f>
        <v>21</v>
      </c>
      <c r="J140" s="1">
        <v>93</v>
      </c>
      <c r="K140" s="1" t="s">
        <v>272</v>
      </c>
      <c r="L140" s="1" t="s">
        <v>276</v>
      </c>
      <c r="M140" s="1" t="s">
        <v>299</v>
      </c>
      <c r="N140" s="1">
        <v>24</v>
      </c>
      <c r="O140" s="1" t="b">
        <f>(IFERROR(FIND("Lower",Table78[[#This Row],[Item 1]]),0)+IFERROR(FIND("Lower",Table78[[#This Row],[Item 2]]),0)+IFERROR(FIND("Lower",Table78[[#This Row],[Item 3]]),0))&lt;2</f>
        <v>1</v>
      </c>
      <c r="Q140" s="1">
        <v>93</v>
      </c>
      <c r="R140" s="1" t="s">
        <v>276</v>
      </c>
      <c r="S140" s="1" t="s">
        <v>277</v>
      </c>
      <c r="T140" s="1" t="s">
        <v>296</v>
      </c>
      <c r="U140" s="1">
        <v>21</v>
      </c>
      <c r="V140" s="1" t="b">
        <v>1</v>
      </c>
    </row>
    <row r="141" spans="1:22" x14ac:dyDescent="0.25">
      <c r="A141" s="162">
        <v>2</v>
      </c>
      <c r="B141" s="1">
        <v>6</v>
      </c>
      <c r="C141" s="1">
        <v>7</v>
      </c>
      <c r="E141" s="162" t="str">
        <f>INDEX(Table75[Power_list],Table76[[#This Row],[Item 1]])</f>
        <v>Life Drain Reduced</v>
      </c>
      <c r="F141" s="162" t="str">
        <f>INDEX(Table75[Power_list],Table76[[#This Row],[Item 2]])</f>
        <v>Fire Rush Time +</v>
      </c>
      <c r="G141" s="162" t="str">
        <f>INDEX(Table75[Power_list],Table76[[#This Row],[Item 3]])</f>
        <v>SC +</v>
      </c>
      <c r="H141" s="1">
        <f>INDEX($C$31:$C$44,MATCH(Table7678[[#This Row],[Item 2]],Table75[Power_list],0))+INDEX($C$31:$C$44,MATCH(Table7678[[#This Row],[Item 1]],Table75[Power_list],0))+INDEX($C$31:$C$44,MATCH(Table7678[[#This Row],[Item 3]],Table75[Power_list],0))</f>
        <v>33</v>
      </c>
      <c r="J141" s="1">
        <v>94</v>
      </c>
      <c r="K141" s="1" t="s">
        <v>272</v>
      </c>
      <c r="L141" s="1" t="s">
        <v>276</v>
      </c>
      <c r="M141" s="1" t="s">
        <v>296</v>
      </c>
      <c r="N141" s="1">
        <v>23</v>
      </c>
      <c r="O141" s="1" t="b">
        <f>(IFERROR(FIND("Lower",Table78[[#This Row],[Item 1]]),0)+IFERROR(FIND("Lower",Table78[[#This Row],[Item 2]]),0)+IFERROR(FIND("Lower",Table78[[#This Row],[Item 3]]),0))&lt;2</f>
        <v>1</v>
      </c>
      <c r="Q141" s="1">
        <v>94</v>
      </c>
      <c r="R141" s="1" t="s">
        <v>276</v>
      </c>
      <c r="S141" s="1" t="s">
        <v>278</v>
      </c>
      <c r="T141" s="1" t="s">
        <v>299</v>
      </c>
      <c r="U141" s="1">
        <v>21</v>
      </c>
      <c r="V141" s="1" t="b">
        <v>1</v>
      </c>
    </row>
    <row r="142" spans="1:22" x14ac:dyDescent="0.25">
      <c r="A142" s="162">
        <v>2</v>
      </c>
      <c r="B142" s="1">
        <v>6</v>
      </c>
      <c r="C142" s="1">
        <v>8</v>
      </c>
      <c r="E142" s="162" t="str">
        <f>INDEX(Table75[Power_list],Table76[[#This Row],[Item 1]])</f>
        <v>Life Drain Reduced</v>
      </c>
      <c r="F142" s="162" t="str">
        <f>INDEX(Table75[Power_list],Table76[[#This Row],[Item 2]])</f>
        <v>Fire Rush Time +</v>
      </c>
      <c r="G142" s="162" t="str">
        <f>INDEX(Table75[Power_list],Table76[[#This Row],[Item 3]])</f>
        <v>Score +</v>
      </c>
      <c r="H142" s="1">
        <f>INDEX($C$31:$C$44,MATCH(Table7678[[#This Row],[Item 2]],Table75[Power_list],0))+INDEX($C$31:$C$44,MATCH(Table7678[[#This Row],[Item 1]],Table75[Power_list],0))+INDEX($C$31:$C$44,MATCH(Table7678[[#This Row],[Item 3]],Table75[Power_list],0))</f>
        <v>32</v>
      </c>
      <c r="J142" s="1">
        <v>95</v>
      </c>
      <c r="K142" s="1" t="s">
        <v>272</v>
      </c>
      <c r="L142" s="1" t="s">
        <v>277</v>
      </c>
      <c r="M142" s="1" t="s">
        <v>278</v>
      </c>
      <c r="N142" s="1">
        <v>34</v>
      </c>
      <c r="O142" s="1" t="b">
        <f>(IFERROR(FIND("Lower",Table78[[#This Row],[Item 1]]),0)+IFERROR(FIND("Lower",Table78[[#This Row],[Item 2]]),0)+IFERROR(FIND("Lower",Table78[[#This Row],[Item 3]]),0))&lt;2</f>
        <v>1</v>
      </c>
      <c r="Q142" s="1">
        <v>95</v>
      </c>
      <c r="R142" s="1" t="s">
        <v>277</v>
      </c>
      <c r="S142" s="1" t="s">
        <v>288</v>
      </c>
      <c r="T142" s="1" t="s">
        <v>294</v>
      </c>
      <c r="U142" s="1">
        <v>21</v>
      </c>
      <c r="V142" s="1" t="b">
        <v>1</v>
      </c>
    </row>
    <row r="143" spans="1:22" x14ac:dyDescent="0.25">
      <c r="A143" s="162">
        <v>2</v>
      </c>
      <c r="B143" s="1">
        <v>6</v>
      </c>
      <c r="C143" s="1">
        <v>9</v>
      </c>
      <c r="E143" s="162" t="str">
        <f>INDEX(Table75[Power_list],Table76[[#This Row],[Item 1]])</f>
        <v>Life Drain Reduced</v>
      </c>
      <c r="F143" s="162" t="str">
        <f>INDEX(Table75[Power_list],Table76[[#This Row],[Item 2]])</f>
        <v>Fire Rush Time +</v>
      </c>
      <c r="G143" s="162" t="str">
        <f>INDEX(Table75[Power_list],Table76[[#This Row],[Item 3]])</f>
        <v>Food +</v>
      </c>
      <c r="H143" s="1">
        <f>INDEX($C$31:$C$44,MATCH(Table7678[[#This Row],[Item 2]],Table75[Power_list],0))+INDEX($C$31:$C$44,MATCH(Table7678[[#This Row],[Item 1]],Table75[Power_list],0))+INDEX($C$31:$C$44,MATCH(Table7678[[#This Row],[Item 3]],Table75[Power_list],0))</f>
        <v>26</v>
      </c>
      <c r="J143" s="1">
        <v>96</v>
      </c>
      <c r="K143" s="1" t="s">
        <v>272</v>
      </c>
      <c r="L143" s="1" t="s">
        <v>277</v>
      </c>
      <c r="M143" s="1" t="s">
        <v>288</v>
      </c>
      <c r="N143" s="1">
        <v>28</v>
      </c>
      <c r="O143" s="1" t="b">
        <f>(IFERROR(FIND("Lower",Table78[[#This Row],[Item 1]]),0)+IFERROR(FIND("Lower",Table78[[#This Row],[Item 2]]),0)+IFERROR(FIND("Lower",Table78[[#This Row],[Item 3]]),0))&lt;2</f>
        <v>1</v>
      </c>
      <c r="Q143" s="1">
        <v>96</v>
      </c>
      <c r="R143" s="1" t="s">
        <v>271</v>
      </c>
      <c r="S143" s="1" t="s">
        <v>273</v>
      </c>
      <c r="T143" s="1" t="s">
        <v>299</v>
      </c>
      <c r="U143" s="1">
        <v>22</v>
      </c>
      <c r="V143" s="1" t="b">
        <v>1</v>
      </c>
    </row>
    <row r="144" spans="1:22" x14ac:dyDescent="0.25">
      <c r="A144" s="162">
        <v>2</v>
      </c>
      <c r="B144" s="1">
        <v>6</v>
      </c>
      <c r="C144" s="1">
        <v>10</v>
      </c>
      <c r="E144" s="162" t="str">
        <f>INDEX(Table75[Power_list],Table76[[#This Row],[Item 1]])</f>
        <v>Life Drain Reduced</v>
      </c>
      <c r="F144" s="162" t="str">
        <f>INDEX(Table75[Power_list],Table76[[#This Row],[Item 2]])</f>
        <v>Fire Rush Time +</v>
      </c>
      <c r="G144" s="162" t="str">
        <f>INDEX(Table75[Power_list],Table76[[#This Row],[Item 3]])</f>
        <v xml:space="preserve">Lower damage from mines </v>
      </c>
      <c r="H144" s="1">
        <f>INDEX($C$31:$C$44,MATCH(Table7678[[#This Row],[Item 2]],Table75[Power_list],0))+INDEX($C$31:$C$44,MATCH(Table7678[[#This Row],[Item 1]],Table75[Power_list],0))+INDEX($C$31:$C$44,MATCH(Table7678[[#This Row],[Item 3]],Table75[Power_list],0))</f>
        <v>28</v>
      </c>
      <c r="J144" s="1">
        <v>97</v>
      </c>
      <c r="K144" s="1" t="s">
        <v>272</v>
      </c>
      <c r="L144" s="1" t="s">
        <v>277</v>
      </c>
      <c r="M144" s="1" t="s">
        <v>294</v>
      </c>
      <c r="N144" s="1">
        <v>30</v>
      </c>
      <c r="O144" s="1" t="b">
        <f>(IFERROR(FIND("Lower",Table78[[#This Row],[Item 1]]),0)+IFERROR(FIND("Lower",Table78[[#This Row],[Item 2]]),0)+IFERROR(FIND("Lower",Table78[[#This Row],[Item 3]]),0))&lt;2</f>
        <v>1</v>
      </c>
      <c r="Q144" s="1">
        <v>97</v>
      </c>
      <c r="R144" s="1" t="s">
        <v>271</v>
      </c>
      <c r="S144" s="1" t="s">
        <v>274</v>
      </c>
      <c r="T144" s="1" t="s">
        <v>295</v>
      </c>
      <c r="U144" s="1">
        <v>22</v>
      </c>
      <c r="V144" s="1" t="b">
        <v>1</v>
      </c>
    </row>
    <row r="145" spans="1:22" x14ac:dyDescent="0.25">
      <c r="A145" s="162">
        <v>2</v>
      </c>
      <c r="B145" s="1">
        <v>6</v>
      </c>
      <c r="C145" s="1">
        <v>11</v>
      </c>
      <c r="E145" s="162" t="str">
        <f>INDEX(Table75[Power_list],Table76[[#This Row],[Item 1]])</f>
        <v>Life Drain Reduced</v>
      </c>
      <c r="F145" s="162" t="str">
        <f>INDEX(Table75[Power_list],Table76[[#This Row],[Item 2]])</f>
        <v>Fire Rush Time +</v>
      </c>
      <c r="G145" s="162" t="str">
        <f>INDEX(Table75[Power_list],Table76[[#This Row],[Item 3]])</f>
        <v xml:space="preserve">Lower damage from ghosts </v>
      </c>
      <c r="H145" s="1">
        <f>INDEX($C$31:$C$44,MATCH(Table7678[[#This Row],[Item 2]],Table75[Power_list],0))+INDEX($C$31:$C$44,MATCH(Table7678[[#This Row],[Item 1]],Table75[Power_list],0))+INDEX($C$31:$C$44,MATCH(Table7678[[#This Row],[Item 3]],Table75[Power_list],0))</f>
        <v>23</v>
      </c>
      <c r="J145" s="1">
        <v>98</v>
      </c>
      <c r="K145" s="1" t="s">
        <v>272</v>
      </c>
      <c r="L145" s="1" t="s">
        <v>277</v>
      </c>
      <c r="M145" s="1" t="s">
        <v>295</v>
      </c>
      <c r="N145" s="1">
        <v>25</v>
      </c>
      <c r="O145" s="1" t="b">
        <f>(IFERROR(FIND("Lower",Table78[[#This Row],[Item 1]]),0)+IFERROR(FIND("Lower",Table78[[#This Row],[Item 2]]),0)+IFERROR(FIND("Lower",Table78[[#This Row],[Item 3]]),0))&lt;2</f>
        <v>1</v>
      </c>
      <c r="Q145" s="1">
        <v>98</v>
      </c>
      <c r="R145" s="1" t="s">
        <v>271</v>
      </c>
      <c r="S145" s="1" t="s">
        <v>276</v>
      </c>
      <c r="T145" s="1" t="s">
        <v>296</v>
      </c>
      <c r="U145" s="1">
        <v>22</v>
      </c>
      <c r="V145" s="1" t="b">
        <v>1</v>
      </c>
    </row>
    <row r="146" spans="1:22" x14ac:dyDescent="0.25">
      <c r="A146" s="162">
        <v>2</v>
      </c>
      <c r="B146" s="1">
        <v>6</v>
      </c>
      <c r="C146" s="1">
        <v>12</v>
      </c>
      <c r="E146" s="162" t="str">
        <f>INDEX(Table75[Power_list],Table76[[#This Row],[Item 1]])</f>
        <v>Life Drain Reduced</v>
      </c>
      <c r="F146" s="162" t="str">
        <f>INDEX(Table75[Power_list],Table76[[#This Row],[Item 2]])</f>
        <v>Fire Rush Time +</v>
      </c>
      <c r="G146" s="162" t="str">
        <f>INDEX(Table75[Power_list],Table76[[#This Row],[Item 3]])</f>
        <v xml:space="preserve">Lower damage from poison </v>
      </c>
      <c r="H146" s="1">
        <f>INDEX($C$31:$C$44,MATCH(Table7678[[#This Row],[Item 2]],Table75[Power_list],0))+INDEX($C$31:$C$44,MATCH(Table7678[[#This Row],[Item 1]],Table75[Power_list],0))+INDEX($C$31:$C$44,MATCH(Table7678[[#This Row],[Item 3]],Table75[Power_list],0))</f>
        <v>25</v>
      </c>
      <c r="J146" s="1">
        <v>99</v>
      </c>
      <c r="K146" s="1" t="s">
        <v>272</v>
      </c>
      <c r="L146" s="1" t="s">
        <v>277</v>
      </c>
      <c r="M146" s="1" t="s">
        <v>299</v>
      </c>
      <c r="N146" s="1">
        <v>27</v>
      </c>
      <c r="O146" s="1" t="b">
        <f>(IFERROR(FIND("Lower",Table78[[#This Row],[Item 1]]),0)+IFERROR(FIND("Lower",Table78[[#This Row],[Item 2]]),0)+IFERROR(FIND("Lower",Table78[[#This Row],[Item 3]]),0))&lt;2</f>
        <v>1</v>
      </c>
      <c r="Q146" s="1">
        <v>99</v>
      </c>
      <c r="R146" s="1" t="s">
        <v>271</v>
      </c>
      <c r="S146" s="1" t="s">
        <v>288</v>
      </c>
      <c r="T146" s="1" t="s">
        <v>294</v>
      </c>
      <c r="U146" s="1">
        <v>22</v>
      </c>
      <c r="V146" s="1" t="b">
        <v>1</v>
      </c>
    </row>
    <row r="147" spans="1:22" x14ac:dyDescent="0.25">
      <c r="A147" s="162">
        <v>2</v>
      </c>
      <c r="B147" s="1">
        <v>6</v>
      </c>
      <c r="C147" s="1">
        <v>13</v>
      </c>
      <c r="E147" s="162" t="str">
        <f>INDEX(Table75[Power_list],Table76[[#This Row],[Item 1]])</f>
        <v>Life Drain Reduced</v>
      </c>
      <c r="F147" s="162" t="str">
        <f>INDEX(Table75[Power_list],Table76[[#This Row],[Item 2]])</f>
        <v>Fire Rush Time +</v>
      </c>
      <c r="G147" s="162" t="str">
        <f>INDEX(Table75[Power_list],Table76[[#This Row],[Item 3]])</f>
        <v xml:space="preserve">Lower damage from arrows </v>
      </c>
      <c r="H147" s="1">
        <f>INDEX($C$31:$C$44,MATCH(Table7678[[#This Row],[Item 2]],Table75[Power_list],0))+INDEX($C$31:$C$44,MATCH(Table7678[[#This Row],[Item 1]],Table75[Power_list],0))+INDEX($C$31:$C$44,MATCH(Table7678[[#This Row],[Item 3]],Table75[Power_list],0))</f>
        <v>24</v>
      </c>
      <c r="J147" s="1">
        <v>100</v>
      </c>
      <c r="K147" s="1" t="s">
        <v>272</v>
      </c>
      <c r="L147" s="1" t="s">
        <v>277</v>
      </c>
      <c r="M147" s="1" t="s">
        <v>296</v>
      </c>
      <c r="N147" s="1">
        <v>26</v>
      </c>
      <c r="O147" s="1" t="b">
        <f>(IFERROR(FIND("Lower",Table78[[#This Row],[Item 1]]),0)+IFERROR(FIND("Lower",Table78[[#This Row],[Item 2]]),0)+IFERROR(FIND("Lower",Table78[[#This Row],[Item 3]]),0))&lt;2</f>
        <v>1</v>
      </c>
      <c r="Q147" s="1">
        <v>100</v>
      </c>
      <c r="R147" s="1" t="s">
        <v>272</v>
      </c>
      <c r="S147" s="1" t="s">
        <v>273</v>
      </c>
      <c r="T147" s="1" t="s">
        <v>296</v>
      </c>
      <c r="U147" s="1">
        <v>22</v>
      </c>
      <c r="V147" s="1" t="b">
        <v>1</v>
      </c>
    </row>
    <row r="148" spans="1:22" x14ac:dyDescent="0.25">
      <c r="A148" s="162">
        <v>2</v>
      </c>
      <c r="B148" s="1">
        <v>7</v>
      </c>
      <c r="C148" s="1">
        <v>8</v>
      </c>
      <c r="E148" s="162" t="str">
        <f>INDEX(Table75[Power_list],Table76[[#This Row],[Item 1]])</f>
        <v>Life Drain Reduced</v>
      </c>
      <c r="F148" s="162" t="str">
        <f>INDEX(Table75[Power_list],Table76[[#This Row],[Item 2]])</f>
        <v>SC +</v>
      </c>
      <c r="G148" s="162" t="str">
        <f>INDEX(Table75[Power_list],Table76[[#This Row],[Item 3]])</f>
        <v>Score +</v>
      </c>
      <c r="H148" s="1">
        <f>INDEX($C$31:$C$44,MATCH(Table7678[[#This Row],[Item 2]],Table75[Power_list],0))+INDEX($C$31:$C$44,MATCH(Table7678[[#This Row],[Item 1]],Table75[Power_list],0))+INDEX($C$31:$C$44,MATCH(Table7678[[#This Row],[Item 3]],Table75[Power_list],0))</f>
        <v>35</v>
      </c>
      <c r="J148" s="1">
        <v>101</v>
      </c>
      <c r="K148" s="1" t="s">
        <v>272</v>
      </c>
      <c r="L148" s="1" t="s">
        <v>278</v>
      </c>
      <c r="M148" s="1" t="s">
        <v>288</v>
      </c>
      <c r="N148" s="1">
        <v>27</v>
      </c>
      <c r="O148" s="1" t="b">
        <f>(IFERROR(FIND("Lower",Table78[[#This Row],[Item 1]]),0)+IFERROR(FIND("Lower",Table78[[#This Row],[Item 2]]),0)+IFERROR(FIND("Lower",Table78[[#This Row],[Item 3]]),0))&lt;2</f>
        <v>1</v>
      </c>
      <c r="Q148" s="1">
        <v>101</v>
      </c>
      <c r="R148" s="1" t="s">
        <v>272</v>
      </c>
      <c r="S148" s="1" t="s">
        <v>275</v>
      </c>
      <c r="T148" s="1" t="s">
        <v>288</v>
      </c>
      <c r="U148" s="1">
        <v>22</v>
      </c>
      <c r="V148" s="1" t="b">
        <v>1</v>
      </c>
    </row>
    <row r="149" spans="1:22" x14ac:dyDescent="0.25">
      <c r="A149" s="162">
        <v>2</v>
      </c>
      <c r="B149" s="1">
        <v>7</v>
      </c>
      <c r="C149" s="1">
        <v>9</v>
      </c>
      <c r="E149" s="162" t="str">
        <f>INDEX(Table75[Power_list],Table76[[#This Row],[Item 1]])</f>
        <v>Life Drain Reduced</v>
      </c>
      <c r="F149" s="162" t="str">
        <f>INDEX(Table75[Power_list],Table76[[#This Row],[Item 2]])</f>
        <v>SC +</v>
      </c>
      <c r="G149" s="162" t="str">
        <f>INDEX(Table75[Power_list],Table76[[#This Row],[Item 3]])</f>
        <v>Food +</v>
      </c>
      <c r="H149" s="1">
        <f>INDEX($C$31:$C$44,MATCH(Table7678[[#This Row],[Item 2]],Table75[Power_list],0))+INDEX($C$31:$C$44,MATCH(Table7678[[#This Row],[Item 1]],Table75[Power_list],0))+INDEX($C$31:$C$44,MATCH(Table7678[[#This Row],[Item 3]],Table75[Power_list],0))</f>
        <v>29</v>
      </c>
      <c r="J149" s="1">
        <v>102</v>
      </c>
      <c r="K149" s="1" t="s">
        <v>272</v>
      </c>
      <c r="L149" s="1" t="s">
        <v>278</v>
      </c>
      <c r="M149" s="1" t="s">
        <v>294</v>
      </c>
      <c r="N149" s="1">
        <v>29</v>
      </c>
      <c r="O149" s="1" t="b">
        <f>(IFERROR(FIND("Lower",Table78[[#This Row],[Item 1]]),0)+IFERROR(FIND("Lower",Table78[[#This Row],[Item 2]]),0)+IFERROR(FIND("Lower",Table78[[#This Row],[Item 3]]),0))&lt;2</f>
        <v>1</v>
      </c>
      <c r="Q149" s="1">
        <v>102</v>
      </c>
      <c r="R149" s="1" t="s">
        <v>272</v>
      </c>
      <c r="S149" s="1" t="s">
        <v>276</v>
      </c>
      <c r="T149" s="1" t="s">
        <v>295</v>
      </c>
      <c r="U149" s="1">
        <v>22</v>
      </c>
      <c r="V149" s="1" t="b">
        <v>1</v>
      </c>
    </row>
    <row r="150" spans="1:22" x14ac:dyDescent="0.25">
      <c r="A150" s="162">
        <v>2</v>
      </c>
      <c r="B150" s="1">
        <v>7</v>
      </c>
      <c r="C150" s="1">
        <v>10</v>
      </c>
      <c r="E150" s="162" t="str">
        <f>INDEX(Table75[Power_list],Table76[[#This Row],[Item 1]])</f>
        <v>Life Drain Reduced</v>
      </c>
      <c r="F150" s="162" t="str">
        <f>INDEX(Table75[Power_list],Table76[[#This Row],[Item 2]])</f>
        <v>SC +</v>
      </c>
      <c r="G150" s="162" t="str">
        <f>INDEX(Table75[Power_list],Table76[[#This Row],[Item 3]])</f>
        <v xml:space="preserve">Lower damage from mines </v>
      </c>
      <c r="H150" s="1">
        <f>INDEX($C$31:$C$44,MATCH(Table7678[[#This Row],[Item 2]],Table75[Power_list],0))+INDEX($C$31:$C$44,MATCH(Table7678[[#This Row],[Item 1]],Table75[Power_list],0))+INDEX($C$31:$C$44,MATCH(Table7678[[#This Row],[Item 3]],Table75[Power_list],0))</f>
        <v>31</v>
      </c>
      <c r="J150" s="1">
        <v>103</v>
      </c>
      <c r="K150" s="1" t="s">
        <v>272</v>
      </c>
      <c r="L150" s="1" t="s">
        <v>278</v>
      </c>
      <c r="M150" s="1" t="s">
        <v>295</v>
      </c>
      <c r="N150" s="1">
        <v>24</v>
      </c>
      <c r="O150" s="1" t="b">
        <f>(IFERROR(FIND("Lower",Table78[[#This Row],[Item 1]]),0)+IFERROR(FIND("Lower",Table78[[#This Row],[Item 2]]),0)+IFERROR(FIND("Lower",Table78[[#This Row],[Item 3]]),0))&lt;2</f>
        <v>1</v>
      </c>
      <c r="Q150" s="1">
        <v>103</v>
      </c>
      <c r="R150" s="1" t="s">
        <v>273</v>
      </c>
      <c r="S150" s="1" t="s">
        <v>274</v>
      </c>
      <c r="T150" s="1" t="s">
        <v>294</v>
      </c>
      <c r="U150" s="1">
        <v>22</v>
      </c>
      <c r="V150" s="1" t="b">
        <v>1</v>
      </c>
    </row>
    <row r="151" spans="1:22" x14ac:dyDescent="0.25">
      <c r="A151" s="162">
        <v>2</v>
      </c>
      <c r="B151" s="1">
        <v>7</v>
      </c>
      <c r="C151" s="1">
        <v>11</v>
      </c>
      <c r="E151" s="162" t="str">
        <f>INDEX(Table75[Power_list],Table76[[#This Row],[Item 1]])</f>
        <v>Life Drain Reduced</v>
      </c>
      <c r="F151" s="162" t="str">
        <f>INDEX(Table75[Power_list],Table76[[#This Row],[Item 2]])</f>
        <v>SC +</v>
      </c>
      <c r="G151" s="162" t="str">
        <f>INDEX(Table75[Power_list],Table76[[#This Row],[Item 3]])</f>
        <v xml:space="preserve">Lower damage from ghosts </v>
      </c>
      <c r="H151" s="1">
        <f>INDEX($C$31:$C$44,MATCH(Table7678[[#This Row],[Item 2]],Table75[Power_list],0))+INDEX($C$31:$C$44,MATCH(Table7678[[#This Row],[Item 1]],Table75[Power_list],0))+INDEX($C$31:$C$44,MATCH(Table7678[[#This Row],[Item 3]],Table75[Power_list],0))</f>
        <v>26</v>
      </c>
      <c r="J151" s="1">
        <v>104</v>
      </c>
      <c r="K151" s="1" t="s">
        <v>272</v>
      </c>
      <c r="L151" s="1" t="s">
        <v>278</v>
      </c>
      <c r="M151" s="1" t="s">
        <v>299</v>
      </c>
      <c r="N151" s="1">
        <v>26</v>
      </c>
      <c r="O151" s="1" t="b">
        <f>(IFERROR(FIND("Lower",Table78[[#This Row],[Item 1]]),0)+IFERROR(FIND("Lower",Table78[[#This Row],[Item 2]]),0)+IFERROR(FIND("Lower",Table78[[#This Row],[Item 3]]),0))&lt;2</f>
        <v>1</v>
      </c>
      <c r="Q151" s="1">
        <v>104</v>
      </c>
      <c r="R151" s="1" t="s">
        <v>273</v>
      </c>
      <c r="S151" s="1" t="s">
        <v>275</v>
      </c>
      <c r="T151" s="1" t="s">
        <v>278</v>
      </c>
      <c r="U151" s="1">
        <v>22</v>
      </c>
      <c r="V151" s="1" t="b">
        <v>1</v>
      </c>
    </row>
    <row r="152" spans="1:22" x14ac:dyDescent="0.25">
      <c r="A152" s="162">
        <v>2</v>
      </c>
      <c r="B152" s="1">
        <v>7</v>
      </c>
      <c r="C152" s="1">
        <v>12</v>
      </c>
      <c r="E152" s="162" t="str">
        <f>INDEX(Table75[Power_list],Table76[[#This Row],[Item 1]])</f>
        <v>Life Drain Reduced</v>
      </c>
      <c r="F152" s="162" t="str">
        <f>INDEX(Table75[Power_list],Table76[[#This Row],[Item 2]])</f>
        <v>SC +</v>
      </c>
      <c r="G152" s="162" t="str">
        <f>INDEX(Table75[Power_list],Table76[[#This Row],[Item 3]])</f>
        <v xml:space="preserve">Lower damage from poison </v>
      </c>
      <c r="H152" s="1">
        <f>INDEX($C$31:$C$44,MATCH(Table7678[[#This Row],[Item 2]],Table75[Power_list],0))+INDEX($C$31:$C$44,MATCH(Table7678[[#This Row],[Item 1]],Table75[Power_list],0))+INDEX($C$31:$C$44,MATCH(Table7678[[#This Row],[Item 3]],Table75[Power_list],0))</f>
        <v>28</v>
      </c>
      <c r="J152" s="1">
        <v>105</v>
      </c>
      <c r="K152" s="1" t="s">
        <v>272</v>
      </c>
      <c r="L152" s="1" t="s">
        <v>278</v>
      </c>
      <c r="M152" s="1" t="s">
        <v>296</v>
      </c>
      <c r="N152" s="1">
        <v>25</v>
      </c>
      <c r="O152" s="1" t="b">
        <f>(IFERROR(FIND("Lower",Table78[[#This Row],[Item 1]]),0)+IFERROR(FIND("Lower",Table78[[#This Row],[Item 2]]),0)+IFERROR(FIND("Lower",Table78[[#This Row],[Item 3]]),0))&lt;2</f>
        <v>1</v>
      </c>
      <c r="Q152" s="1">
        <v>105</v>
      </c>
      <c r="R152" s="1" t="s">
        <v>273</v>
      </c>
      <c r="S152" s="1" t="s">
        <v>277</v>
      </c>
      <c r="T152" s="1" t="s">
        <v>288</v>
      </c>
      <c r="U152" s="1">
        <v>22</v>
      </c>
      <c r="V152" s="1" t="b">
        <v>1</v>
      </c>
    </row>
    <row r="153" spans="1:22" x14ac:dyDescent="0.25">
      <c r="A153" s="162">
        <v>2</v>
      </c>
      <c r="B153" s="1">
        <v>7</v>
      </c>
      <c r="C153" s="1">
        <v>13</v>
      </c>
      <c r="E153" s="162" t="str">
        <f>INDEX(Table75[Power_list],Table76[[#This Row],[Item 1]])</f>
        <v>Life Drain Reduced</v>
      </c>
      <c r="F153" s="162" t="str">
        <f>INDEX(Table75[Power_list],Table76[[#This Row],[Item 2]])</f>
        <v>SC +</v>
      </c>
      <c r="G153" s="162" t="str">
        <f>INDEX(Table75[Power_list],Table76[[#This Row],[Item 3]])</f>
        <v xml:space="preserve">Lower damage from arrows </v>
      </c>
      <c r="H153" s="1">
        <f>INDEX($C$31:$C$44,MATCH(Table7678[[#This Row],[Item 2]],Table75[Power_list],0))+INDEX($C$31:$C$44,MATCH(Table7678[[#This Row],[Item 1]],Table75[Power_list],0))+INDEX($C$31:$C$44,MATCH(Table7678[[#This Row],[Item 3]],Table75[Power_list],0))</f>
        <v>27</v>
      </c>
      <c r="J153" s="1">
        <v>106</v>
      </c>
      <c r="K153" s="1" t="s">
        <v>272</v>
      </c>
      <c r="L153" s="1" t="s">
        <v>288</v>
      </c>
      <c r="M153" s="1" t="s">
        <v>294</v>
      </c>
      <c r="N153" s="1">
        <v>23</v>
      </c>
      <c r="O153" s="1" t="b">
        <f>(IFERROR(FIND("Lower",Table78[[#This Row],[Item 1]]),0)+IFERROR(FIND("Lower",Table78[[#This Row],[Item 2]]),0)+IFERROR(FIND("Lower",Table78[[#This Row],[Item 3]]),0))&lt;2</f>
        <v>1</v>
      </c>
      <c r="Q153" s="1">
        <v>106</v>
      </c>
      <c r="R153" s="1" t="s">
        <v>274</v>
      </c>
      <c r="S153" s="1" t="s">
        <v>275</v>
      </c>
      <c r="T153" s="1" t="s">
        <v>276</v>
      </c>
      <c r="U153" s="1">
        <v>22</v>
      </c>
      <c r="V153" s="1" t="b">
        <v>1</v>
      </c>
    </row>
    <row r="154" spans="1:22" x14ac:dyDescent="0.25">
      <c r="A154" s="162">
        <v>2</v>
      </c>
      <c r="B154" s="1">
        <v>8</v>
      </c>
      <c r="C154" s="1">
        <v>9</v>
      </c>
      <c r="E154" s="162" t="str">
        <f>INDEX(Table75[Power_list],Table76[[#This Row],[Item 1]])</f>
        <v>Life Drain Reduced</v>
      </c>
      <c r="F154" s="162" t="str">
        <f>INDEX(Table75[Power_list],Table76[[#This Row],[Item 2]])</f>
        <v>Score +</v>
      </c>
      <c r="G154" s="162" t="str">
        <f>INDEX(Table75[Power_list],Table76[[#This Row],[Item 3]])</f>
        <v>Food +</v>
      </c>
      <c r="H154" s="1">
        <f>INDEX($C$31:$C$44,MATCH(Table7678[[#This Row],[Item 2]],Table75[Power_list],0))+INDEX($C$31:$C$44,MATCH(Table7678[[#This Row],[Item 1]],Table75[Power_list],0))+INDEX($C$31:$C$44,MATCH(Table7678[[#This Row],[Item 3]],Table75[Power_list],0))</f>
        <v>28</v>
      </c>
      <c r="J154" s="1">
        <v>107</v>
      </c>
      <c r="K154" s="1" t="s">
        <v>272</v>
      </c>
      <c r="L154" s="1" t="s">
        <v>288</v>
      </c>
      <c r="M154" s="1" t="s">
        <v>295</v>
      </c>
      <c r="N154" s="1">
        <v>18</v>
      </c>
      <c r="O154" s="1" t="b">
        <f>(IFERROR(FIND("Lower",Table78[[#This Row],[Item 1]]),0)+IFERROR(FIND("Lower",Table78[[#This Row],[Item 2]]),0)+IFERROR(FIND("Lower",Table78[[#This Row],[Item 3]]),0))&lt;2</f>
        <v>1</v>
      </c>
      <c r="Q154" s="1">
        <v>107</v>
      </c>
      <c r="R154" s="1" t="s">
        <v>274</v>
      </c>
      <c r="S154" s="1" t="s">
        <v>277</v>
      </c>
      <c r="T154" s="1" t="s">
        <v>296</v>
      </c>
      <c r="U154" s="1">
        <v>22</v>
      </c>
      <c r="V154" s="1" t="b">
        <v>1</v>
      </c>
    </row>
    <row r="155" spans="1:22" x14ac:dyDescent="0.25">
      <c r="A155" s="162">
        <v>2</v>
      </c>
      <c r="B155" s="1">
        <v>8</v>
      </c>
      <c r="C155" s="1">
        <v>10</v>
      </c>
      <c r="E155" s="162" t="str">
        <f>INDEX(Table75[Power_list],Table76[[#This Row],[Item 1]])</f>
        <v>Life Drain Reduced</v>
      </c>
      <c r="F155" s="162" t="str">
        <f>INDEX(Table75[Power_list],Table76[[#This Row],[Item 2]])</f>
        <v>Score +</v>
      </c>
      <c r="G155" s="162" t="str">
        <f>INDEX(Table75[Power_list],Table76[[#This Row],[Item 3]])</f>
        <v xml:space="preserve">Lower damage from mines </v>
      </c>
      <c r="H155" s="1">
        <f>INDEX($C$31:$C$44,MATCH(Table7678[[#This Row],[Item 2]],Table75[Power_list],0))+INDEX($C$31:$C$44,MATCH(Table7678[[#This Row],[Item 1]],Table75[Power_list],0))+INDEX($C$31:$C$44,MATCH(Table7678[[#This Row],[Item 3]],Table75[Power_list],0))</f>
        <v>30</v>
      </c>
      <c r="J155" s="1">
        <v>108</v>
      </c>
      <c r="K155" s="1" t="s">
        <v>272</v>
      </c>
      <c r="L155" s="1" t="s">
        <v>288</v>
      </c>
      <c r="M155" s="1" t="s">
        <v>299</v>
      </c>
      <c r="N155" s="1">
        <v>20</v>
      </c>
      <c r="O155" s="1" t="b">
        <f>(IFERROR(FIND("Lower",Table78[[#This Row],[Item 1]]),0)+IFERROR(FIND("Lower",Table78[[#This Row],[Item 2]]),0)+IFERROR(FIND("Lower",Table78[[#This Row],[Item 3]]),0))&lt;2</f>
        <v>1</v>
      </c>
      <c r="Q155" s="1">
        <v>108</v>
      </c>
      <c r="R155" s="1" t="s">
        <v>274</v>
      </c>
      <c r="S155" s="1" t="s">
        <v>278</v>
      </c>
      <c r="T155" s="1" t="s">
        <v>299</v>
      </c>
      <c r="U155" s="1">
        <v>22</v>
      </c>
      <c r="V155" s="1" t="b">
        <v>1</v>
      </c>
    </row>
    <row r="156" spans="1:22" x14ac:dyDescent="0.25">
      <c r="A156" s="162">
        <v>2</v>
      </c>
      <c r="B156" s="1">
        <v>8</v>
      </c>
      <c r="C156" s="1">
        <v>11</v>
      </c>
      <c r="E156" s="162" t="str">
        <f>INDEX(Table75[Power_list],Table76[[#This Row],[Item 1]])</f>
        <v>Life Drain Reduced</v>
      </c>
      <c r="F156" s="162" t="str">
        <f>INDEX(Table75[Power_list],Table76[[#This Row],[Item 2]])</f>
        <v>Score +</v>
      </c>
      <c r="G156" s="162" t="str">
        <f>INDEX(Table75[Power_list],Table76[[#This Row],[Item 3]])</f>
        <v xml:space="preserve">Lower damage from ghosts </v>
      </c>
      <c r="H156" s="1">
        <f>INDEX($C$31:$C$44,MATCH(Table7678[[#This Row],[Item 2]],Table75[Power_list],0))+INDEX($C$31:$C$44,MATCH(Table7678[[#This Row],[Item 1]],Table75[Power_list],0))+INDEX($C$31:$C$44,MATCH(Table7678[[#This Row],[Item 3]],Table75[Power_list],0))</f>
        <v>25</v>
      </c>
      <c r="J156" s="1">
        <v>109</v>
      </c>
      <c r="K156" s="1" t="s">
        <v>272</v>
      </c>
      <c r="L156" s="1" t="s">
        <v>288</v>
      </c>
      <c r="M156" s="1" t="s">
        <v>296</v>
      </c>
      <c r="N156" s="1">
        <v>19</v>
      </c>
      <c r="O156" s="1" t="b">
        <f>(IFERROR(FIND("Lower",Table78[[#This Row],[Item 1]]),0)+IFERROR(FIND("Lower",Table78[[#This Row],[Item 2]]),0)+IFERROR(FIND("Lower",Table78[[#This Row],[Item 3]]),0))&lt;2</f>
        <v>1</v>
      </c>
      <c r="Q156" s="1">
        <v>109</v>
      </c>
      <c r="R156" s="1" t="s">
        <v>275</v>
      </c>
      <c r="S156" s="1" t="s">
        <v>277</v>
      </c>
      <c r="T156" s="1" t="s">
        <v>294</v>
      </c>
      <c r="U156" s="1">
        <v>22</v>
      </c>
      <c r="V156" s="1" t="b">
        <v>1</v>
      </c>
    </row>
    <row r="157" spans="1:22" x14ac:dyDescent="0.25">
      <c r="A157" s="162">
        <v>2</v>
      </c>
      <c r="B157" s="1">
        <v>8</v>
      </c>
      <c r="C157" s="1">
        <v>12</v>
      </c>
      <c r="E157" s="162" t="str">
        <f>INDEX(Table75[Power_list],Table76[[#This Row],[Item 1]])</f>
        <v>Life Drain Reduced</v>
      </c>
      <c r="F157" s="162" t="str">
        <f>INDEX(Table75[Power_list],Table76[[#This Row],[Item 2]])</f>
        <v>Score +</v>
      </c>
      <c r="G157" s="162" t="str">
        <f>INDEX(Table75[Power_list],Table76[[#This Row],[Item 3]])</f>
        <v xml:space="preserve">Lower damage from poison </v>
      </c>
      <c r="H157" s="1">
        <f>INDEX($C$31:$C$44,MATCH(Table7678[[#This Row],[Item 2]],Table75[Power_list],0))+INDEX($C$31:$C$44,MATCH(Table7678[[#This Row],[Item 1]],Table75[Power_list],0))+INDEX($C$31:$C$44,MATCH(Table7678[[#This Row],[Item 3]],Table75[Power_list],0))</f>
        <v>27</v>
      </c>
      <c r="J157" s="1">
        <v>110</v>
      </c>
      <c r="K157" s="1" t="s">
        <v>273</v>
      </c>
      <c r="L157" s="1" t="s">
        <v>274</v>
      </c>
      <c r="M157" s="1" t="s">
        <v>275</v>
      </c>
      <c r="N157" s="1">
        <v>21</v>
      </c>
      <c r="O157" s="1" t="b">
        <f>(IFERROR(FIND("Lower",Table78[[#This Row],[Item 1]]),0)+IFERROR(FIND("Lower",Table78[[#This Row],[Item 2]]),0)+IFERROR(FIND("Lower",Table78[[#This Row],[Item 3]]),0))&lt;2</f>
        <v>1</v>
      </c>
      <c r="Q157" s="1">
        <v>110</v>
      </c>
      <c r="R157" s="1" t="s">
        <v>276</v>
      </c>
      <c r="S157" s="1" t="s">
        <v>277</v>
      </c>
      <c r="T157" s="1" t="s">
        <v>299</v>
      </c>
      <c r="U157" s="1">
        <v>22</v>
      </c>
      <c r="V157" s="1" t="b">
        <v>1</v>
      </c>
    </row>
    <row r="158" spans="1:22" x14ac:dyDescent="0.25">
      <c r="A158" s="162">
        <v>2</v>
      </c>
      <c r="B158" s="1">
        <v>8</v>
      </c>
      <c r="C158" s="1">
        <v>13</v>
      </c>
      <c r="E158" s="162" t="str">
        <f>INDEX(Table75[Power_list],Table76[[#This Row],[Item 1]])</f>
        <v>Life Drain Reduced</v>
      </c>
      <c r="F158" s="162" t="str">
        <f>INDEX(Table75[Power_list],Table76[[#This Row],[Item 2]])</f>
        <v>Score +</v>
      </c>
      <c r="G158" s="162" t="str">
        <f>INDEX(Table75[Power_list],Table76[[#This Row],[Item 3]])</f>
        <v xml:space="preserve">Lower damage from arrows </v>
      </c>
      <c r="H158" s="1">
        <f>INDEX($C$31:$C$44,MATCH(Table7678[[#This Row],[Item 2]],Table75[Power_list],0))+INDEX($C$31:$C$44,MATCH(Table7678[[#This Row],[Item 1]],Table75[Power_list],0))+INDEX($C$31:$C$44,MATCH(Table7678[[#This Row],[Item 3]],Table75[Power_list],0))</f>
        <v>26</v>
      </c>
      <c r="J158" s="1">
        <v>111</v>
      </c>
      <c r="K158" s="1" t="s">
        <v>273</v>
      </c>
      <c r="L158" s="1" t="s">
        <v>274</v>
      </c>
      <c r="M158" s="1" t="s">
        <v>276</v>
      </c>
      <c r="N158" s="1">
        <v>24</v>
      </c>
      <c r="O158" s="1" t="b">
        <f>(IFERROR(FIND("Lower",Table78[[#This Row],[Item 1]]),0)+IFERROR(FIND("Lower",Table78[[#This Row],[Item 2]]),0)+IFERROR(FIND("Lower",Table78[[#This Row],[Item 3]]),0))&lt;2</f>
        <v>1</v>
      </c>
      <c r="Q158" s="1">
        <v>111</v>
      </c>
      <c r="R158" s="1" t="s">
        <v>276</v>
      </c>
      <c r="S158" s="1" t="s">
        <v>278</v>
      </c>
      <c r="T158" s="1" t="s">
        <v>288</v>
      </c>
      <c r="U158" s="1">
        <v>22</v>
      </c>
      <c r="V158" s="1" t="b">
        <v>1</v>
      </c>
    </row>
    <row r="159" spans="1:22" x14ac:dyDescent="0.25">
      <c r="A159" s="162">
        <v>2</v>
      </c>
      <c r="B159" s="1">
        <v>9</v>
      </c>
      <c r="C159" s="1">
        <v>10</v>
      </c>
      <c r="E159" s="162" t="str">
        <f>INDEX(Table75[Power_list],Table76[[#This Row],[Item 1]])</f>
        <v>Life Drain Reduced</v>
      </c>
      <c r="F159" s="162" t="str">
        <f>INDEX(Table75[Power_list],Table76[[#This Row],[Item 2]])</f>
        <v>Food +</v>
      </c>
      <c r="G159" s="162" t="str">
        <f>INDEX(Table75[Power_list],Table76[[#This Row],[Item 3]])</f>
        <v xml:space="preserve">Lower damage from mines </v>
      </c>
      <c r="H159" s="1">
        <f>INDEX($C$31:$C$44,MATCH(Table7678[[#This Row],[Item 2]],Table75[Power_list],0))+INDEX($C$31:$C$44,MATCH(Table7678[[#This Row],[Item 1]],Table75[Power_list],0))+INDEX($C$31:$C$44,MATCH(Table7678[[#This Row],[Item 3]],Table75[Power_list],0))</f>
        <v>24</v>
      </c>
      <c r="J159" s="1">
        <v>112</v>
      </c>
      <c r="K159" s="1" t="s">
        <v>273</v>
      </c>
      <c r="L159" s="1" t="s">
        <v>274</v>
      </c>
      <c r="M159" s="1" t="s">
        <v>277</v>
      </c>
      <c r="N159" s="1">
        <v>27</v>
      </c>
      <c r="O159" s="1" t="b">
        <f>(IFERROR(FIND("Lower",Table78[[#This Row],[Item 1]]),0)+IFERROR(FIND("Lower",Table78[[#This Row],[Item 2]]),0)+IFERROR(FIND("Lower",Table78[[#This Row],[Item 3]]),0))&lt;2</f>
        <v>1</v>
      </c>
      <c r="Q159" s="1">
        <v>112</v>
      </c>
      <c r="R159" s="1" t="s">
        <v>277</v>
      </c>
      <c r="S159" s="1" t="s">
        <v>278</v>
      </c>
      <c r="T159" s="1" t="s">
        <v>295</v>
      </c>
      <c r="U159" s="1">
        <v>22</v>
      </c>
      <c r="V159" s="1" t="b">
        <v>1</v>
      </c>
    </row>
    <row r="160" spans="1:22" x14ac:dyDescent="0.25">
      <c r="A160" s="162">
        <v>2</v>
      </c>
      <c r="B160" s="1">
        <v>9</v>
      </c>
      <c r="C160" s="1">
        <v>11</v>
      </c>
      <c r="E160" s="162" t="str">
        <f>INDEX(Table75[Power_list],Table76[[#This Row],[Item 1]])</f>
        <v>Life Drain Reduced</v>
      </c>
      <c r="F160" s="162" t="str">
        <f>INDEX(Table75[Power_list],Table76[[#This Row],[Item 2]])</f>
        <v>Food +</v>
      </c>
      <c r="G160" s="162" t="str">
        <f>INDEX(Table75[Power_list],Table76[[#This Row],[Item 3]])</f>
        <v xml:space="preserve">Lower damage from ghosts </v>
      </c>
      <c r="H160" s="1">
        <f>INDEX($C$31:$C$44,MATCH(Table7678[[#This Row],[Item 2]],Table75[Power_list],0))+INDEX($C$31:$C$44,MATCH(Table7678[[#This Row],[Item 1]],Table75[Power_list],0))+INDEX($C$31:$C$44,MATCH(Table7678[[#This Row],[Item 3]],Table75[Power_list],0))</f>
        <v>19</v>
      </c>
      <c r="J160" s="1">
        <v>113</v>
      </c>
      <c r="K160" s="1" t="s">
        <v>273</v>
      </c>
      <c r="L160" s="1" t="s">
        <v>274</v>
      </c>
      <c r="M160" s="1" t="s">
        <v>278</v>
      </c>
      <c r="N160" s="1">
        <v>26</v>
      </c>
      <c r="O160" s="1" t="b">
        <f>(IFERROR(FIND("Lower",Table78[[#This Row],[Item 1]]),0)+IFERROR(FIND("Lower",Table78[[#This Row],[Item 2]]),0)+IFERROR(FIND("Lower",Table78[[#This Row],[Item 3]]),0))&lt;2</f>
        <v>1</v>
      </c>
      <c r="Q160" s="1">
        <v>113</v>
      </c>
      <c r="R160" s="1" t="s">
        <v>271</v>
      </c>
      <c r="S160" s="1" t="s">
        <v>273</v>
      </c>
      <c r="T160" s="1" t="s">
        <v>288</v>
      </c>
      <c r="U160" s="1">
        <v>23</v>
      </c>
      <c r="V160" s="1" t="b">
        <v>1</v>
      </c>
    </row>
    <row r="161" spans="1:22" x14ac:dyDescent="0.25">
      <c r="A161" s="162">
        <v>2</v>
      </c>
      <c r="B161" s="1">
        <v>9</v>
      </c>
      <c r="C161" s="1">
        <v>12</v>
      </c>
      <c r="E161" s="162" t="str">
        <f>INDEX(Table75[Power_list],Table76[[#This Row],[Item 1]])</f>
        <v>Life Drain Reduced</v>
      </c>
      <c r="F161" s="162" t="str">
        <f>INDEX(Table75[Power_list],Table76[[#This Row],[Item 2]])</f>
        <v>Food +</v>
      </c>
      <c r="G161" s="162" t="str">
        <f>INDEX(Table75[Power_list],Table76[[#This Row],[Item 3]])</f>
        <v xml:space="preserve">Lower damage from poison </v>
      </c>
      <c r="H161" s="1">
        <f>INDEX($C$31:$C$44,MATCH(Table7678[[#This Row],[Item 2]],Table75[Power_list],0))+INDEX($C$31:$C$44,MATCH(Table7678[[#This Row],[Item 1]],Table75[Power_list],0))+INDEX($C$31:$C$44,MATCH(Table7678[[#This Row],[Item 3]],Table75[Power_list],0))</f>
        <v>21</v>
      </c>
      <c r="J161" s="1">
        <v>114</v>
      </c>
      <c r="K161" s="1" t="s">
        <v>273</v>
      </c>
      <c r="L161" s="1" t="s">
        <v>274</v>
      </c>
      <c r="M161" s="1" t="s">
        <v>288</v>
      </c>
      <c r="N161" s="1">
        <v>20</v>
      </c>
      <c r="O161" s="1" t="b">
        <f>(IFERROR(FIND("Lower",Table78[[#This Row],[Item 1]]),0)+IFERROR(FIND("Lower",Table78[[#This Row],[Item 2]]),0)+IFERROR(FIND("Lower",Table78[[#This Row],[Item 3]]),0))&lt;2</f>
        <v>1</v>
      </c>
      <c r="Q161" s="1">
        <v>114</v>
      </c>
      <c r="R161" s="1" t="s">
        <v>271</v>
      </c>
      <c r="S161" s="1" t="s">
        <v>274</v>
      </c>
      <c r="T161" s="1" t="s">
        <v>296</v>
      </c>
      <c r="U161" s="1">
        <v>23</v>
      </c>
      <c r="V161" s="1" t="b">
        <v>1</v>
      </c>
    </row>
    <row r="162" spans="1:22" x14ac:dyDescent="0.25">
      <c r="A162" s="162">
        <v>2</v>
      </c>
      <c r="B162" s="1">
        <v>9</v>
      </c>
      <c r="C162" s="1">
        <v>13</v>
      </c>
      <c r="E162" s="162" t="str">
        <f>INDEX(Table75[Power_list],Table76[[#This Row],[Item 1]])</f>
        <v>Life Drain Reduced</v>
      </c>
      <c r="F162" s="162" t="str">
        <f>INDEX(Table75[Power_list],Table76[[#This Row],[Item 2]])</f>
        <v>Food +</v>
      </c>
      <c r="G162" s="162" t="str">
        <f>INDEX(Table75[Power_list],Table76[[#This Row],[Item 3]])</f>
        <v xml:space="preserve">Lower damage from arrows </v>
      </c>
      <c r="H162" s="1">
        <f>INDEX($C$31:$C$44,MATCH(Table7678[[#This Row],[Item 2]],Table75[Power_list],0))+INDEX($C$31:$C$44,MATCH(Table7678[[#This Row],[Item 1]],Table75[Power_list],0))+INDEX($C$31:$C$44,MATCH(Table7678[[#This Row],[Item 3]],Table75[Power_list],0))</f>
        <v>20</v>
      </c>
      <c r="J162" s="1">
        <v>115</v>
      </c>
      <c r="K162" s="1" t="s">
        <v>273</v>
      </c>
      <c r="L162" s="1" t="s">
        <v>274</v>
      </c>
      <c r="M162" s="1" t="s">
        <v>294</v>
      </c>
      <c r="N162" s="1">
        <v>22</v>
      </c>
      <c r="O162" s="1" t="b">
        <f>(IFERROR(FIND("Lower",Table78[[#This Row],[Item 1]]),0)+IFERROR(FIND("Lower",Table78[[#This Row],[Item 2]]),0)+IFERROR(FIND("Lower",Table78[[#This Row],[Item 3]]),0))&lt;2</f>
        <v>1</v>
      </c>
      <c r="Q162" s="1">
        <v>115</v>
      </c>
      <c r="R162" s="1" t="s">
        <v>271</v>
      </c>
      <c r="S162" s="1" t="s">
        <v>275</v>
      </c>
      <c r="T162" s="1" t="s">
        <v>294</v>
      </c>
      <c r="U162" s="1">
        <v>23</v>
      </c>
      <c r="V162" s="1" t="b">
        <v>1</v>
      </c>
    </row>
    <row r="163" spans="1:22" x14ac:dyDescent="0.25">
      <c r="A163" s="162">
        <v>2</v>
      </c>
      <c r="B163" s="1">
        <v>10</v>
      </c>
      <c r="C163" s="1">
        <v>11</v>
      </c>
      <c r="E163" s="162" t="str">
        <f>INDEX(Table75[Power_list],Table76[[#This Row],[Item 1]])</f>
        <v>Life Drain Reduced</v>
      </c>
      <c r="F163" s="162" t="str">
        <f>INDEX(Table75[Power_list],Table76[[#This Row],[Item 2]])</f>
        <v xml:space="preserve">Lower damage from mines </v>
      </c>
      <c r="G163" s="162" t="str">
        <f>INDEX(Table75[Power_list],Table76[[#This Row],[Item 3]])</f>
        <v xml:space="preserve">Lower damage from ghosts </v>
      </c>
      <c r="H163" s="1">
        <f>INDEX($C$31:$C$44,MATCH(Table7678[[#This Row],[Item 2]],Table75[Power_list],0))+INDEX($C$31:$C$44,MATCH(Table7678[[#This Row],[Item 1]],Table75[Power_list],0))+INDEX($C$31:$C$44,MATCH(Table7678[[#This Row],[Item 3]],Table75[Power_list],0))</f>
        <v>21</v>
      </c>
      <c r="J163" s="1">
        <v>116</v>
      </c>
      <c r="K163" s="1" t="s">
        <v>273</v>
      </c>
      <c r="L163" s="1" t="s">
        <v>274</v>
      </c>
      <c r="M163" s="1" t="s">
        <v>295</v>
      </c>
      <c r="N163" s="1">
        <v>17</v>
      </c>
      <c r="O163" s="1" t="b">
        <f>(IFERROR(FIND("Lower",Table78[[#This Row],[Item 1]]),0)+IFERROR(FIND("Lower",Table78[[#This Row],[Item 2]]),0)+IFERROR(FIND("Lower",Table78[[#This Row],[Item 3]]),0))&lt;2</f>
        <v>1</v>
      </c>
      <c r="Q163" s="1">
        <v>116</v>
      </c>
      <c r="R163" s="1" t="s">
        <v>271</v>
      </c>
      <c r="S163" s="1" t="s">
        <v>276</v>
      </c>
      <c r="T163" s="1" t="s">
        <v>299</v>
      </c>
      <c r="U163" s="1">
        <v>23</v>
      </c>
      <c r="V163" s="1" t="b">
        <v>1</v>
      </c>
    </row>
    <row r="164" spans="1:22" x14ac:dyDescent="0.25">
      <c r="A164" s="162">
        <v>2</v>
      </c>
      <c r="B164" s="1">
        <v>10</v>
      </c>
      <c r="C164" s="1">
        <v>12</v>
      </c>
      <c r="E164" s="162" t="str">
        <f>INDEX(Table75[Power_list],Table76[[#This Row],[Item 1]])</f>
        <v>Life Drain Reduced</v>
      </c>
      <c r="F164" s="162" t="str">
        <f>INDEX(Table75[Power_list],Table76[[#This Row],[Item 2]])</f>
        <v xml:space="preserve">Lower damage from mines </v>
      </c>
      <c r="G164" s="162" t="str">
        <f>INDEX(Table75[Power_list],Table76[[#This Row],[Item 3]])</f>
        <v xml:space="preserve">Lower damage from poison </v>
      </c>
      <c r="H164" s="1">
        <f>INDEX($C$31:$C$44,MATCH(Table7678[[#This Row],[Item 2]],Table75[Power_list],0))+INDEX($C$31:$C$44,MATCH(Table7678[[#This Row],[Item 1]],Table75[Power_list],0))+INDEX($C$31:$C$44,MATCH(Table7678[[#This Row],[Item 3]],Table75[Power_list],0))</f>
        <v>23</v>
      </c>
      <c r="J164" s="1">
        <v>117</v>
      </c>
      <c r="K164" s="1" t="s">
        <v>273</v>
      </c>
      <c r="L164" s="1" t="s">
        <v>274</v>
      </c>
      <c r="M164" s="1" t="s">
        <v>299</v>
      </c>
      <c r="N164" s="1">
        <v>19</v>
      </c>
      <c r="O164" s="1" t="b">
        <f>(IFERROR(FIND("Lower",Table78[[#This Row],[Item 1]]),0)+IFERROR(FIND("Lower",Table78[[#This Row],[Item 2]]),0)+IFERROR(FIND("Lower",Table78[[#This Row],[Item 3]]),0))&lt;2</f>
        <v>1</v>
      </c>
      <c r="Q164" s="1">
        <v>117</v>
      </c>
      <c r="R164" s="1" t="s">
        <v>271</v>
      </c>
      <c r="S164" s="1" t="s">
        <v>278</v>
      </c>
      <c r="T164" s="1" t="s">
        <v>295</v>
      </c>
      <c r="U164" s="1">
        <v>23</v>
      </c>
      <c r="V164" s="1" t="b">
        <v>1</v>
      </c>
    </row>
    <row r="165" spans="1:22" x14ac:dyDescent="0.25">
      <c r="A165" s="162">
        <v>2</v>
      </c>
      <c r="B165" s="1">
        <v>10</v>
      </c>
      <c r="C165" s="1">
        <v>13</v>
      </c>
      <c r="E165" s="162" t="str">
        <f>INDEX(Table75[Power_list],Table76[[#This Row],[Item 1]])</f>
        <v>Life Drain Reduced</v>
      </c>
      <c r="F165" s="162" t="str">
        <f>INDEX(Table75[Power_list],Table76[[#This Row],[Item 2]])</f>
        <v xml:space="preserve">Lower damage from mines </v>
      </c>
      <c r="G165" s="162" t="str">
        <f>INDEX(Table75[Power_list],Table76[[#This Row],[Item 3]])</f>
        <v xml:space="preserve">Lower damage from arrows </v>
      </c>
      <c r="H165" s="1">
        <f>INDEX($C$31:$C$44,MATCH(Table7678[[#This Row],[Item 2]],Table75[Power_list],0))+INDEX($C$31:$C$44,MATCH(Table7678[[#This Row],[Item 1]],Table75[Power_list],0))+INDEX($C$31:$C$44,MATCH(Table7678[[#This Row],[Item 3]],Table75[Power_list],0))</f>
        <v>22</v>
      </c>
      <c r="J165" s="1">
        <v>118</v>
      </c>
      <c r="K165" s="1" t="s">
        <v>273</v>
      </c>
      <c r="L165" s="1" t="s">
        <v>274</v>
      </c>
      <c r="M165" s="1" t="s">
        <v>296</v>
      </c>
      <c r="N165" s="1">
        <v>18</v>
      </c>
      <c r="O165" s="1" t="b">
        <f>(IFERROR(FIND("Lower",Table78[[#This Row],[Item 1]]),0)+IFERROR(FIND("Lower",Table78[[#This Row],[Item 2]]),0)+IFERROR(FIND("Lower",Table78[[#This Row],[Item 3]]),0))&lt;2</f>
        <v>1</v>
      </c>
      <c r="Q165" s="1">
        <v>118</v>
      </c>
      <c r="R165" s="1" t="s">
        <v>272</v>
      </c>
      <c r="S165" s="1" t="s">
        <v>273</v>
      </c>
      <c r="T165" s="1" t="s">
        <v>299</v>
      </c>
      <c r="U165" s="1">
        <v>23</v>
      </c>
      <c r="V165" s="1" t="b">
        <v>1</v>
      </c>
    </row>
    <row r="166" spans="1:22" x14ac:dyDescent="0.25">
      <c r="A166" s="162">
        <v>2</v>
      </c>
      <c r="B166" s="1">
        <v>11</v>
      </c>
      <c r="C166" s="1">
        <v>12</v>
      </c>
      <c r="E166" s="162" t="str">
        <f>INDEX(Table75[Power_list],Table76[[#This Row],[Item 1]])</f>
        <v>Life Drain Reduced</v>
      </c>
      <c r="F166" s="162" t="str">
        <f>INDEX(Table75[Power_list],Table76[[#This Row],[Item 2]])</f>
        <v xml:space="preserve">Lower damage from ghosts </v>
      </c>
      <c r="G166" s="162" t="str">
        <f>INDEX(Table75[Power_list],Table76[[#This Row],[Item 3]])</f>
        <v xml:space="preserve">Lower damage from poison </v>
      </c>
      <c r="H166" s="1">
        <f>INDEX($C$31:$C$44,MATCH(Table7678[[#This Row],[Item 2]],Table75[Power_list],0))+INDEX($C$31:$C$44,MATCH(Table7678[[#This Row],[Item 1]],Table75[Power_list],0))+INDEX($C$31:$C$44,MATCH(Table7678[[#This Row],[Item 3]],Table75[Power_list],0))</f>
        <v>18</v>
      </c>
      <c r="J166" s="1">
        <v>119</v>
      </c>
      <c r="K166" s="1" t="s">
        <v>273</v>
      </c>
      <c r="L166" s="1" t="s">
        <v>275</v>
      </c>
      <c r="M166" s="1" t="s">
        <v>276</v>
      </c>
      <c r="N166" s="1">
        <v>20</v>
      </c>
      <c r="O166" s="1" t="b">
        <f>(IFERROR(FIND("Lower",Table78[[#This Row],[Item 1]]),0)+IFERROR(FIND("Lower",Table78[[#This Row],[Item 2]]),0)+IFERROR(FIND("Lower",Table78[[#This Row],[Item 3]]),0))&lt;2</f>
        <v>1</v>
      </c>
      <c r="Q166" s="1">
        <v>119</v>
      </c>
      <c r="R166" s="1" t="s">
        <v>272</v>
      </c>
      <c r="S166" s="1" t="s">
        <v>274</v>
      </c>
      <c r="T166" s="1" t="s">
        <v>295</v>
      </c>
      <c r="U166" s="1">
        <v>23</v>
      </c>
      <c r="V166" s="1" t="b">
        <v>1</v>
      </c>
    </row>
    <row r="167" spans="1:22" x14ac:dyDescent="0.25">
      <c r="A167" s="162">
        <v>2</v>
      </c>
      <c r="B167" s="1">
        <v>11</v>
      </c>
      <c r="C167" s="1">
        <v>13</v>
      </c>
      <c r="E167" s="162" t="str">
        <f>INDEX(Table75[Power_list],Table76[[#This Row],[Item 1]])</f>
        <v>Life Drain Reduced</v>
      </c>
      <c r="F167" s="162" t="str">
        <f>INDEX(Table75[Power_list],Table76[[#This Row],[Item 2]])</f>
        <v xml:space="preserve">Lower damage from ghosts </v>
      </c>
      <c r="G167" s="162" t="str">
        <f>INDEX(Table75[Power_list],Table76[[#This Row],[Item 3]])</f>
        <v xml:space="preserve">Lower damage from arrows </v>
      </c>
      <c r="H167" s="1">
        <f>INDEX($C$31:$C$44,MATCH(Table7678[[#This Row],[Item 2]],Table75[Power_list],0))+INDEX($C$31:$C$44,MATCH(Table7678[[#This Row],[Item 1]],Table75[Power_list],0))+INDEX($C$31:$C$44,MATCH(Table7678[[#This Row],[Item 3]],Table75[Power_list],0))</f>
        <v>17</v>
      </c>
      <c r="J167" s="1">
        <v>120</v>
      </c>
      <c r="K167" s="1" t="s">
        <v>273</v>
      </c>
      <c r="L167" s="1" t="s">
        <v>275</v>
      </c>
      <c r="M167" s="1" t="s">
        <v>277</v>
      </c>
      <c r="N167" s="1">
        <v>23</v>
      </c>
      <c r="O167" s="1" t="b">
        <f>(IFERROR(FIND("Lower",Table78[[#This Row],[Item 1]]),0)+IFERROR(FIND("Lower",Table78[[#This Row],[Item 2]]),0)+IFERROR(FIND("Lower",Table78[[#This Row],[Item 3]]),0))&lt;2</f>
        <v>1</v>
      </c>
      <c r="Q167" s="1">
        <v>120</v>
      </c>
      <c r="R167" s="1" t="s">
        <v>272</v>
      </c>
      <c r="S167" s="1" t="s">
        <v>276</v>
      </c>
      <c r="T167" s="1" t="s">
        <v>296</v>
      </c>
      <c r="U167" s="1">
        <v>23</v>
      </c>
      <c r="V167" s="1" t="b">
        <v>1</v>
      </c>
    </row>
    <row r="168" spans="1:22" x14ac:dyDescent="0.25">
      <c r="A168" s="162">
        <v>2</v>
      </c>
      <c r="B168" s="1">
        <v>12</v>
      </c>
      <c r="C168" s="1">
        <v>13</v>
      </c>
      <c r="E168" s="162" t="str">
        <f>INDEX(Table75[Power_list],Table76[[#This Row],[Item 1]])</f>
        <v>Life Drain Reduced</v>
      </c>
      <c r="F168" s="162" t="str">
        <f>INDEX(Table75[Power_list],Table76[[#This Row],[Item 2]])</f>
        <v xml:space="preserve">Lower damage from poison </v>
      </c>
      <c r="G168" s="162" t="str">
        <f>INDEX(Table75[Power_list],Table76[[#This Row],[Item 3]])</f>
        <v xml:space="preserve">Lower damage from arrows </v>
      </c>
      <c r="H168" s="1">
        <f>INDEX($C$31:$C$44,MATCH(Table7678[[#This Row],[Item 2]],Table75[Power_list],0))+INDEX($C$31:$C$44,MATCH(Table7678[[#This Row],[Item 1]],Table75[Power_list],0))+INDEX($C$31:$C$44,MATCH(Table7678[[#This Row],[Item 3]],Table75[Power_list],0))</f>
        <v>19</v>
      </c>
      <c r="J168" s="1">
        <v>121</v>
      </c>
      <c r="K168" s="1" t="s">
        <v>273</v>
      </c>
      <c r="L168" s="1" t="s">
        <v>275</v>
      </c>
      <c r="M168" s="1" t="s">
        <v>278</v>
      </c>
      <c r="N168" s="1">
        <v>22</v>
      </c>
      <c r="O168" s="1" t="b">
        <f>(IFERROR(FIND("Lower",Table78[[#This Row],[Item 1]]),0)+IFERROR(FIND("Lower",Table78[[#This Row],[Item 2]]),0)+IFERROR(FIND("Lower",Table78[[#This Row],[Item 3]]),0))&lt;2</f>
        <v>1</v>
      </c>
      <c r="Q168" s="1">
        <v>121</v>
      </c>
      <c r="R168" s="1" t="s">
        <v>272</v>
      </c>
      <c r="S168" s="1" t="s">
        <v>288</v>
      </c>
      <c r="T168" s="1" t="s">
        <v>294</v>
      </c>
      <c r="U168" s="1">
        <v>23</v>
      </c>
      <c r="V168" s="1" t="b">
        <v>1</v>
      </c>
    </row>
    <row r="169" spans="1:22" x14ac:dyDescent="0.25">
      <c r="A169" s="162">
        <v>3</v>
      </c>
      <c r="B169" s="1">
        <v>4</v>
      </c>
      <c r="C169" s="1">
        <v>5</v>
      </c>
      <c r="E169" s="162" t="str">
        <f>INDEX(Table75[Power_list],Table76[[#This Row],[Item 1]])</f>
        <v>Speed +</v>
      </c>
      <c r="F169" s="162" t="str">
        <f>INDEX(Table75[Power_list],Table76[[#This Row],[Item 2]])</f>
        <v>Boost +</v>
      </c>
      <c r="G169" s="162" t="str">
        <f>INDEX(Table75[Power_list],Table76[[#This Row],[Item 3]])</f>
        <v>Fire (size) +</v>
      </c>
      <c r="H169" s="1">
        <f>INDEX($C$31:$C$44,MATCH(Table7678[[#This Row],[Item 2]],Table75[Power_list],0))+INDEX($C$31:$C$44,MATCH(Table7678[[#This Row],[Item 1]],Table75[Power_list],0))+INDEX($C$31:$C$44,MATCH(Table7678[[#This Row],[Item 3]],Table75[Power_list],0))</f>
        <v>21</v>
      </c>
      <c r="J169" s="1">
        <v>122</v>
      </c>
      <c r="K169" s="1" t="s">
        <v>273</v>
      </c>
      <c r="L169" s="1" t="s">
        <v>275</v>
      </c>
      <c r="M169" s="1" t="s">
        <v>288</v>
      </c>
      <c r="N169" s="1">
        <v>16</v>
      </c>
      <c r="O169" s="1" t="b">
        <f>(IFERROR(FIND("Lower",Table78[[#This Row],[Item 1]]),0)+IFERROR(FIND("Lower",Table78[[#This Row],[Item 2]]),0)+IFERROR(FIND("Lower",Table78[[#This Row],[Item 3]]),0))&lt;2</f>
        <v>1</v>
      </c>
      <c r="Q169" s="1">
        <v>122</v>
      </c>
      <c r="R169" s="1" t="s">
        <v>273</v>
      </c>
      <c r="S169" s="1" t="s">
        <v>275</v>
      </c>
      <c r="T169" s="1" t="s">
        <v>277</v>
      </c>
      <c r="U169" s="1">
        <v>23</v>
      </c>
      <c r="V169" s="1" t="b">
        <v>1</v>
      </c>
    </row>
    <row r="170" spans="1:22" x14ac:dyDescent="0.25">
      <c r="A170" s="162">
        <v>3</v>
      </c>
      <c r="B170" s="1">
        <v>4</v>
      </c>
      <c r="C170" s="1">
        <v>6</v>
      </c>
      <c r="E170" s="162" t="str">
        <f>INDEX(Table75[Power_list],Table76[[#This Row],[Item 1]])</f>
        <v>Speed +</v>
      </c>
      <c r="F170" s="162" t="str">
        <f>INDEX(Table75[Power_list],Table76[[#This Row],[Item 2]])</f>
        <v>Boost +</v>
      </c>
      <c r="G170" s="162" t="str">
        <f>INDEX(Table75[Power_list],Table76[[#This Row],[Item 3]])</f>
        <v>Fire Rush Time +</v>
      </c>
      <c r="H170" s="1">
        <f>INDEX($C$31:$C$44,MATCH(Table7678[[#This Row],[Item 2]],Table75[Power_list],0))+INDEX($C$31:$C$44,MATCH(Table7678[[#This Row],[Item 1]],Table75[Power_list],0))+INDEX($C$31:$C$44,MATCH(Table7678[[#This Row],[Item 3]],Table75[Power_list],0))</f>
        <v>24</v>
      </c>
      <c r="J170" s="1">
        <v>123</v>
      </c>
      <c r="K170" s="1" t="s">
        <v>273</v>
      </c>
      <c r="L170" s="1" t="s">
        <v>275</v>
      </c>
      <c r="M170" s="1" t="s">
        <v>294</v>
      </c>
      <c r="N170" s="1">
        <v>18</v>
      </c>
      <c r="O170" s="1" t="b">
        <f>(IFERROR(FIND("Lower",Table78[[#This Row],[Item 1]]),0)+IFERROR(FIND("Lower",Table78[[#This Row],[Item 2]]),0)+IFERROR(FIND("Lower",Table78[[#This Row],[Item 3]]),0))&lt;2</f>
        <v>1</v>
      </c>
      <c r="Q170" s="1">
        <v>123</v>
      </c>
      <c r="R170" s="1" t="s">
        <v>273</v>
      </c>
      <c r="S170" s="1" t="s">
        <v>278</v>
      </c>
      <c r="T170" s="1" t="s">
        <v>294</v>
      </c>
      <c r="U170" s="1">
        <v>23</v>
      </c>
      <c r="V170" s="1" t="b">
        <v>1</v>
      </c>
    </row>
    <row r="171" spans="1:22" x14ac:dyDescent="0.25">
      <c r="A171" s="162">
        <v>3</v>
      </c>
      <c r="B171" s="1">
        <v>4</v>
      </c>
      <c r="C171" s="1">
        <v>7</v>
      </c>
      <c r="E171" s="162" t="str">
        <f>INDEX(Table75[Power_list],Table76[[#This Row],[Item 1]])</f>
        <v>Speed +</v>
      </c>
      <c r="F171" s="162" t="str">
        <f>INDEX(Table75[Power_list],Table76[[#This Row],[Item 2]])</f>
        <v>Boost +</v>
      </c>
      <c r="G171" s="162" t="str">
        <f>INDEX(Table75[Power_list],Table76[[#This Row],[Item 3]])</f>
        <v>SC +</v>
      </c>
      <c r="H171" s="1">
        <f>INDEX($C$31:$C$44,MATCH(Table7678[[#This Row],[Item 2]],Table75[Power_list],0))+INDEX($C$31:$C$44,MATCH(Table7678[[#This Row],[Item 1]],Table75[Power_list],0))+INDEX($C$31:$C$44,MATCH(Table7678[[#This Row],[Item 3]],Table75[Power_list],0))</f>
        <v>27</v>
      </c>
      <c r="J171" s="1">
        <v>124</v>
      </c>
      <c r="K171" s="1" t="s">
        <v>273</v>
      </c>
      <c r="L171" s="1" t="s">
        <v>275</v>
      </c>
      <c r="M171" s="1" t="s">
        <v>295</v>
      </c>
      <c r="N171" s="1">
        <v>13</v>
      </c>
      <c r="O171" s="1" t="b">
        <f>(IFERROR(FIND("Lower",Table78[[#This Row],[Item 1]]),0)+IFERROR(FIND("Lower",Table78[[#This Row],[Item 2]]),0)+IFERROR(FIND("Lower",Table78[[#This Row],[Item 3]]),0))&lt;2</f>
        <v>1</v>
      </c>
      <c r="Q171" s="1">
        <v>124</v>
      </c>
      <c r="R171" s="1" t="s">
        <v>274</v>
      </c>
      <c r="S171" s="1" t="s">
        <v>276</v>
      </c>
      <c r="T171" s="1" t="s">
        <v>294</v>
      </c>
      <c r="U171" s="1">
        <v>23</v>
      </c>
      <c r="V171" s="1" t="b">
        <v>1</v>
      </c>
    </row>
    <row r="172" spans="1:22" x14ac:dyDescent="0.25">
      <c r="A172" s="162">
        <v>3</v>
      </c>
      <c r="B172" s="1">
        <v>4</v>
      </c>
      <c r="C172" s="1">
        <v>8</v>
      </c>
      <c r="E172" s="162" t="str">
        <f>INDEX(Table75[Power_list],Table76[[#This Row],[Item 1]])</f>
        <v>Speed +</v>
      </c>
      <c r="F172" s="162" t="str">
        <f>INDEX(Table75[Power_list],Table76[[#This Row],[Item 2]])</f>
        <v>Boost +</v>
      </c>
      <c r="G172" s="162" t="str">
        <f>INDEX(Table75[Power_list],Table76[[#This Row],[Item 3]])</f>
        <v>Score +</v>
      </c>
      <c r="H172" s="1">
        <f>INDEX($C$31:$C$44,MATCH(Table7678[[#This Row],[Item 2]],Table75[Power_list],0))+INDEX($C$31:$C$44,MATCH(Table7678[[#This Row],[Item 1]],Table75[Power_list],0))+INDEX($C$31:$C$44,MATCH(Table7678[[#This Row],[Item 3]],Table75[Power_list],0))</f>
        <v>26</v>
      </c>
      <c r="J172" s="1">
        <v>125</v>
      </c>
      <c r="K172" s="1" t="s">
        <v>273</v>
      </c>
      <c r="L172" s="1" t="s">
        <v>275</v>
      </c>
      <c r="M172" s="1" t="s">
        <v>299</v>
      </c>
      <c r="N172" s="1">
        <v>15</v>
      </c>
      <c r="O172" s="1" t="b">
        <f>(IFERROR(FIND("Lower",Table78[[#This Row],[Item 1]]),0)+IFERROR(FIND("Lower",Table78[[#This Row],[Item 2]]),0)+IFERROR(FIND("Lower",Table78[[#This Row],[Item 3]]),0))&lt;2</f>
        <v>1</v>
      </c>
      <c r="Q172" s="1">
        <v>125</v>
      </c>
      <c r="R172" s="1" t="s">
        <v>274</v>
      </c>
      <c r="S172" s="1" t="s">
        <v>277</v>
      </c>
      <c r="T172" s="1" t="s">
        <v>299</v>
      </c>
      <c r="U172" s="1">
        <v>23</v>
      </c>
      <c r="V172" s="1" t="b">
        <v>1</v>
      </c>
    </row>
    <row r="173" spans="1:22" x14ac:dyDescent="0.25">
      <c r="A173" s="162">
        <v>3</v>
      </c>
      <c r="B173" s="1">
        <v>4</v>
      </c>
      <c r="C173" s="1">
        <v>9</v>
      </c>
      <c r="E173" s="162" t="str">
        <f>INDEX(Table75[Power_list],Table76[[#This Row],[Item 1]])</f>
        <v>Speed +</v>
      </c>
      <c r="F173" s="162" t="str">
        <f>INDEX(Table75[Power_list],Table76[[#This Row],[Item 2]])</f>
        <v>Boost +</v>
      </c>
      <c r="G173" s="162" t="str">
        <f>INDEX(Table75[Power_list],Table76[[#This Row],[Item 3]])</f>
        <v>Food +</v>
      </c>
      <c r="H173" s="1">
        <f>INDEX($C$31:$C$44,MATCH(Table7678[[#This Row],[Item 2]],Table75[Power_list],0))+INDEX($C$31:$C$44,MATCH(Table7678[[#This Row],[Item 1]],Table75[Power_list],0))+INDEX($C$31:$C$44,MATCH(Table7678[[#This Row],[Item 3]],Table75[Power_list],0))</f>
        <v>20</v>
      </c>
      <c r="J173" s="1">
        <v>126</v>
      </c>
      <c r="K173" s="1" t="s">
        <v>273</v>
      </c>
      <c r="L173" s="1" t="s">
        <v>275</v>
      </c>
      <c r="M173" s="1" t="s">
        <v>296</v>
      </c>
      <c r="N173" s="1">
        <v>14</v>
      </c>
      <c r="O173" s="1" t="b">
        <f>(IFERROR(FIND("Lower",Table78[[#This Row],[Item 1]]),0)+IFERROR(FIND("Lower",Table78[[#This Row],[Item 2]]),0)+IFERROR(FIND("Lower",Table78[[#This Row],[Item 3]]),0))&lt;2</f>
        <v>1</v>
      </c>
      <c r="Q173" s="1">
        <v>126</v>
      </c>
      <c r="R173" s="1" t="s">
        <v>274</v>
      </c>
      <c r="S173" s="1" t="s">
        <v>278</v>
      </c>
      <c r="T173" s="1" t="s">
        <v>288</v>
      </c>
      <c r="U173" s="1">
        <v>23</v>
      </c>
      <c r="V173" s="1" t="b">
        <v>1</v>
      </c>
    </row>
    <row r="174" spans="1:22" x14ac:dyDescent="0.25">
      <c r="A174" s="162">
        <v>3</v>
      </c>
      <c r="B174" s="1">
        <v>4</v>
      </c>
      <c r="C174" s="1">
        <v>10</v>
      </c>
      <c r="E174" s="162" t="str">
        <f>INDEX(Table75[Power_list],Table76[[#This Row],[Item 1]])</f>
        <v>Speed +</v>
      </c>
      <c r="F174" s="162" t="str">
        <f>INDEX(Table75[Power_list],Table76[[#This Row],[Item 2]])</f>
        <v>Boost +</v>
      </c>
      <c r="G174" s="162" t="str">
        <f>INDEX(Table75[Power_list],Table76[[#This Row],[Item 3]])</f>
        <v xml:space="preserve">Lower damage from mines </v>
      </c>
      <c r="H174" s="1">
        <f>INDEX($C$31:$C$44,MATCH(Table7678[[#This Row],[Item 2]],Table75[Power_list],0))+INDEX($C$31:$C$44,MATCH(Table7678[[#This Row],[Item 1]],Table75[Power_list],0))+INDEX($C$31:$C$44,MATCH(Table7678[[#This Row],[Item 3]],Table75[Power_list],0))</f>
        <v>22</v>
      </c>
      <c r="J174" s="1">
        <v>127</v>
      </c>
      <c r="K174" s="1" t="s">
        <v>273</v>
      </c>
      <c r="L174" s="1" t="s">
        <v>276</v>
      </c>
      <c r="M174" s="1" t="s">
        <v>277</v>
      </c>
      <c r="N174" s="1">
        <v>26</v>
      </c>
      <c r="O174" s="1" t="b">
        <f>(IFERROR(FIND("Lower",Table78[[#This Row],[Item 1]]),0)+IFERROR(FIND("Lower",Table78[[#This Row],[Item 2]]),0)+IFERROR(FIND("Lower",Table78[[#This Row],[Item 3]]),0))&lt;2</f>
        <v>1</v>
      </c>
      <c r="Q174" s="1">
        <v>127</v>
      </c>
      <c r="R174" s="1" t="s">
        <v>275</v>
      </c>
      <c r="S174" s="1" t="s">
        <v>276</v>
      </c>
      <c r="T174" s="1" t="s">
        <v>278</v>
      </c>
      <c r="U174" s="1">
        <v>23</v>
      </c>
      <c r="V174" s="1" t="b">
        <v>1</v>
      </c>
    </row>
    <row r="175" spans="1:22" x14ac:dyDescent="0.25">
      <c r="A175" s="162">
        <v>3</v>
      </c>
      <c r="B175" s="1">
        <v>4</v>
      </c>
      <c r="C175" s="1">
        <v>11</v>
      </c>
      <c r="E175" s="162" t="str">
        <f>INDEX(Table75[Power_list],Table76[[#This Row],[Item 1]])</f>
        <v>Speed +</v>
      </c>
      <c r="F175" s="162" t="str">
        <f>INDEX(Table75[Power_list],Table76[[#This Row],[Item 2]])</f>
        <v>Boost +</v>
      </c>
      <c r="G175" s="162" t="str">
        <f>INDEX(Table75[Power_list],Table76[[#This Row],[Item 3]])</f>
        <v xml:space="preserve">Lower damage from ghosts </v>
      </c>
      <c r="H175" s="1">
        <f>INDEX($C$31:$C$44,MATCH(Table7678[[#This Row],[Item 2]],Table75[Power_list],0))+INDEX($C$31:$C$44,MATCH(Table7678[[#This Row],[Item 1]],Table75[Power_list],0))+INDEX($C$31:$C$44,MATCH(Table7678[[#This Row],[Item 3]],Table75[Power_list],0))</f>
        <v>17</v>
      </c>
      <c r="J175" s="1">
        <v>128</v>
      </c>
      <c r="K175" s="1" t="s">
        <v>273</v>
      </c>
      <c r="L175" s="1" t="s">
        <v>276</v>
      </c>
      <c r="M175" s="1" t="s">
        <v>278</v>
      </c>
      <c r="N175" s="1">
        <v>25</v>
      </c>
      <c r="O175" s="1" t="b">
        <f>(IFERROR(FIND("Lower",Table78[[#This Row],[Item 1]]),0)+IFERROR(FIND("Lower",Table78[[#This Row],[Item 2]]),0)+IFERROR(FIND("Lower",Table78[[#This Row],[Item 3]]),0))&lt;2</f>
        <v>1</v>
      </c>
      <c r="Q175" s="1">
        <v>128</v>
      </c>
      <c r="R175" s="1" t="s">
        <v>276</v>
      </c>
      <c r="S175" s="1" t="s">
        <v>277</v>
      </c>
      <c r="T175" s="1" t="s">
        <v>288</v>
      </c>
      <c r="U175" s="1">
        <v>23</v>
      </c>
      <c r="V175" s="1" t="b">
        <v>1</v>
      </c>
    </row>
    <row r="176" spans="1:22" x14ac:dyDescent="0.25">
      <c r="A176" s="162">
        <v>3</v>
      </c>
      <c r="B176" s="1">
        <v>4</v>
      </c>
      <c r="C176" s="1">
        <v>12</v>
      </c>
      <c r="E176" s="162" t="str">
        <f>INDEX(Table75[Power_list],Table76[[#This Row],[Item 1]])</f>
        <v>Speed +</v>
      </c>
      <c r="F176" s="162" t="str">
        <f>INDEX(Table75[Power_list],Table76[[#This Row],[Item 2]])</f>
        <v>Boost +</v>
      </c>
      <c r="G176" s="162" t="str">
        <f>INDEX(Table75[Power_list],Table76[[#This Row],[Item 3]])</f>
        <v xml:space="preserve">Lower damage from poison </v>
      </c>
      <c r="H176" s="1">
        <f>INDEX($C$31:$C$44,MATCH(Table7678[[#This Row],[Item 2]],Table75[Power_list],0))+INDEX($C$31:$C$44,MATCH(Table7678[[#This Row],[Item 1]],Table75[Power_list],0))+INDEX($C$31:$C$44,MATCH(Table7678[[#This Row],[Item 3]],Table75[Power_list],0))</f>
        <v>19</v>
      </c>
      <c r="J176" s="1">
        <v>129</v>
      </c>
      <c r="K176" s="1" t="s">
        <v>273</v>
      </c>
      <c r="L176" s="1" t="s">
        <v>276</v>
      </c>
      <c r="M176" s="1" t="s">
        <v>288</v>
      </c>
      <c r="N176" s="1">
        <v>19</v>
      </c>
      <c r="O176" s="1" t="b">
        <f>(IFERROR(FIND("Lower",Table78[[#This Row],[Item 1]]),0)+IFERROR(FIND("Lower",Table78[[#This Row],[Item 2]]),0)+IFERROR(FIND("Lower",Table78[[#This Row],[Item 3]]),0))&lt;2</f>
        <v>1</v>
      </c>
      <c r="Q176" s="1">
        <v>129</v>
      </c>
      <c r="R176" s="1" t="s">
        <v>277</v>
      </c>
      <c r="S176" s="1" t="s">
        <v>278</v>
      </c>
      <c r="T176" s="1" t="s">
        <v>296</v>
      </c>
      <c r="U176" s="1">
        <v>23</v>
      </c>
      <c r="V176" s="1" t="b">
        <v>1</v>
      </c>
    </row>
    <row r="177" spans="1:22" x14ac:dyDescent="0.25">
      <c r="A177" s="162">
        <v>3</v>
      </c>
      <c r="B177" s="1">
        <v>4</v>
      </c>
      <c r="C177" s="1">
        <v>13</v>
      </c>
      <c r="E177" s="162" t="str">
        <f>INDEX(Table75[Power_list],Table76[[#This Row],[Item 1]])</f>
        <v>Speed +</v>
      </c>
      <c r="F177" s="162" t="str">
        <f>INDEX(Table75[Power_list],Table76[[#This Row],[Item 2]])</f>
        <v>Boost +</v>
      </c>
      <c r="G177" s="162" t="str">
        <f>INDEX(Table75[Power_list],Table76[[#This Row],[Item 3]])</f>
        <v xml:space="preserve">Lower damage from arrows </v>
      </c>
      <c r="H177" s="1">
        <f>INDEX($C$31:$C$44,MATCH(Table7678[[#This Row],[Item 2]],Table75[Power_list],0))+INDEX($C$31:$C$44,MATCH(Table7678[[#This Row],[Item 1]],Table75[Power_list],0))+INDEX($C$31:$C$44,MATCH(Table7678[[#This Row],[Item 3]],Table75[Power_list],0))</f>
        <v>18</v>
      </c>
      <c r="J177" s="1">
        <v>130</v>
      </c>
      <c r="K177" s="1" t="s">
        <v>273</v>
      </c>
      <c r="L177" s="1" t="s">
        <v>276</v>
      </c>
      <c r="M177" s="1" t="s">
        <v>294</v>
      </c>
      <c r="N177" s="1">
        <v>21</v>
      </c>
      <c r="O177" s="1" t="b">
        <f>(IFERROR(FIND("Lower",Table78[[#This Row],[Item 1]]),0)+IFERROR(FIND("Lower",Table78[[#This Row],[Item 2]]),0)+IFERROR(FIND("Lower",Table78[[#This Row],[Item 3]]),0))&lt;2</f>
        <v>1</v>
      </c>
      <c r="Q177" s="1">
        <v>130</v>
      </c>
      <c r="R177" s="1" t="s">
        <v>271</v>
      </c>
      <c r="S177" s="1" t="s">
        <v>273</v>
      </c>
      <c r="T177" s="1" t="s">
        <v>275</v>
      </c>
      <c r="U177" s="1">
        <v>24</v>
      </c>
      <c r="V177" s="1" t="b">
        <v>1</v>
      </c>
    </row>
    <row r="178" spans="1:22" x14ac:dyDescent="0.25">
      <c r="A178" s="162">
        <v>3</v>
      </c>
      <c r="B178" s="1">
        <v>5</v>
      </c>
      <c r="C178" s="1">
        <v>6</v>
      </c>
      <c r="E178" s="162" t="str">
        <f>INDEX(Table75[Power_list],Table76[[#This Row],[Item 1]])</f>
        <v>Speed +</v>
      </c>
      <c r="F178" s="162" t="str">
        <f>INDEX(Table75[Power_list],Table76[[#This Row],[Item 2]])</f>
        <v>Fire (size) +</v>
      </c>
      <c r="G178" s="162" t="str">
        <f>INDEX(Table75[Power_list],Table76[[#This Row],[Item 3]])</f>
        <v>Fire Rush Time +</v>
      </c>
      <c r="H178" s="1">
        <f>INDEX($C$31:$C$44,MATCH(Table7678[[#This Row],[Item 2]],Table75[Power_list],0))+INDEX($C$31:$C$44,MATCH(Table7678[[#This Row],[Item 1]],Table75[Power_list],0))+INDEX($C$31:$C$44,MATCH(Table7678[[#This Row],[Item 3]],Table75[Power_list],0))</f>
        <v>20</v>
      </c>
      <c r="J178" s="1">
        <v>131</v>
      </c>
      <c r="K178" s="1" t="s">
        <v>273</v>
      </c>
      <c r="L178" s="1" t="s">
        <v>276</v>
      </c>
      <c r="M178" s="1" t="s">
        <v>295</v>
      </c>
      <c r="N178" s="1">
        <v>16</v>
      </c>
      <c r="O178" s="1" t="b">
        <f>(IFERROR(FIND("Lower",Table78[[#This Row],[Item 1]]),0)+IFERROR(FIND("Lower",Table78[[#This Row],[Item 2]]),0)+IFERROR(FIND("Lower",Table78[[#This Row],[Item 3]]),0))&lt;2</f>
        <v>1</v>
      </c>
      <c r="Q178" s="1">
        <v>131</v>
      </c>
      <c r="R178" s="1" t="s">
        <v>271</v>
      </c>
      <c r="S178" s="1" t="s">
        <v>274</v>
      </c>
      <c r="T178" s="1" t="s">
        <v>299</v>
      </c>
      <c r="U178" s="1">
        <v>24</v>
      </c>
      <c r="V178" s="1" t="b">
        <v>1</v>
      </c>
    </row>
    <row r="179" spans="1:22" x14ac:dyDescent="0.25">
      <c r="A179" s="162">
        <v>3</v>
      </c>
      <c r="B179" s="1">
        <v>5</v>
      </c>
      <c r="C179" s="1">
        <v>7</v>
      </c>
      <c r="E179" s="162" t="str">
        <f>INDEX(Table75[Power_list],Table76[[#This Row],[Item 1]])</f>
        <v>Speed +</v>
      </c>
      <c r="F179" s="162" t="str">
        <f>INDEX(Table75[Power_list],Table76[[#This Row],[Item 2]])</f>
        <v>Fire (size) +</v>
      </c>
      <c r="G179" s="162" t="str">
        <f>INDEX(Table75[Power_list],Table76[[#This Row],[Item 3]])</f>
        <v>SC +</v>
      </c>
      <c r="H179" s="1">
        <f>INDEX($C$31:$C$44,MATCH(Table7678[[#This Row],[Item 2]],Table75[Power_list],0))+INDEX($C$31:$C$44,MATCH(Table7678[[#This Row],[Item 1]],Table75[Power_list],0))+INDEX($C$31:$C$44,MATCH(Table7678[[#This Row],[Item 3]],Table75[Power_list],0))</f>
        <v>23</v>
      </c>
      <c r="J179" s="1">
        <v>132</v>
      </c>
      <c r="K179" s="1" t="s">
        <v>273</v>
      </c>
      <c r="L179" s="1" t="s">
        <v>276</v>
      </c>
      <c r="M179" s="1" t="s">
        <v>299</v>
      </c>
      <c r="N179" s="1">
        <v>18</v>
      </c>
      <c r="O179" s="1" t="b">
        <f>(IFERROR(FIND("Lower",Table78[[#This Row],[Item 1]]),0)+IFERROR(FIND("Lower",Table78[[#This Row],[Item 2]]),0)+IFERROR(FIND("Lower",Table78[[#This Row],[Item 3]]),0))&lt;2</f>
        <v>1</v>
      </c>
      <c r="Q179" s="1">
        <v>132</v>
      </c>
      <c r="R179" s="1" t="s">
        <v>271</v>
      </c>
      <c r="S179" s="1" t="s">
        <v>276</v>
      </c>
      <c r="T179" s="1" t="s">
        <v>288</v>
      </c>
      <c r="U179" s="1">
        <v>24</v>
      </c>
      <c r="V179" s="1" t="b">
        <v>1</v>
      </c>
    </row>
    <row r="180" spans="1:22" x14ac:dyDescent="0.25">
      <c r="A180" s="162">
        <v>3</v>
      </c>
      <c r="B180" s="1">
        <v>5</v>
      </c>
      <c r="C180" s="1">
        <v>8</v>
      </c>
      <c r="E180" s="162" t="str">
        <f>INDEX(Table75[Power_list],Table76[[#This Row],[Item 1]])</f>
        <v>Speed +</v>
      </c>
      <c r="F180" s="162" t="str">
        <f>INDEX(Table75[Power_list],Table76[[#This Row],[Item 2]])</f>
        <v>Fire (size) +</v>
      </c>
      <c r="G180" s="162" t="str">
        <f>INDEX(Table75[Power_list],Table76[[#This Row],[Item 3]])</f>
        <v>Score +</v>
      </c>
      <c r="H180" s="1">
        <f>INDEX($C$31:$C$44,MATCH(Table7678[[#This Row],[Item 2]],Table75[Power_list],0))+INDEX($C$31:$C$44,MATCH(Table7678[[#This Row],[Item 1]],Table75[Power_list],0))+INDEX($C$31:$C$44,MATCH(Table7678[[#This Row],[Item 3]],Table75[Power_list],0))</f>
        <v>22</v>
      </c>
      <c r="J180" s="1">
        <v>133</v>
      </c>
      <c r="K180" s="1" t="s">
        <v>273</v>
      </c>
      <c r="L180" s="1" t="s">
        <v>276</v>
      </c>
      <c r="M180" s="1" t="s">
        <v>296</v>
      </c>
      <c r="N180" s="1">
        <v>17</v>
      </c>
      <c r="O180" s="1" t="b">
        <f>(IFERROR(FIND("Lower",Table78[[#This Row],[Item 1]]),0)+IFERROR(FIND("Lower",Table78[[#This Row],[Item 2]]),0)+IFERROR(FIND("Lower",Table78[[#This Row],[Item 3]]),0))&lt;2</f>
        <v>1</v>
      </c>
      <c r="Q180" s="1">
        <v>133</v>
      </c>
      <c r="R180" s="1" t="s">
        <v>271</v>
      </c>
      <c r="S180" s="1" t="s">
        <v>277</v>
      </c>
      <c r="T180" s="1" t="s">
        <v>295</v>
      </c>
      <c r="U180" s="1">
        <v>24</v>
      </c>
      <c r="V180" s="1" t="b">
        <v>1</v>
      </c>
    </row>
    <row r="181" spans="1:22" x14ac:dyDescent="0.25">
      <c r="A181" s="162">
        <v>3</v>
      </c>
      <c r="B181" s="1">
        <v>5</v>
      </c>
      <c r="C181" s="1">
        <v>9</v>
      </c>
      <c r="E181" s="162" t="str">
        <f>INDEX(Table75[Power_list],Table76[[#This Row],[Item 1]])</f>
        <v>Speed +</v>
      </c>
      <c r="F181" s="162" t="str">
        <f>INDEX(Table75[Power_list],Table76[[#This Row],[Item 2]])</f>
        <v>Fire (size) +</v>
      </c>
      <c r="G181" s="162" t="str">
        <f>INDEX(Table75[Power_list],Table76[[#This Row],[Item 3]])</f>
        <v>Food +</v>
      </c>
      <c r="H181" s="1">
        <f>INDEX($C$31:$C$44,MATCH(Table7678[[#This Row],[Item 2]],Table75[Power_list],0))+INDEX($C$31:$C$44,MATCH(Table7678[[#This Row],[Item 1]],Table75[Power_list],0))+INDEX($C$31:$C$44,MATCH(Table7678[[#This Row],[Item 3]],Table75[Power_list],0))</f>
        <v>16</v>
      </c>
      <c r="J181" s="1">
        <v>134</v>
      </c>
      <c r="K181" s="1" t="s">
        <v>273</v>
      </c>
      <c r="L181" s="1" t="s">
        <v>277</v>
      </c>
      <c r="M181" s="1" t="s">
        <v>278</v>
      </c>
      <c r="N181" s="1">
        <v>28</v>
      </c>
      <c r="O181" s="1" t="b">
        <f>(IFERROR(FIND("Lower",Table78[[#This Row],[Item 1]]),0)+IFERROR(FIND("Lower",Table78[[#This Row],[Item 2]]),0)+IFERROR(FIND("Lower",Table78[[#This Row],[Item 3]]),0))&lt;2</f>
        <v>1</v>
      </c>
      <c r="Q181" s="1">
        <v>134</v>
      </c>
      <c r="R181" s="1" t="s">
        <v>271</v>
      </c>
      <c r="S181" s="1" t="s">
        <v>278</v>
      </c>
      <c r="T181" s="1" t="s">
        <v>296</v>
      </c>
      <c r="U181" s="1">
        <v>24</v>
      </c>
      <c r="V181" s="1" t="b">
        <v>1</v>
      </c>
    </row>
    <row r="182" spans="1:22" x14ac:dyDescent="0.25">
      <c r="A182" s="162">
        <v>3</v>
      </c>
      <c r="B182" s="1">
        <v>5</v>
      </c>
      <c r="C182" s="1">
        <v>10</v>
      </c>
      <c r="E182" s="162" t="str">
        <f>INDEX(Table75[Power_list],Table76[[#This Row],[Item 1]])</f>
        <v>Speed +</v>
      </c>
      <c r="F182" s="162" t="str">
        <f>INDEX(Table75[Power_list],Table76[[#This Row],[Item 2]])</f>
        <v>Fire (size) +</v>
      </c>
      <c r="G182" s="162" t="str">
        <f>INDEX(Table75[Power_list],Table76[[#This Row],[Item 3]])</f>
        <v xml:space="preserve">Lower damage from mines </v>
      </c>
      <c r="H182" s="1">
        <f>INDEX($C$31:$C$44,MATCH(Table7678[[#This Row],[Item 2]],Table75[Power_list],0))+INDEX($C$31:$C$44,MATCH(Table7678[[#This Row],[Item 1]],Table75[Power_list],0))+INDEX($C$31:$C$44,MATCH(Table7678[[#This Row],[Item 3]],Table75[Power_list],0))</f>
        <v>18</v>
      </c>
      <c r="J182" s="1">
        <v>135</v>
      </c>
      <c r="K182" s="1" t="s">
        <v>273</v>
      </c>
      <c r="L182" s="1" t="s">
        <v>277</v>
      </c>
      <c r="M182" s="1" t="s">
        <v>288</v>
      </c>
      <c r="N182" s="1">
        <v>22</v>
      </c>
      <c r="O182" s="1" t="b">
        <f>(IFERROR(FIND("Lower",Table78[[#This Row],[Item 1]]),0)+IFERROR(FIND("Lower",Table78[[#This Row],[Item 2]]),0)+IFERROR(FIND("Lower",Table78[[#This Row],[Item 3]]),0))&lt;2</f>
        <v>1</v>
      </c>
      <c r="Q182" s="1">
        <v>135</v>
      </c>
      <c r="R182" s="1" t="s">
        <v>272</v>
      </c>
      <c r="S182" s="1" t="s">
        <v>273</v>
      </c>
      <c r="T182" s="1" t="s">
        <v>288</v>
      </c>
      <c r="U182" s="1">
        <v>24</v>
      </c>
      <c r="V182" s="1" t="b">
        <v>1</v>
      </c>
    </row>
    <row r="183" spans="1:22" x14ac:dyDescent="0.25">
      <c r="A183" s="162">
        <v>3</v>
      </c>
      <c r="B183" s="1">
        <v>5</v>
      </c>
      <c r="C183" s="1">
        <v>11</v>
      </c>
      <c r="E183" s="162" t="str">
        <f>INDEX(Table75[Power_list],Table76[[#This Row],[Item 1]])</f>
        <v>Speed +</v>
      </c>
      <c r="F183" s="162" t="str">
        <f>INDEX(Table75[Power_list],Table76[[#This Row],[Item 2]])</f>
        <v>Fire (size) +</v>
      </c>
      <c r="G183" s="162" t="str">
        <f>INDEX(Table75[Power_list],Table76[[#This Row],[Item 3]])</f>
        <v xml:space="preserve">Lower damage from ghosts </v>
      </c>
      <c r="H183" s="1">
        <f>INDEX($C$31:$C$44,MATCH(Table7678[[#This Row],[Item 2]],Table75[Power_list],0))+INDEX($C$31:$C$44,MATCH(Table7678[[#This Row],[Item 1]],Table75[Power_list],0))+INDEX($C$31:$C$44,MATCH(Table7678[[#This Row],[Item 3]],Table75[Power_list],0))</f>
        <v>13</v>
      </c>
      <c r="J183" s="1">
        <v>136</v>
      </c>
      <c r="K183" s="1" t="s">
        <v>273</v>
      </c>
      <c r="L183" s="1" t="s">
        <v>277</v>
      </c>
      <c r="M183" s="1" t="s">
        <v>294</v>
      </c>
      <c r="N183" s="1">
        <v>24</v>
      </c>
      <c r="O183" s="1" t="b">
        <f>(IFERROR(FIND("Lower",Table78[[#This Row],[Item 1]]),0)+IFERROR(FIND("Lower",Table78[[#This Row],[Item 2]]),0)+IFERROR(FIND("Lower",Table78[[#This Row],[Item 3]]),0))&lt;2</f>
        <v>1</v>
      </c>
      <c r="Q183" s="1">
        <v>136</v>
      </c>
      <c r="R183" s="1" t="s">
        <v>272</v>
      </c>
      <c r="S183" s="1" t="s">
        <v>274</v>
      </c>
      <c r="T183" s="1" t="s">
        <v>296</v>
      </c>
      <c r="U183" s="1">
        <v>24</v>
      </c>
      <c r="V183" s="1" t="b">
        <v>1</v>
      </c>
    </row>
    <row r="184" spans="1:22" x14ac:dyDescent="0.25">
      <c r="A184" s="162">
        <v>3</v>
      </c>
      <c r="B184" s="1">
        <v>5</v>
      </c>
      <c r="C184" s="1">
        <v>12</v>
      </c>
      <c r="E184" s="162" t="str">
        <f>INDEX(Table75[Power_list],Table76[[#This Row],[Item 1]])</f>
        <v>Speed +</v>
      </c>
      <c r="F184" s="162" t="str">
        <f>INDEX(Table75[Power_list],Table76[[#This Row],[Item 2]])</f>
        <v>Fire (size) +</v>
      </c>
      <c r="G184" s="162" t="str">
        <f>INDEX(Table75[Power_list],Table76[[#This Row],[Item 3]])</f>
        <v xml:space="preserve">Lower damage from poison </v>
      </c>
      <c r="H184" s="1">
        <f>INDEX($C$31:$C$44,MATCH(Table7678[[#This Row],[Item 2]],Table75[Power_list],0))+INDEX($C$31:$C$44,MATCH(Table7678[[#This Row],[Item 1]],Table75[Power_list],0))+INDEX($C$31:$C$44,MATCH(Table7678[[#This Row],[Item 3]],Table75[Power_list],0))</f>
        <v>15</v>
      </c>
      <c r="J184" s="1">
        <v>137</v>
      </c>
      <c r="K184" s="1" t="s">
        <v>273</v>
      </c>
      <c r="L184" s="1" t="s">
        <v>277</v>
      </c>
      <c r="M184" s="1" t="s">
        <v>295</v>
      </c>
      <c r="N184" s="1">
        <v>19</v>
      </c>
      <c r="O184" s="1" t="b">
        <f>(IFERROR(FIND("Lower",Table78[[#This Row],[Item 1]]),0)+IFERROR(FIND("Lower",Table78[[#This Row],[Item 2]]),0)+IFERROR(FIND("Lower",Table78[[#This Row],[Item 3]]),0))&lt;2</f>
        <v>1</v>
      </c>
      <c r="Q184" s="1">
        <v>137</v>
      </c>
      <c r="R184" s="1" t="s">
        <v>272</v>
      </c>
      <c r="S184" s="1" t="s">
        <v>275</v>
      </c>
      <c r="T184" s="1" t="s">
        <v>294</v>
      </c>
      <c r="U184" s="1">
        <v>24</v>
      </c>
      <c r="V184" s="1" t="b">
        <v>1</v>
      </c>
    </row>
    <row r="185" spans="1:22" x14ac:dyDescent="0.25">
      <c r="A185" s="162">
        <v>3</v>
      </c>
      <c r="B185" s="1">
        <v>5</v>
      </c>
      <c r="C185" s="1">
        <v>13</v>
      </c>
      <c r="E185" s="162" t="str">
        <f>INDEX(Table75[Power_list],Table76[[#This Row],[Item 1]])</f>
        <v>Speed +</v>
      </c>
      <c r="F185" s="162" t="str">
        <f>INDEX(Table75[Power_list],Table76[[#This Row],[Item 2]])</f>
        <v>Fire (size) +</v>
      </c>
      <c r="G185" s="162" t="str">
        <f>INDEX(Table75[Power_list],Table76[[#This Row],[Item 3]])</f>
        <v xml:space="preserve">Lower damage from arrows </v>
      </c>
      <c r="H185" s="1">
        <f>INDEX($C$31:$C$44,MATCH(Table7678[[#This Row],[Item 2]],Table75[Power_list],0))+INDEX($C$31:$C$44,MATCH(Table7678[[#This Row],[Item 1]],Table75[Power_list],0))+INDEX($C$31:$C$44,MATCH(Table7678[[#This Row],[Item 3]],Table75[Power_list],0))</f>
        <v>14</v>
      </c>
      <c r="J185" s="1">
        <v>138</v>
      </c>
      <c r="K185" s="1" t="s">
        <v>273</v>
      </c>
      <c r="L185" s="1" t="s">
        <v>277</v>
      </c>
      <c r="M185" s="1" t="s">
        <v>299</v>
      </c>
      <c r="N185" s="1">
        <v>21</v>
      </c>
      <c r="O185" s="1" t="b">
        <f>(IFERROR(FIND("Lower",Table78[[#This Row],[Item 1]]),0)+IFERROR(FIND("Lower",Table78[[#This Row],[Item 2]]),0)+IFERROR(FIND("Lower",Table78[[#This Row],[Item 3]]),0))&lt;2</f>
        <v>1</v>
      </c>
      <c r="Q185" s="1">
        <v>138</v>
      </c>
      <c r="R185" s="1" t="s">
        <v>272</v>
      </c>
      <c r="S185" s="1" t="s">
        <v>276</v>
      </c>
      <c r="T185" s="1" t="s">
        <v>299</v>
      </c>
      <c r="U185" s="1">
        <v>24</v>
      </c>
      <c r="V185" s="1" t="b">
        <v>1</v>
      </c>
    </row>
    <row r="186" spans="1:22" x14ac:dyDescent="0.25">
      <c r="A186" s="162">
        <v>3</v>
      </c>
      <c r="B186" s="1">
        <v>6</v>
      </c>
      <c r="C186" s="1">
        <v>7</v>
      </c>
      <c r="E186" s="162" t="str">
        <f>INDEX(Table75[Power_list],Table76[[#This Row],[Item 1]])</f>
        <v>Speed +</v>
      </c>
      <c r="F186" s="162" t="str">
        <f>INDEX(Table75[Power_list],Table76[[#This Row],[Item 2]])</f>
        <v>Fire Rush Time +</v>
      </c>
      <c r="G186" s="162" t="str">
        <f>INDEX(Table75[Power_list],Table76[[#This Row],[Item 3]])</f>
        <v>SC +</v>
      </c>
      <c r="H186" s="1">
        <f>INDEX($C$31:$C$44,MATCH(Table7678[[#This Row],[Item 2]],Table75[Power_list],0))+INDEX($C$31:$C$44,MATCH(Table7678[[#This Row],[Item 1]],Table75[Power_list],0))+INDEX($C$31:$C$44,MATCH(Table7678[[#This Row],[Item 3]],Table75[Power_list],0))</f>
        <v>26</v>
      </c>
      <c r="J186" s="1">
        <v>139</v>
      </c>
      <c r="K186" s="1" t="s">
        <v>273</v>
      </c>
      <c r="L186" s="1" t="s">
        <v>277</v>
      </c>
      <c r="M186" s="1" t="s">
        <v>296</v>
      </c>
      <c r="N186" s="1">
        <v>20</v>
      </c>
      <c r="O186" s="1" t="b">
        <f>(IFERROR(FIND("Lower",Table78[[#This Row],[Item 1]]),0)+IFERROR(FIND("Lower",Table78[[#This Row],[Item 2]]),0)+IFERROR(FIND("Lower",Table78[[#This Row],[Item 3]]),0))&lt;2</f>
        <v>1</v>
      </c>
      <c r="Q186" s="1">
        <v>139</v>
      </c>
      <c r="R186" s="1" t="s">
        <v>272</v>
      </c>
      <c r="S186" s="1" t="s">
        <v>278</v>
      </c>
      <c r="T186" s="1" t="s">
        <v>295</v>
      </c>
      <c r="U186" s="1">
        <v>24</v>
      </c>
      <c r="V186" s="1" t="b">
        <v>1</v>
      </c>
    </row>
    <row r="187" spans="1:22" x14ac:dyDescent="0.25">
      <c r="A187" s="162">
        <v>3</v>
      </c>
      <c r="B187" s="1">
        <v>6</v>
      </c>
      <c r="C187" s="1">
        <v>8</v>
      </c>
      <c r="E187" s="162" t="str">
        <f>INDEX(Table75[Power_list],Table76[[#This Row],[Item 1]])</f>
        <v>Speed +</v>
      </c>
      <c r="F187" s="162" t="str">
        <f>INDEX(Table75[Power_list],Table76[[#This Row],[Item 2]])</f>
        <v>Fire Rush Time +</v>
      </c>
      <c r="G187" s="162" t="str">
        <f>INDEX(Table75[Power_list],Table76[[#This Row],[Item 3]])</f>
        <v>Score +</v>
      </c>
      <c r="H187" s="1">
        <f>INDEX($C$31:$C$44,MATCH(Table7678[[#This Row],[Item 2]],Table75[Power_list],0))+INDEX($C$31:$C$44,MATCH(Table7678[[#This Row],[Item 1]],Table75[Power_list],0))+INDEX($C$31:$C$44,MATCH(Table7678[[#This Row],[Item 3]],Table75[Power_list],0))</f>
        <v>25</v>
      </c>
      <c r="J187" s="1">
        <v>140</v>
      </c>
      <c r="K187" s="1" t="s">
        <v>273</v>
      </c>
      <c r="L187" s="1" t="s">
        <v>278</v>
      </c>
      <c r="M187" s="1" t="s">
        <v>288</v>
      </c>
      <c r="N187" s="1">
        <v>21</v>
      </c>
      <c r="O187" s="1" t="b">
        <f>(IFERROR(FIND("Lower",Table78[[#This Row],[Item 1]]),0)+IFERROR(FIND("Lower",Table78[[#This Row],[Item 2]]),0)+IFERROR(FIND("Lower",Table78[[#This Row],[Item 3]]),0))&lt;2</f>
        <v>1</v>
      </c>
      <c r="Q187" s="1">
        <v>140</v>
      </c>
      <c r="R187" s="1" t="s">
        <v>273</v>
      </c>
      <c r="S187" s="1" t="s">
        <v>274</v>
      </c>
      <c r="T187" s="1" t="s">
        <v>276</v>
      </c>
      <c r="U187" s="1">
        <v>24</v>
      </c>
      <c r="V187" s="1" t="b">
        <v>1</v>
      </c>
    </row>
    <row r="188" spans="1:22" x14ac:dyDescent="0.25">
      <c r="A188" s="162">
        <v>3</v>
      </c>
      <c r="B188" s="1">
        <v>6</v>
      </c>
      <c r="C188" s="1">
        <v>9</v>
      </c>
      <c r="E188" s="162" t="str">
        <f>INDEX(Table75[Power_list],Table76[[#This Row],[Item 1]])</f>
        <v>Speed +</v>
      </c>
      <c r="F188" s="162" t="str">
        <f>INDEX(Table75[Power_list],Table76[[#This Row],[Item 2]])</f>
        <v>Fire Rush Time +</v>
      </c>
      <c r="G188" s="162" t="str">
        <f>INDEX(Table75[Power_list],Table76[[#This Row],[Item 3]])</f>
        <v>Food +</v>
      </c>
      <c r="H188" s="1">
        <f>INDEX($C$31:$C$44,MATCH(Table7678[[#This Row],[Item 2]],Table75[Power_list],0))+INDEX($C$31:$C$44,MATCH(Table7678[[#This Row],[Item 1]],Table75[Power_list],0))+INDEX($C$31:$C$44,MATCH(Table7678[[#This Row],[Item 3]],Table75[Power_list],0))</f>
        <v>19</v>
      </c>
      <c r="J188" s="1">
        <v>141</v>
      </c>
      <c r="K188" s="1" t="s">
        <v>273</v>
      </c>
      <c r="L188" s="1" t="s">
        <v>278</v>
      </c>
      <c r="M188" s="1" t="s">
        <v>294</v>
      </c>
      <c r="N188" s="1">
        <v>23</v>
      </c>
      <c r="O188" s="1" t="b">
        <f>(IFERROR(FIND("Lower",Table78[[#This Row],[Item 1]]),0)+IFERROR(FIND("Lower",Table78[[#This Row],[Item 2]]),0)+IFERROR(FIND("Lower",Table78[[#This Row],[Item 3]]),0))&lt;2</f>
        <v>1</v>
      </c>
      <c r="Q188" s="1">
        <v>141</v>
      </c>
      <c r="R188" s="1" t="s">
        <v>273</v>
      </c>
      <c r="S188" s="1" t="s">
        <v>277</v>
      </c>
      <c r="T188" s="1" t="s">
        <v>294</v>
      </c>
      <c r="U188" s="1">
        <v>24</v>
      </c>
      <c r="V188" s="1" t="b">
        <v>1</v>
      </c>
    </row>
    <row r="189" spans="1:22" x14ac:dyDescent="0.25">
      <c r="A189" s="162">
        <v>3</v>
      </c>
      <c r="B189" s="1">
        <v>6</v>
      </c>
      <c r="C189" s="1">
        <v>10</v>
      </c>
      <c r="E189" s="162" t="str">
        <f>INDEX(Table75[Power_list],Table76[[#This Row],[Item 1]])</f>
        <v>Speed +</v>
      </c>
      <c r="F189" s="162" t="str">
        <f>INDEX(Table75[Power_list],Table76[[#This Row],[Item 2]])</f>
        <v>Fire Rush Time +</v>
      </c>
      <c r="G189" s="162" t="str">
        <f>INDEX(Table75[Power_list],Table76[[#This Row],[Item 3]])</f>
        <v xml:space="preserve">Lower damage from mines </v>
      </c>
      <c r="H189" s="1">
        <f>INDEX($C$31:$C$44,MATCH(Table7678[[#This Row],[Item 2]],Table75[Power_list],0))+INDEX($C$31:$C$44,MATCH(Table7678[[#This Row],[Item 1]],Table75[Power_list],0))+INDEX($C$31:$C$44,MATCH(Table7678[[#This Row],[Item 3]],Table75[Power_list],0))</f>
        <v>21</v>
      </c>
      <c r="J189" s="1">
        <v>142</v>
      </c>
      <c r="K189" s="1" t="s">
        <v>273</v>
      </c>
      <c r="L189" s="1" t="s">
        <v>278</v>
      </c>
      <c r="M189" s="1" t="s">
        <v>295</v>
      </c>
      <c r="N189" s="1">
        <v>18</v>
      </c>
      <c r="O189" s="1" t="b">
        <f>(IFERROR(FIND("Lower",Table78[[#This Row],[Item 1]]),0)+IFERROR(FIND("Lower",Table78[[#This Row],[Item 2]]),0)+IFERROR(FIND("Lower",Table78[[#This Row],[Item 3]]),0))&lt;2</f>
        <v>1</v>
      </c>
      <c r="Q189" s="1">
        <v>142</v>
      </c>
      <c r="R189" s="1" t="s">
        <v>274</v>
      </c>
      <c r="S189" s="1" t="s">
        <v>275</v>
      </c>
      <c r="T189" s="1" t="s">
        <v>278</v>
      </c>
      <c r="U189" s="1">
        <v>24</v>
      </c>
      <c r="V189" s="1" t="b">
        <v>1</v>
      </c>
    </row>
    <row r="190" spans="1:22" x14ac:dyDescent="0.25">
      <c r="A190" s="162">
        <v>3</v>
      </c>
      <c r="B190" s="1">
        <v>6</v>
      </c>
      <c r="C190" s="1">
        <v>11</v>
      </c>
      <c r="E190" s="162" t="str">
        <f>INDEX(Table75[Power_list],Table76[[#This Row],[Item 1]])</f>
        <v>Speed +</v>
      </c>
      <c r="F190" s="162" t="str">
        <f>INDEX(Table75[Power_list],Table76[[#This Row],[Item 2]])</f>
        <v>Fire Rush Time +</v>
      </c>
      <c r="G190" s="162" t="str">
        <f>INDEX(Table75[Power_list],Table76[[#This Row],[Item 3]])</f>
        <v xml:space="preserve">Lower damage from ghosts </v>
      </c>
      <c r="H190" s="1">
        <f>INDEX($C$31:$C$44,MATCH(Table7678[[#This Row],[Item 2]],Table75[Power_list],0))+INDEX($C$31:$C$44,MATCH(Table7678[[#This Row],[Item 1]],Table75[Power_list],0))+INDEX($C$31:$C$44,MATCH(Table7678[[#This Row],[Item 3]],Table75[Power_list],0))</f>
        <v>16</v>
      </c>
      <c r="J190" s="1">
        <v>143</v>
      </c>
      <c r="K190" s="1" t="s">
        <v>273</v>
      </c>
      <c r="L190" s="1" t="s">
        <v>278</v>
      </c>
      <c r="M190" s="1" t="s">
        <v>299</v>
      </c>
      <c r="N190" s="1">
        <v>20</v>
      </c>
      <c r="O190" s="1" t="b">
        <f>(IFERROR(FIND("Lower",Table78[[#This Row],[Item 1]]),0)+IFERROR(FIND("Lower",Table78[[#This Row],[Item 2]]),0)+IFERROR(FIND("Lower",Table78[[#This Row],[Item 3]]),0))&lt;2</f>
        <v>1</v>
      </c>
      <c r="Q190" s="1">
        <v>143</v>
      </c>
      <c r="R190" s="1" t="s">
        <v>274</v>
      </c>
      <c r="S190" s="1" t="s">
        <v>277</v>
      </c>
      <c r="T190" s="1" t="s">
        <v>288</v>
      </c>
      <c r="U190" s="1">
        <v>24</v>
      </c>
      <c r="V190" s="1" t="b">
        <v>1</v>
      </c>
    </row>
    <row r="191" spans="1:22" x14ac:dyDescent="0.25">
      <c r="A191" s="162">
        <v>3</v>
      </c>
      <c r="B191" s="1">
        <v>6</v>
      </c>
      <c r="C191" s="1">
        <v>12</v>
      </c>
      <c r="E191" s="162" t="str">
        <f>INDEX(Table75[Power_list],Table76[[#This Row],[Item 1]])</f>
        <v>Speed +</v>
      </c>
      <c r="F191" s="162" t="str">
        <f>INDEX(Table75[Power_list],Table76[[#This Row],[Item 2]])</f>
        <v>Fire Rush Time +</v>
      </c>
      <c r="G191" s="162" t="str">
        <f>INDEX(Table75[Power_list],Table76[[#This Row],[Item 3]])</f>
        <v xml:space="preserve">Lower damage from poison </v>
      </c>
      <c r="H191" s="1">
        <f>INDEX($C$31:$C$44,MATCH(Table7678[[#This Row],[Item 2]],Table75[Power_list],0))+INDEX($C$31:$C$44,MATCH(Table7678[[#This Row],[Item 1]],Table75[Power_list],0))+INDEX($C$31:$C$44,MATCH(Table7678[[#This Row],[Item 3]],Table75[Power_list],0))</f>
        <v>18</v>
      </c>
      <c r="J191" s="1">
        <v>144</v>
      </c>
      <c r="K191" s="1" t="s">
        <v>273</v>
      </c>
      <c r="L191" s="1" t="s">
        <v>278</v>
      </c>
      <c r="M191" s="1" t="s">
        <v>296</v>
      </c>
      <c r="N191" s="1">
        <v>19</v>
      </c>
      <c r="O191" s="1" t="b">
        <f>(IFERROR(FIND("Lower",Table78[[#This Row],[Item 1]]),0)+IFERROR(FIND("Lower",Table78[[#This Row],[Item 2]]),0)+IFERROR(FIND("Lower",Table78[[#This Row],[Item 3]]),0))&lt;2</f>
        <v>1</v>
      </c>
      <c r="Q191" s="1">
        <v>144</v>
      </c>
      <c r="R191" s="1" t="s">
        <v>275</v>
      </c>
      <c r="S191" s="1" t="s">
        <v>276</v>
      </c>
      <c r="T191" s="1" t="s">
        <v>277</v>
      </c>
      <c r="U191" s="1">
        <v>24</v>
      </c>
      <c r="V191" s="1" t="b">
        <v>1</v>
      </c>
    </row>
    <row r="192" spans="1:22" x14ac:dyDescent="0.25">
      <c r="A192" s="162">
        <v>3</v>
      </c>
      <c r="B192" s="1">
        <v>6</v>
      </c>
      <c r="C192" s="1">
        <v>13</v>
      </c>
      <c r="E192" s="162" t="str">
        <f>INDEX(Table75[Power_list],Table76[[#This Row],[Item 1]])</f>
        <v>Speed +</v>
      </c>
      <c r="F192" s="162" t="str">
        <f>INDEX(Table75[Power_list],Table76[[#This Row],[Item 2]])</f>
        <v>Fire Rush Time +</v>
      </c>
      <c r="G192" s="162" t="str">
        <f>INDEX(Table75[Power_list],Table76[[#This Row],[Item 3]])</f>
        <v xml:space="preserve">Lower damage from arrows </v>
      </c>
      <c r="H192" s="1">
        <f>INDEX($C$31:$C$44,MATCH(Table7678[[#This Row],[Item 2]],Table75[Power_list],0))+INDEX($C$31:$C$44,MATCH(Table7678[[#This Row],[Item 1]],Table75[Power_list],0))+INDEX($C$31:$C$44,MATCH(Table7678[[#This Row],[Item 3]],Table75[Power_list],0))</f>
        <v>17</v>
      </c>
      <c r="J192" s="1">
        <v>145</v>
      </c>
      <c r="K192" s="1" t="s">
        <v>273</v>
      </c>
      <c r="L192" s="1" t="s">
        <v>288</v>
      </c>
      <c r="M192" s="1" t="s">
        <v>294</v>
      </c>
      <c r="N192" s="1">
        <v>17</v>
      </c>
      <c r="O192" s="1" t="b">
        <f>(IFERROR(FIND("Lower",Table78[[#This Row],[Item 1]]),0)+IFERROR(FIND("Lower",Table78[[#This Row],[Item 2]]),0)+IFERROR(FIND("Lower",Table78[[#This Row],[Item 3]]),0))&lt;2</f>
        <v>1</v>
      </c>
      <c r="Q192" s="1">
        <v>145</v>
      </c>
      <c r="R192" s="1" t="s">
        <v>276</v>
      </c>
      <c r="S192" s="1" t="s">
        <v>278</v>
      </c>
      <c r="T192" s="1" t="s">
        <v>294</v>
      </c>
      <c r="U192" s="1">
        <v>24</v>
      </c>
      <c r="V192" s="1" t="b">
        <v>1</v>
      </c>
    </row>
    <row r="193" spans="1:22" x14ac:dyDescent="0.25">
      <c r="A193" s="162">
        <v>3</v>
      </c>
      <c r="B193" s="1">
        <v>7</v>
      </c>
      <c r="C193" s="1">
        <v>8</v>
      </c>
      <c r="E193" s="162" t="str">
        <f>INDEX(Table75[Power_list],Table76[[#This Row],[Item 1]])</f>
        <v>Speed +</v>
      </c>
      <c r="F193" s="162" t="str">
        <f>INDEX(Table75[Power_list],Table76[[#This Row],[Item 2]])</f>
        <v>SC +</v>
      </c>
      <c r="G193" s="162" t="str">
        <f>INDEX(Table75[Power_list],Table76[[#This Row],[Item 3]])</f>
        <v>Score +</v>
      </c>
      <c r="H193" s="1">
        <f>INDEX($C$31:$C$44,MATCH(Table7678[[#This Row],[Item 2]],Table75[Power_list],0))+INDEX($C$31:$C$44,MATCH(Table7678[[#This Row],[Item 1]],Table75[Power_list],0))+INDEX($C$31:$C$44,MATCH(Table7678[[#This Row],[Item 3]],Table75[Power_list],0))</f>
        <v>28</v>
      </c>
      <c r="J193" s="1">
        <v>146</v>
      </c>
      <c r="K193" s="1" t="s">
        <v>273</v>
      </c>
      <c r="L193" s="1" t="s">
        <v>288</v>
      </c>
      <c r="M193" s="1" t="s">
        <v>295</v>
      </c>
      <c r="N193" s="1">
        <v>12</v>
      </c>
      <c r="O193" s="1" t="b">
        <f>(IFERROR(FIND("Lower",Table78[[#This Row],[Item 1]]),0)+IFERROR(FIND("Lower",Table78[[#This Row],[Item 2]]),0)+IFERROR(FIND("Lower",Table78[[#This Row],[Item 3]]),0))&lt;2</f>
        <v>1</v>
      </c>
      <c r="Q193" s="1">
        <v>146</v>
      </c>
      <c r="R193" s="1" t="s">
        <v>277</v>
      </c>
      <c r="S193" s="1" t="s">
        <v>278</v>
      </c>
      <c r="T193" s="1" t="s">
        <v>299</v>
      </c>
      <c r="U193" s="1">
        <v>24</v>
      </c>
      <c r="V193" s="1" t="b">
        <v>1</v>
      </c>
    </row>
    <row r="194" spans="1:22" x14ac:dyDescent="0.25">
      <c r="A194" s="162">
        <v>3</v>
      </c>
      <c r="B194" s="1">
        <v>7</v>
      </c>
      <c r="C194" s="1">
        <v>9</v>
      </c>
      <c r="E194" s="162" t="str">
        <f>INDEX(Table75[Power_list],Table76[[#This Row],[Item 1]])</f>
        <v>Speed +</v>
      </c>
      <c r="F194" s="162" t="str">
        <f>INDEX(Table75[Power_list],Table76[[#This Row],[Item 2]])</f>
        <v>SC +</v>
      </c>
      <c r="G194" s="162" t="str">
        <f>INDEX(Table75[Power_list],Table76[[#This Row],[Item 3]])</f>
        <v>Food +</v>
      </c>
      <c r="H194" s="1">
        <f>INDEX($C$31:$C$44,MATCH(Table7678[[#This Row],[Item 2]],Table75[Power_list],0))+INDEX($C$31:$C$44,MATCH(Table7678[[#This Row],[Item 1]],Table75[Power_list],0))+INDEX($C$31:$C$44,MATCH(Table7678[[#This Row],[Item 3]],Table75[Power_list],0))</f>
        <v>22</v>
      </c>
      <c r="J194" s="1">
        <v>147</v>
      </c>
      <c r="K194" s="1" t="s">
        <v>273</v>
      </c>
      <c r="L194" s="1" t="s">
        <v>288</v>
      </c>
      <c r="M194" s="1" t="s">
        <v>299</v>
      </c>
      <c r="N194" s="1">
        <v>14</v>
      </c>
      <c r="O194" s="1" t="b">
        <f>(IFERROR(FIND("Lower",Table78[[#This Row],[Item 1]]),0)+IFERROR(FIND("Lower",Table78[[#This Row],[Item 2]]),0)+IFERROR(FIND("Lower",Table78[[#This Row],[Item 3]]),0))&lt;2</f>
        <v>1</v>
      </c>
      <c r="Q194" s="1">
        <v>147</v>
      </c>
      <c r="R194" s="1" t="s">
        <v>271</v>
      </c>
      <c r="S194" s="1" t="s">
        <v>273</v>
      </c>
      <c r="T194" s="1" t="s">
        <v>294</v>
      </c>
      <c r="U194" s="1">
        <v>25</v>
      </c>
      <c r="V194" s="1" t="b">
        <v>1</v>
      </c>
    </row>
    <row r="195" spans="1:22" x14ac:dyDescent="0.25">
      <c r="A195" s="162">
        <v>3</v>
      </c>
      <c r="B195" s="1">
        <v>7</v>
      </c>
      <c r="C195" s="1">
        <v>10</v>
      </c>
      <c r="E195" s="162" t="str">
        <f>INDEX(Table75[Power_list],Table76[[#This Row],[Item 1]])</f>
        <v>Speed +</v>
      </c>
      <c r="F195" s="162" t="str">
        <f>INDEX(Table75[Power_list],Table76[[#This Row],[Item 2]])</f>
        <v>SC +</v>
      </c>
      <c r="G195" s="162" t="str">
        <f>INDEX(Table75[Power_list],Table76[[#This Row],[Item 3]])</f>
        <v xml:space="preserve">Lower damage from mines </v>
      </c>
      <c r="H195" s="1">
        <f>INDEX($C$31:$C$44,MATCH(Table7678[[#This Row],[Item 2]],Table75[Power_list],0))+INDEX($C$31:$C$44,MATCH(Table7678[[#This Row],[Item 1]],Table75[Power_list],0))+INDEX($C$31:$C$44,MATCH(Table7678[[#This Row],[Item 3]],Table75[Power_list],0))</f>
        <v>24</v>
      </c>
      <c r="J195" s="1">
        <v>148</v>
      </c>
      <c r="K195" s="1" t="s">
        <v>273</v>
      </c>
      <c r="L195" s="1" t="s">
        <v>288</v>
      </c>
      <c r="M195" s="1" t="s">
        <v>296</v>
      </c>
      <c r="N195" s="1">
        <v>13</v>
      </c>
      <c r="O195" s="1" t="b">
        <f>(IFERROR(FIND("Lower",Table78[[#This Row],[Item 1]]),0)+IFERROR(FIND("Lower",Table78[[#This Row],[Item 2]]),0)+IFERROR(FIND("Lower",Table78[[#This Row],[Item 3]]),0))&lt;2</f>
        <v>1</v>
      </c>
      <c r="Q195" s="1">
        <v>148</v>
      </c>
      <c r="R195" s="1" t="s">
        <v>271</v>
      </c>
      <c r="S195" s="1" t="s">
        <v>274</v>
      </c>
      <c r="T195" s="1" t="s">
        <v>288</v>
      </c>
      <c r="U195" s="1">
        <v>25</v>
      </c>
      <c r="V195" s="1" t="b">
        <v>1</v>
      </c>
    </row>
    <row r="196" spans="1:22" x14ac:dyDescent="0.25">
      <c r="A196" s="162">
        <v>3</v>
      </c>
      <c r="B196" s="1">
        <v>7</v>
      </c>
      <c r="C196" s="1">
        <v>11</v>
      </c>
      <c r="E196" s="162" t="str">
        <f>INDEX(Table75[Power_list],Table76[[#This Row],[Item 1]])</f>
        <v>Speed +</v>
      </c>
      <c r="F196" s="162" t="str">
        <f>INDEX(Table75[Power_list],Table76[[#This Row],[Item 2]])</f>
        <v>SC +</v>
      </c>
      <c r="G196" s="162" t="str">
        <f>INDEX(Table75[Power_list],Table76[[#This Row],[Item 3]])</f>
        <v xml:space="preserve">Lower damage from ghosts </v>
      </c>
      <c r="H196" s="1">
        <f>INDEX($C$31:$C$44,MATCH(Table7678[[#This Row],[Item 2]],Table75[Power_list],0))+INDEX($C$31:$C$44,MATCH(Table7678[[#This Row],[Item 1]],Table75[Power_list],0))+INDEX($C$31:$C$44,MATCH(Table7678[[#This Row],[Item 3]],Table75[Power_list],0))</f>
        <v>19</v>
      </c>
      <c r="J196" s="1">
        <v>149</v>
      </c>
      <c r="K196" s="1" t="s">
        <v>274</v>
      </c>
      <c r="L196" s="1" t="s">
        <v>275</v>
      </c>
      <c r="M196" s="1" t="s">
        <v>276</v>
      </c>
      <c r="N196" s="1">
        <v>22</v>
      </c>
      <c r="O196" s="1" t="b">
        <f>(IFERROR(FIND("Lower",Table78[[#This Row],[Item 1]]),0)+IFERROR(FIND("Lower",Table78[[#This Row],[Item 2]]),0)+IFERROR(FIND("Lower",Table78[[#This Row],[Item 3]]),0))&lt;2</f>
        <v>1</v>
      </c>
      <c r="Q196" s="1">
        <v>149</v>
      </c>
      <c r="R196" s="1" t="s">
        <v>271</v>
      </c>
      <c r="S196" s="1" t="s">
        <v>275</v>
      </c>
      <c r="T196" s="1" t="s">
        <v>276</v>
      </c>
      <c r="U196" s="1">
        <v>25</v>
      </c>
      <c r="V196" s="1" t="b">
        <v>1</v>
      </c>
    </row>
    <row r="197" spans="1:22" x14ac:dyDescent="0.25">
      <c r="A197" s="162">
        <v>3</v>
      </c>
      <c r="B197" s="1">
        <v>7</v>
      </c>
      <c r="C197" s="1">
        <v>12</v>
      </c>
      <c r="E197" s="162" t="str">
        <f>INDEX(Table75[Power_list],Table76[[#This Row],[Item 1]])</f>
        <v>Speed +</v>
      </c>
      <c r="F197" s="162" t="str">
        <f>INDEX(Table75[Power_list],Table76[[#This Row],[Item 2]])</f>
        <v>SC +</v>
      </c>
      <c r="G197" s="162" t="str">
        <f>INDEX(Table75[Power_list],Table76[[#This Row],[Item 3]])</f>
        <v xml:space="preserve">Lower damage from poison </v>
      </c>
      <c r="H197" s="1">
        <f>INDEX($C$31:$C$44,MATCH(Table7678[[#This Row],[Item 2]],Table75[Power_list],0))+INDEX($C$31:$C$44,MATCH(Table7678[[#This Row],[Item 1]],Table75[Power_list],0))+INDEX($C$31:$C$44,MATCH(Table7678[[#This Row],[Item 3]],Table75[Power_list],0))</f>
        <v>21</v>
      </c>
      <c r="J197" s="1">
        <v>150</v>
      </c>
      <c r="K197" s="1" t="s">
        <v>274</v>
      </c>
      <c r="L197" s="1" t="s">
        <v>275</v>
      </c>
      <c r="M197" s="1" t="s">
        <v>277</v>
      </c>
      <c r="N197" s="1">
        <v>25</v>
      </c>
      <c r="O197" s="1" t="b">
        <f>(IFERROR(FIND("Lower",Table78[[#This Row],[Item 1]]),0)+IFERROR(FIND("Lower",Table78[[#This Row],[Item 2]]),0)+IFERROR(FIND("Lower",Table78[[#This Row],[Item 3]]),0))&lt;2</f>
        <v>1</v>
      </c>
      <c r="Q197" s="1">
        <v>150</v>
      </c>
      <c r="R197" s="1" t="s">
        <v>271</v>
      </c>
      <c r="S197" s="1" t="s">
        <v>277</v>
      </c>
      <c r="T197" s="1" t="s">
        <v>296</v>
      </c>
      <c r="U197" s="1">
        <v>25</v>
      </c>
      <c r="V197" s="1" t="b">
        <v>1</v>
      </c>
    </row>
    <row r="198" spans="1:22" x14ac:dyDescent="0.25">
      <c r="A198" s="162">
        <v>3</v>
      </c>
      <c r="B198" s="1">
        <v>7</v>
      </c>
      <c r="C198" s="1">
        <v>13</v>
      </c>
      <c r="E198" s="162" t="str">
        <f>INDEX(Table75[Power_list],Table76[[#This Row],[Item 1]])</f>
        <v>Speed +</v>
      </c>
      <c r="F198" s="162" t="str">
        <f>INDEX(Table75[Power_list],Table76[[#This Row],[Item 2]])</f>
        <v>SC +</v>
      </c>
      <c r="G198" s="162" t="str">
        <f>INDEX(Table75[Power_list],Table76[[#This Row],[Item 3]])</f>
        <v xml:space="preserve">Lower damage from arrows </v>
      </c>
      <c r="H198" s="1">
        <f>INDEX($C$31:$C$44,MATCH(Table7678[[#This Row],[Item 2]],Table75[Power_list],0))+INDEX($C$31:$C$44,MATCH(Table7678[[#This Row],[Item 1]],Table75[Power_list],0))+INDEX($C$31:$C$44,MATCH(Table7678[[#This Row],[Item 3]],Table75[Power_list],0))</f>
        <v>20</v>
      </c>
      <c r="J198" s="1">
        <v>151</v>
      </c>
      <c r="K198" s="1" t="s">
        <v>274</v>
      </c>
      <c r="L198" s="1" t="s">
        <v>275</v>
      </c>
      <c r="M198" s="1" t="s">
        <v>278</v>
      </c>
      <c r="N198" s="1">
        <v>24</v>
      </c>
      <c r="O198" s="1" t="b">
        <f>(IFERROR(FIND("Lower",Table78[[#This Row],[Item 1]]),0)+IFERROR(FIND("Lower",Table78[[#This Row],[Item 2]]),0)+IFERROR(FIND("Lower",Table78[[#This Row],[Item 3]]),0))&lt;2</f>
        <v>1</v>
      </c>
      <c r="Q198" s="1">
        <v>151</v>
      </c>
      <c r="R198" s="1" t="s">
        <v>271</v>
      </c>
      <c r="S198" s="1" t="s">
        <v>278</v>
      </c>
      <c r="T198" s="1" t="s">
        <v>299</v>
      </c>
      <c r="U198" s="1">
        <v>25</v>
      </c>
      <c r="V198" s="1" t="b">
        <v>1</v>
      </c>
    </row>
    <row r="199" spans="1:22" x14ac:dyDescent="0.25">
      <c r="A199" s="162">
        <v>3</v>
      </c>
      <c r="B199" s="1">
        <v>8</v>
      </c>
      <c r="C199" s="1">
        <v>9</v>
      </c>
      <c r="E199" s="162" t="str">
        <f>INDEX(Table75[Power_list],Table76[[#This Row],[Item 1]])</f>
        <v>Speed +</v>
      </c>
      <c r="F199" s="162" t="str">
        <f>INDEX(Table75[Power_list],Table76[[#This Row],[Item 2]])</f>
        <v>Score +</v>
      </c>
      <c r="G199" s="162" t="str">
        <f>INDEX(Table75[Power_list],Table76[[#This Row],[Item 3]])</f>
        <v>Food +</v>
      </c>
      <c r="H199" s="1">
        <f>INDEX($C$31:$C$44,MATCH(Table7678[[#This Row],[Item 2]],Table75[Power_list],0))+INDEX($C$31:$C$44,MATCH(Table7678[[#This Row],[Item 1]],Table75[Power_list],0))+INDEX($C$31:$C$44,MATCH(Table7678[[#This Row],[Item 3]],Table75[Power_list],0))</f>
        <v>21</v>
      </c>
      <c r="J199" s="1">
        <v>152</v>
      </c>
      <c r="K199" s="1" t="s">
        <v>274</v>
      </c>
      <c r="L199" s="1" t="s">
        <v>275</v>
      </c>
      <c r="M199" s="1" t="s">
        <v>288</v>
      </c>
      <c r="N199" s="1">
        <v>18</v>
      </c>
      <c r="O199" s="1" t="b">
        <f>(IFERROR(FIND("Lower",Table78[[#This Row],[Item 1]]),0)+IFERROR(FIND("Lower",Table78[[#This Row],[Item 2]]),0)+IFERROR(FIND("Lower",Table78[[#This Row],[Item 3]]),0))&lt;2</f>
        <v>1</v>
      </c>
      <c r="Q199" s="1">
        <v>152</v>
      </c>
      <c r="R199" s="1" t="s">
        <v>272</v>
      </c>
      <c r="S199" s="1" t="s">
        <v>273</v>
      </c>
      <c r="T199" s="1" t="s">
        <v>275</v>
      </c>
      <c r="U199" s="1">
        <v>25</v>
      </c>
      <c r="V199" s="1" t="b">
        <v>1</v>
      </c>
    </row>
    <row r="200" spans="1:22" x14ac:dyDescent="0.25">
      <c r="A200" s="162">
        <v>3</v>
      </c>
      <c r="B200" s="1">
        <v>8</v>
      </c>
      <c r="C200" s="1">
        <v>10</v>
      </c>
      <c r="E200" s="162" t="str">
        <f>INDEX(Table75[Power_list],Table76[[#This Row],[Item 1]])</f>
        <v>Speed +</v>
      </c>
      <c r="F200" s="162" t="str">
        <f>INDEX(Table75[Power_list],Table76[[#This Row],[Item 2]])</f>
        <v>Score +</v>
      </c>
      <c r="G200" s="162" t="str">
        <f>INDEX(Table75[Power_list],Table76[[#This Row],[Item 3]])</f>
        <v xml:space="preserve">Lower damage from mines </v>
      </c>
      <c r="H200" s="1">
        <f>INDEX($C$31:$C$44,MATCH(Table7678[[#This Row],[Item 2]],Table75[Power_list],0))+INDEX($C$31:$C$44,MATCH(Table7678[[#This Row],[Item 1]],Table75[Power_list],0))+INDEX($C$31:$C$44,MATCH(Table7678[[#This Row],[Item 3]],Table75[Power_list],0))</f>
        <v>23</v>
      </c>
      <c r="J200" s="1">
        <v>153</v>
      </c>
      <c r="K200" s="1" t="s">
        <v>274</v>
      </c>
      <c r="L200" s="1" t="s">
        <v>275</v>
      </c>
      <c r="M200" s="1" t="s">
        <v>294</v>
      </c>
      <c r="N200" s="1">
        <v>20</v>
      </c>
      <c r="O200" s="1" t="b">
        <f>(IFERROR(FIND("Lower",Table78[[#This Row],[Item 1]]),0)+IFERROR(FIND("Lower",Table78[[#This Row],[Item 2]]),0)+IFERROR(FIND("Lower",Table78[[#This Row],[Item 3]]),0))&lt;2</f>
        <v>1</v>
      </c>
      <c r="Q200" s="1">
        <v>153</v>
      </c>
      <c r="R200" s="1" t="s">
        <v>272</v>
      </c>
      <c r="S200" s="1" t="s">
        <v>274</v>
      </c>
      <c r="T200" s="1" t="s">
        <v>299</v>
      </c>
      <c r="U200" s="1">
        <v>25</v>
      </c>
      <c r="V200" s="1" t="b">
        <v>1</v>
      </c>
    </row>
    <row r="201" spans="1:22" x14ac:dyDescent="0.25">
      <c r="A201" s="162">
        <v>3</v>
      </c>
      <c r="B201" s="1">
        <v>8</v>
      </c>
      <c r="C201" s="1">
        <v>11</v>
      </c>
      <c r="E201" s="162" t="str">
        <f>INDEX(Table75[Power_list],Table76[[#This Row],[Item 1]])</f>
        <v>Speed +</v>
      </c>
      <c r="F201" s="162" t="str">
        <f>INDEX(Table75[Power_list],Table76[[#This Row],[Item 2]])</f>
        <v>Score +</v>
      </c>
      <c r="G201" s="162" t="str">
        <f>INDEX(Table75[Power_list],Table76[[#This Row],[Item 3]])</f>
        <v xml:space="preserve">Lower damage from ghosts </v>
      </c>
      <c r="H201" s="1">
        <f>INDEX($C$31:$C$44,MATCH(Table7678[[#This Row],[Item 2]],Table75[Power_list],0))+INDEX($C$31:$C$44,MATCH(Table7678[[#This Row],[Item 1]],Table75[Power_list],0))+INDEX($C$31:$C$44,MATCH(Table7678[[#This Row],[Item 3]],Table75[Power_list],0))</f>
        <v>18</v>
      </c>
      <c r="J201" s="1">
        <v>154</v>
      </c>
      <c r="K201" s="1" t="s">
        <v>274</v>
      </c>
      <c r="L201" s="1" t="s">
        <v>275</v>
      </c>
      <c r="M201" s="1" t="s">
        <v>295</v>
      </c>
      <c r="N201" s="1">
        <v>15</v>
      </c>
      <c r="O201" s="1" t="b">
        <f>(IFERROR(FIND("Lower",Table78[[#This Row],[Item 1]]),0)+IFERROR(FIND("Lower",Table78[[#This Row],[Item 2]]),0)+IFERROR(FIND("Lower",Table78[[#This Row],[Item 3]]),0))&lt;2</f>
        <v>1</v>
      </c>
      <c r="Q201" s="1">
        <v>154</v>
      </c>
      <c r="R201" s="1" t="s">
        <v>272</v>
      </c>
      <c r="S201" s="1" t="s">
        <v>276</v>
      </c>
      <c r="T201" s="1" t="s">
        <v>288</v>
      </c>
      <c r="U201" s="1">
        <v>25</v>
      </c>
      <c r="V201" s="1" t="b">
        <v>1</v>
      </c>
    </row>
    <row r="202" spans="1:22" x14ac:dyDescent="0.25">
      <c r="A202" s="162">
        <v>3</v>
      </c>
      <c r="B202" s="1">
        <v>8</v>
      </c>
      <c r="C202" s="1">
        <v>12</v>
      </c>
      <c r="E202" s="162" t="str">
        <f>INDEX(Table75[Power_list],Table76[[#This Row],[Item 1]])</f>
        <v>Speed +</v>
      </c>
      <c r="F202" s="162" t="str">
        <f>INDEX(Table75[Power_list],Table76[[#This Row],[Item 2]])</f>
        <v>Score +</v>
      </c>
      <c r="G202" s="162" t="str">
        <f>INDEX(Table75[Power_list],Table76[[#This Row],[Item 3]])</f>
        <v xml:space="preserve">Lower damage from poison </v>
      </c>
      <c r="H202" s="1">
        <f>INDEX($C$31:$C$44,MATCH(Table7678[[#This Row],[Item 2]],Table75[Power_list],0))+INDEX($C$31:$C$44,MATCH(Table7678[[#This Row],[Item 1]],Table75[Power_list],0))+INDEX($C$31:$C$44,MATCH(Table7678[[#This Row],[Item 3]],Table75[Power_list],0))</f>
        <v>20</v>
      </c>
      <c r="J202" s="1">
        <v>155</v>
      </c>
      <c r="K202" s="1" t="s">
        <v>274</v>
      </c>
      <c r="L202" s="1" t="s">
        <v>275</v>
      </c>
      <c r="M202" s="1" t="s">
        <v>299</v>
      </c>
      <c r="N202" s="1">
        <v>17</v>
      </c>
      <c r="O202" s="1" t="b">
        <f>(IFERROR(FIND("Lower",Table78[[#This Row],[Item 1]]),0)+IFERROR(FIND("Lower",Table78[[#This Row],[Item 2]]),0)+IFERROR(FIND("Lower",Table78[[#This Row],[Item 3]]),0))&lt;2</f>
        <v>1</v>
      </c>
      <c r="Q202" s="1">
        <v>155</v>
      </c>
      <c r="R202" s="1" t="s">
        <v>272</v>
      </c>
      <c r="S202" s="1" t="s">
        <v>277</v>
      </c>
      <c r="T202" s="1" t="s">
        <v>295</v>
      </c>
      <c r="U202" s="1">
        <v>25</v>
      </c>
      <c r="V202" s="1" t="b">
        <v>1</v>
      </c>
    </row>
    <row r="203" spans="1:22" x14ac:dyDescent="0.25">
      <c r="A203" s="162">
        <v>3</v>
      </c>
      <c r="B203" s="1">
        <v>8</v>
      </c>
      <c r="C203" s="1">
        <v>13</v>
      </c>
      <c r="E203" s="162" t="str">
        <f>INDEX(Table75[Power_list],Table76[[#This Row],[Item 1]])</f>
        <v>Speed +</v>
      </c>
      <c r="F203" s="162" t="str">
        <f>INDEX(Table75[Power_list],Table76[[#This Row],[Item 2]])</f>
        <v>Score +</v>
      </c>
      <c r="G203" s="162" t="str">
        <f>INDEX(Table75[Power_list],Table76[[#This Row],[Item 3]])</f>
        <v xml:space="preserve">Lower damage from arrows </v>
      </c>
      <c r="H203" s="1">
        <f>INDEX($C$31:$C$44,MATCH(Table7678[[#This Row],[Item 2]],Table75[Power_list],0))+INDEX($C$31:$C$44,MATCH(Table7678[[#This Row],[Item 1]],Table75[Power_list],0))+INDEX($C$31:$C$44,MATCH(Table7678[[#This Row],[Item 3]],Table75[Power_list],0))</f>
        <v>19</v>
      </c>
      <c r="J203" s="1">
        <v>156</v>
      </c>
      <c r="K203" s="1" t="s">
        <v>274</v>
      </c>
      <c r="L203" s="1" t="s">
        <v>275</v>
      </c>
      <c r="M203" s="1" t="s">
        <v>296</v>
      </c>
      <c r="N203" s="1">
        <v>16</v>
      </c>
      <c r="O203" s="1" t="b">
        <f>(IFERROR(FIND("Lower",Table78[[#This Row],[Item 1]]),0)+IFERROR(FIND("Lower",Table78[[#This Row],[Item 2]]),0)+IFERROR(FIND("Lower",Table78[[#This Row],[Item 3]]),0))&lt;2</f>
        <v>1</v>
      </c>
      <c r="Q203" s="1">
        <v>156</v>
      </c>
      <c r="R203" s="1" t="s">
        <v>272</v>
      </c>
      <c r="S203" s="1" t="s">
        <v>278</v>
      </c>
      <c r="T203" s="1" t="s">
        <v>296</v>
      </c>
      <c r="U203" s="1">
        <v>25</v>
      </c>
      <c r="V203" s="1" t="b">
        <v>1</v>
      </c>
    </row>
    <row r="204" spans="1:22" x14ac:dyDescent="0.25">
      <c r="A204" s="162">
        <v>3</v>
      </c>
      <c r="B204" s="1">
        <v>9</v>
      </c>
      <c r="C204" s="1">
        <v>10</v>
      </c>
      <c r="E204" s="162" t="str">
        <f>INDEX(Table75[Power_list],Table76[[#This Row],[Item 1]])</f>
        <v>Speed +</v>
      </c>
      <c r="F204" s="162" t="str">
        <f>INDEX(Table75[Power_list],Table76[[#This Row],[Item 2]])</f>
        <v>Food +</v>
      </c>
      <c r="G204" s="162" t="str">
        <f>INDEX(Table75[Power_list],Table76[[#This Row],[Item 3]])</f>
        <v xml:space="preserve">Lower damage from mines </v>
      </c>
      <c r="H204" s="1">
        <f>INDEX($C$31:$C$44,MATCH(Table7678[[#This Row],[Item 2]],Table75[Power_list],0))+INDEX($C$31:$C$44,MATCH(Table7678[[#This Row],[Item 1]],Table75[Power_list],0))+INDEX($C$31:$C$44,MATCH(Table7678[[#This Row],[Item 3]],Table75[Power_list],0))</f>
        <v>17</v>
      </c>
      <c r="J204" s="1">
        <v>157</v>
      </c>
      <c r="K204" s="1" t="s">
        <v>274</v>
      </c>
      <c r="L204" s="1" t="s">
        <v>276</v>
      </c>
      <c r="M204" s="1" t="s">
        <v>277</v>
      </c>
      <c r="N204" s="1">
        <v>28</v>
      </c>
      <c r="O204" s="1" t="b">
        <f>(IFERROR(FIND("Lower",Table78[[#This Row],[Item 1]]),0)+IFERROR(FIND("Lower",Table78[[#This Row],[Item 2]]),0)+IFERROR(FIND("Lower",Table78[[#This Row],[Item 3]]),0))&lt;2</f>
        <v>1</v>
      </c>
      <c r="Q204" s="1">
        <v>157</v>
      </c>
      <c r="R204" s="1" t="s">
        <v>273</v>
      </c>
      <c r="S204" s="1" t="s">
        <v>276</v>
      </c>
      <c r="T204" s="1" t="s">
        <v>278</v>
      </c>
      <c r="U204" s="1">
        <v>25</v>
      </c>
      <c r="V204" s="1" t="b">
        <v>1</v>
      </c>
    </row>
    <row r="205" spans="1:22" x14ac:dyDescent="0.25">
      <c r="A205" s="162">
        <v>3</v>
      </c>
      <c r="B205" s="1">
        <v>9</v>
      </c>
      <c r="C205" s="1">
        <v>11</v>
      </c>
      <c r="E205" s="162" t="str">
        <f>INDEX(Table75[Power_list],Table76[[#This Row],[Item 1]])</f>
        <v>Speed +</v>
      </c>
      <c r="F205" s="162" t="str">
        <f>INDEX(Table75[Power_list],Table76[[#This Row],[Item 2]])</f>
        <v>Food +</v>
      </c>
      <c r="G205" s="162" t="str">
        <f>INDEX(Table75[Power_list],Table76[[#This Row],[Item 3]])</f>
        <v xml:space="preserve">Lower damage from ghosts </v>
      </c>
      <c r="H205" s="1">
        <f>INDEX($C$31:$C$44,MATCH(Table7678[[#This Row],[Item 2]],Table75[Power_list],0))+INDEX($C$31:$C$44,MATCH(Table7678[[#This Row],[Item 1]],Table75[Power_list],0))+INDEX($C$31:$C$44,MATCH(Table7678[[#This Row],[Item 3]],Table75[Power_list],0))</f>
        <v>12</v>
      </c>
      <c r="J205" s="1">
        <v>158</v>
      </c>
      <c r="K205" s="1" t="s">
        <v>274</v>
      </c>
      <c r="L205" s="1" t="s">
        <v>276</v>
      </c>
      <c r="M205" s="1" t="s">
        <v>278</v>
      </c>
      <c r="N205" s="1">
        <v>27</v>
      </c>
      <c r="O205" s="1" t="b">
        <f>(IFERROR(FIND("Lower",Table78[[#This Row],[Item 1]]),0)+IFERROR(FIND("Lower",Table78[[#This Row],[Item 2]]),0)+IFERROR(FIND("Lower",Table78[[#This Row],[Item 3]]),0))&lt;2</f>
        <v>1</v>
      </c>
      <c r="Q205" s="1">
        <v>158</v>
      </c>
      <c r="R205" s="1" t="s">
        <v>274</v>
      </c>
      <c r="S205" s="1" t="s">
        <v>275</v>
      </c>
      <c r="T205" s="1" t="s">
        <v>277</v>
      </c>
      <c r="U205" s="1">
        <v>25</v>
      </c>
      <c r="V205" s="1" t="b">
        <v>1</v>
      </c>
    </row>
    <row r="206" spans="1:22" x14ac:dyDescent="0.25">
      <c r="A206" s="162">
        <v>3</v>
      </c>
      <c r="B206" s="1">
        <v>9</v>
      </c>
      <c r="C206" s="1">
        <v>12</v>
      </c>
      <c r="E206" s="162" t="str">
        <f>INDEX(Table75[Power_list],Table76[[#This Row],[Item 1]])</f>
        <v>Speed +</v>
      </c>
      <c r="F206" s="162" t="str">
        <f>INDEX(Table75[Power_list],Table76[[#This Row],[Item 2]])</f>
        <v>Food +</v>
      </c>
      <c r="G206" s="162" t="str">
        <f>INDEX(Table75[Power_list],Table76[[#This Row],[Item 3]])</f>
        <v xml:space="preserve">Lower damage from poison </v>
      </c>
      <c r="H206" s="1">
        <f>INDEX($C$31:$C$44,MATCH(Table7678[[#This Row],[Item 2]],Table75[Power_list],0))+INDEX($C$31:$C$44,MATCH(Table7678[[#This Row],[Item 1]],Table75[Power_list],0))+INDEX($C$31:$C$44,MATCH(Table7678[[#This Row],[Item 3]],Table75[Power_list],0))</f>
        <v>14</v>
      </c>
      <c r="J206" s="1">
        <v>159</v>
      </c>
      <c r="K206" s="1" t="s">
        <v>274</v>
      </c>
      <c r="L206" s="1" t="s">
        <v>276</v>
      </c>
      <c r="M206" s="1" t="s">
        <v>288</v>
      </c>
      <c r="N206" s="1">
        <v>21</v>
      </c>
      <c r="O206" s="1" t="b">
        <f>(IFERROR(FIND("Lower",Table78[[#This Row],[Item 1]]),0)+IFERROR(FIND("Lower",Table78[[#This Row],[Item 2]]),0)+IFERROR(FIND("Lower",Table78[[#This Row],[Item 3]]),0))&lt;2</f>
        <v>1</v>
      </c>
      <c r="Q206" s="1">
        <v>159</v>
      </c>
      <c r="R206" s="1" t="s">
        <v>274</v>
      </c>
      <c r="S206" s="1" t="s">
        <v>278</v>
      </c>
      <c r="T206" s="1" t="s">
        <v>294</v>
      </c>
      <c r="U206" s="1">
        <v>25</v>
      </c>
      <c r="V206" s="1" t="b">
        <v>1</v>
      </c>
    </row>
    <row r="207" spans="1:22" x14ac:dyDescent="0.25">
      <c r="A207" s="162">
        <v>3</v>
      </c>
      <c r="B207" s="1">
        <v>9</v>
      </c>
      <c r="C207" s="1">
        <v>13</v>
      </c>
      <c r="E207" s="162" t="str">
        <f>INDEX(Table75[Power_list],Table76[[#This Row],[Item 1]])</f>
        <v>Speed +</v>
      </c>
      <c r="F207" s="162" t="str">
        <f>INDEX(Table75[Power_list],Table76[[#This Row],[Item 2]])</f>
        <v>Food +</v>
      </c>
      <c r="G207" s="162" t="str">
        <f>INDEX(Table75[Power_list],Table76[[#This Row],[Item 3]])</f>
        <v xml:space="preserve">Lower damage from arrows </v>
      </c>
      <c r="H207" s="1">
        <f>INDEX($C$31:$C$44,MATCH(Table7678[[#This Row],[Item 2]],Table75[Power_list],0))+INDEX($C$31:$C$44,MATCH(Table7678[[#This Row],[Item 1]],Table75[Power_list],0))+INDEX($C$31:$C$44,MATCH(Table7678[[#This Row],[Item 3]],Table75[Power_list],0))</f>
        <v>13</v>
      </c>
      <c r="J207" s="1">
        <v>160</v>
      </c>
      <c r="K207" s="1" t="s">
        <v>274</v>
      </c>
      <c r="L207" s="1" t="s">
        <v>276</v>
      </c>
      <c r="M207" s="1" t="s">
        <v>294</v>
      </c>
      <c r="N207" s="1">
        <v>23</v>
      </c>
      <c r="O207" s="1" t="b">
        <f>(IFERROR(FIND("Lower",Table78[[#This Row],[Item 1]]),0)+IFERROR(FIND("Lower",Table78[[#This Row],[Item 2]]),0)+IFERROR(FIND("Lower",Table78[[#This Row],[Item 3]]),0))&lt;2</f>
        <v>1</v>
      </c>
      <c r="Q207" s="1">
        <v>160</v>
      </c>
      <c r="R207" s="1" t="s">
        <v>276</v>
      </c>
      <c r="S207" s="1" t="s">
        <v>277</v>
      </c>
      <c r="T207" s="1" t="s">
        <v>294</v>
      </c>
      <c r="U207" s="1">
        <v>25</v>
      </c>
      <c r="V207" s="1" t="b">
        <v>1</v>
      </c>
    </row>
    <row r="208" spans="1:22" x14ac:dyDescent="0.25">
      <c r="A208" s="162">
        <v>3</v>
      </c>
      <c r="B208" s="1">
        <v>10</v>
      </c>
      <c r="C208" s="1">
        <v>11</v>
      </c>
      <c r="E208" s="162" t="str">
        <f>INDEX(Table75[Power_list],Table76[[#This Row],[Item 1]])</f>
        <v>Speed +</v>
      </c>
      <c r="F208" s="162" t="str">
        <f>INDEX(Table75[Power_list],Table76[[#This Row],[Item 2]])</f>
        <v xml:space="preserve">Lower damage from mines </v>
      </c>
      <c r="G208" s="162" t="str">
        <f>INDEX(Table75[Power_list],Table76[[#This Row],[Item 3]])</f>
        <v xml:space="preserve">Lower damage from ghosts </v>
      </c>
      <c r="H208" s="1">
        <f>INDEX($C$31:$C$44,MATCH(Table7678[[#This Row],[Item 2]],Table75[Power_list],0))+INDEX($C$31:$C$44,MATCH(Table7678[[#This Row],[Item 1]],Table75[Power_list],0))+INDEX($C$31:$C$44,MATCH(Table7678[[#This Row],[Item 3]],Table75[Power_list],0))</f>
        <v>14</v>
      </c>
      <c r="J208" s="1">
        <v>161</v>
      </c>
      <c r="K208" s="1" t="s">
        <v>274</v>
      </c>
      <c r="L208" s="1" t="s">
        <v>276</v>
      </c>
      <c r="M208" s="1" t="s">
        <v>295</v>
      </c>
      <c r="N208" s="1">
        <v>18</v>
      </c>
      <c r="O208" s="1" t="b">
        <f>(IFERROR(FIND("Lower",Table78[[#This Row],[Item 1]]),0)+IFERROR(FIND("Lower",Table78[[#This Row],[Item 2]]),0)+IFERROR(FIND("Lower",Table78[[#This Row],[Item 3]]),0))&lt;2</f>
        <v>1</v>
      </c>
      <c r="Q208" s="1">
        <v>161</v>
      </c>
      <c r="R208" s="1" t="s">
        <v>277</v>
      </c>
      <c r="S208" s="1" t="s">
        <v>278</v>
      </c>
      <c r="T208" s="1" t="s">
        <v>288</v>
      </c>
      <c r="U208" s="1">
        <v>25</v>
      </c>
      <c r="V208" s="1" t="b">
        <v>1</v>
      </c>
    </row>
    <row r="209" spans="1:22" x14ac:dyDescent="0.25">
      <c r="A209" s="162">
        <v>3</v>
      </c>
      <c r="B209" s="1">
        <v>10</v>
      </c>
      <c r="C209" s="1">
        <v>12</v>
      </c>
      <c r="E209" s="162" t="str">
        <f>INDEX(Table75[Power_list],Table76[[#This Row],[Item 1]])</f>
        <v>Speed +</v>
      </c>
      <c r="F209" s="162" t="str">
        <f>INDEX(Table75[Power_list],Table76[[#This Row],[Item 2]])</f>
        <v xml:space="preserve">Lower damage from mines </v>
      </c>
      <c r="G209" s="162" t="str">
        <f>INDEX(Table75[Power_list],Table76[[#This Row],[Item 3]])</f>
        <v xml:space="preserve">Lower damage from poison </v>
      </c>
      <c r="H209" s="1">
        <f>INDEX($C$31:$C$44,MATCH(Table7678[[#This Row],[Item 2]],Table75[Power_list],0))+INDEX($C$31:$C$44,MATCH(Table7678[[#This Row],[Item 1]],Table75[Power_list],0))+INDEX($C$31:$C$44,MATCH(Table7678[[#This Row],[Item 3]],Table75[Power_list],0))</f>
        <v>16</v>
      </c>
      <c r="J209" s="1">
        <v>162</v>
      </c>
      <c r="K209" s="1" t="s">
        <v>274</v>
      </c>
      <c r="L209" s="1" t="s">
        <v>276</v>
      </c>
      <c r="M209" s="1" t="s">
        <v>299</v>
      </c>
      <c r="N209" s="1">
        <v>20</v>
      </c>
      <c r="O209" s="1" t="b">
        <f>(IFERROR(FIND("Lower",Table78[[#This Row],[Item 1]]),0)+IFERROR(FIND("Lower",Table78[[#This Row],[Item 2]]),0)+IFERROR(FIND("Lower",Table78[[#This Row],[Item 3]]),0))&lt;2</f>
        <v>1</v>
      </c>
      <c r="Q209" s="1">
        <v>162</v>
      </c>
      <c r="R209" s="1" t="s">
        <v>271</v>
      </c>
      <c r="S209" s="1" t="s">
        <v>272</v>
      </c>
      <c r="T209" s="1" t="s">
        <v>295</v>
      </c>
      <c r="U209" s="1">
        <v>26</v>
      </c>
      <c r="V209" s="1" t="b">
        <v>1</v>
      </c>
    </row>
    <row r="210" spans="1:22" x14ac:dyDescent="0.25">
      <c r="A210" s="162">
        <v>3</v>
      </c>
      <c r="B210" s="1">
        <v>10</v>
      </c>
      <c r="C210" s="1">
        <v>13</v>
      </c>
      <c r="E210" s="162" t="str">
        <f>INDEX(Table75[Power_list],Table76[[#This Row],[Item 1]])</f>
        <v>Speed +</v>
      </c>
      <c r="F210" s="162" t="str">
        <f>INDEX(Table75[Power_list],Table76[[#This Row],[Item 2]])</f>
        <v xml:space="preserve">Lower damage from mines </v>
      </c>
      <c r="G210" s="162" t="str">
        <f>INDEX(Table75[Power_list],Table76[[#This Row],[Item 3]])</f>
        <v xml:space="preserve">Lower damage from arrows </v>
      </c>
      <c r="H210" s="1">
        <f>INDEX($C$31:$C$44,MATCH(Table7678[[#This Row],[Item 2]],Table75[Power_list],0))+INDEX($C$31:$C$44,MATCH(Table7678[[#This Row],[Item 1]],Table75[Power_list],0))+INDEX($C$31:$C$44,MATCH(Table7678[[#This Row],[Item 3]],Table75[Power_list],0))</f>
        <v>15</v>
      </c>
      <c r="J210" s="1">
        <v>163</v>
      </c>
      <c r="K210" s="1" t="s">
        <v>274</v>
      </c>
      <c r="L210" s="1" t="s">
        <v>276</v>
      </c>
      <c r="M210" s="1" t="s">
        <v>296</v>
      </c>
      <c r="N210" s="1">
        <v>19</v>
      </c>
      <c r="O210" s="1" t="b">
        <f>(IFERROR(FIND("Lower",Table78[[#This Row],[Item 1]]),0)+IFERROR(FIND("Lower",Table78[[#This Row],[Item 2]]),0)+IFERROR(FIND("Lower",Table78[[#This Row],[Item 3]]),0))&lt;2</f>
        <v>1</v>
      </c>
      <c r="Q210" s="1">
        <v>163</v>
      </c>
      <c r="R210" s="1" t="s">
        <v>271</v>
      </c>
      <c r="S210" s="1" t="s">
        <v>274</v>
      </c>
      <c r="T210" s="1" t="s">
        <v>275</v>
      </c>
      <c r="U210" s="1">
        <v>26</v>
      </c>
      <c r="V210" s="1" t="b">
        <v>1</v>
      </c>
    </row>
    <row r="211" spans="1:22" x14ac:dyDescent="0.25">
      <c r="A211" s="162">
        <v>3</v>
      </c>
      <c r="B211" s="1">
        <v>11</v>
      </c>
      <c r="C211" s="1">
        <v>12</v>
      </c>
      <c r="E211" s="162" t="str">
        <f>INDEX(Table75[Power_list],Table76[[#This Row],[Item 1]])</f>
        <v>Speed +</v>
      </c>
      <c r="F211" s="162" t="str">
        <f>INDEX(Table75[Power_list],Table76[[#This Row],[Item 2]])</f>
        <v xml:space="preserve">Lower damage from ghosts </v>
      </c>
      <c r="G211" s="162" t="str">
        <f>INDEX(Table75[Power_list],Table76[[#This Row],[Item 3]])</f>
        <v xml:space="preserve">Lower damage from poison </v>
      </c>
      <c r="H211" s="1">
        <f>INDEX($C$31:$C$44,MATCH(Table7678[[#This Row],[Item 2]],Table75[Power_list],0))+INDEX($C$31:$C$44,MATCH(Table7678[[#This Row],[Item 1]],Table75[Power_list],0))+INDEX($C$31:$C$44,MATCH(Table7678[[#This Row],[Item 3]],Table75[Power_list],0))</f>
        <v>11</v>
      </c>
      <c r="J211" s="1">
        <v>164</v>
      </c>
      <c r="K211" s="1" t="s">
        <v>274</v>
      </c>
      <c r="L211" s="1" t="s">
        <v>277</v>
      </c>
      <c r="M211" s="1" t="s">
        <v>278</v>
      </c>
      <c r="N211" s="1">
        <v>30</v>
      </c>
      <c r="O211" s="1" t="b">
        <f>(IFERROR(FIND("Lower",Table78[[#This Row],[Item 1]]),0)+IFERROR(FIND("Lower",Table78[[#This Row],[Item 2]]),0)+IFERROR(FIND("Lower",Table78[[#This Row],[Item 3]]),0))&lt;2</f>
        <v>1</v>
      </c>
      <c r="Q211" s="1">
        <v>164</v>
      </c>
      <c r="R211" s="1" t="s">
        <v>271</v>
      </c>
      <c r="S211" s="1" t="s">
        <v>276</v>
      </c>
      <c r="T211" s="1" t="s">
        <v>294</v>
      </c>
      <c r="U211" s="1">
        <v>26</v>
      </c>
      <c r="V211" s="1" t="b">
        <v>1</v>
      </c>
    </row>
    <row r="212" spans="1:22" x14ac:dyDescent="0.25">
      <c r="A212" s="162">
        <v>3</v>
      </c>
      <c r="B212" s="1">
        <v>11</v>
      </c>
      <c r="C212" s="1">
        <v>13</v>
      </c>
      <c r="E212" s="162" t="str">
        <f>INDEX(Table75[Power_list],Table76[[#This Row],[Item 1]])</f>
        <v>Speed +</v>
      </c>
      <c r="F212" s="162" t="str">
        <f>INDEX(Table75[Power_list],Table76[[#This Row],[Item 2]])</f>
        <v xml:space="preserve">Lower damage from ghosts </v>
      </c>
      <c r="G212" s="162" t="str">
        <f>INDEX(Table75[Power_list],Table76[[#This Row],[Item 3]])</f>
        <v xml:space="preserve">Lower damage from arrows </v>
      </c>
      <c r="H212" s="1">
        <f>INDEX($C$31:$C$44,MATCH(Table7678[[#This Row],[Item 2]],Table75[Power_list],0))+INDEX($C$31:$C$44,MATCH(Table7678[[#This Row],[Item 1]],Table75[Power_list],0))+INDEX($C$31:$C$44,MATCH(Table7678[[#This Row],[Item 3]],Table75[Power_list],0))</f>
        <v>10</v>
      </c>
      <c r="J212" s="1">
        <v>165</v>
      </c>
      <c r="K212" s="1" t="s">
        <v>274</v>
      </c>
      <c r="L212" s="1" t="s">
        <v>277</v>
      </c>
      <c r="M212" s="1" t="s">
        <v>288</v>
      </c>
      <c r="N212" s="1">
        <v>24</v>
      </c>
      <c r="O212" s="1" t="b">
        <f>(IFERROR(FIND("Lower",Table78[[#This Row],[Item 1]]),0)+IFERROR(FIND("Lower",Table78[[#This Row],[Item 2]]),0)+IFERROR(FIND("Lower",Table78[[#This Row],[Item 3]]),0))&lt;2</f>
        <v>1</v>
      </c>
      <c r="Q212" s="1">
        <v>165</v>
      </c>
      <c r="R212" s="1" t="s">
        <v>271</v>
      </c>
      <c r="S212" s="1" t="s">
        <v>277</v>
      </c>
      <c r="T212" s="1" t="s">
        <v>299</v>
      </c>
      <c r="U212" s="1">
        <v>26</v>
      </c>
      <c r="V212" s="1" t="b">
        <v>1</v>
      </c>
    </row>
    <row r="213" spans="1:22" x14ac:dyDescent="0.25">
      <c r="A213" s="162">
        <v>3</v>
      </c>
      <c r="B213" s="1">
        <v>12</v>
      </c>
      <c r="C213" s="1">
        <v>13</v>
      </c>
      <c r="E213" s="162" t="str">
        <f>INDEX(Table75[Power_list],Table76[[#This Row],[Item 1]])</f>
        <v>Speed +</v>
      </c>
      <c r="F213" s="162" t="str">
        <f>INDEX(Table75[Power_list],Table76[[#This Row],[Item 2]])</f>
        <v xml:space="preserve">Lower damage from poison </v>
      </c>
      <c r="G213" s="162" t="str">
        <f>INDEX(Table75[Power_list],Table76[[#This Row],[Item 3]])</f>
        <v xml:space="preserve">Lower damage from arrows </v>
      </c>
      <c r="H213" s="1">
        <f>INDEX($C$31:$C$44,MATCH(Table7678[[#This Row],[Item 2]],Table75[Power_list],0))+INDEX($C$31:$C$44,MATCH(Table7678[[#This Row],[Item 1]],Table75[Power_list],0))+INDEX($C$31:$C$44,MATCH(Table7678[[#This Row],[Item 3]],Table75[Power_list],0))</f>
        <v>12</v>
      </c>
      <c r="J213" s="1">
        <v>166</v>
      </c>
      <c r="K213" s="1" t="s">
        <v>274</v>
      </c>
      <c r="L213" s="1" t="s">
        <v>277</v>
      </c>
      <c r="M213" s="1" t="s">
        <v>294</v>
      </c>
      <c r="N213" s="1">
        <v>26</v>
      </c>
      <c r="O213" s="1" t="b">
        <f>(IFERROR(FIND("Lower",Table78[[#This Row],[Item 1]]),0)+IFERROR(FIND("Lower",Table78[[#This Row],[Item 2]]),0)+IFERROR(FIND("Lower",Table78[[#This Row],[Item 3]]),0))&lt;2</f>
        <v>1</v>
      </c>
      <c r="Q213" s="1">
        <v>166</v>
      </c>
      <c r="R213" s="1" t="s">
        <v>271</v>
      </c>
      <c r="S213" s="1" t="s">
        <v>278</v>
      </c>
      <c r="T213" s="1" t="s">
        <v>288</v>
      </c>
      <c r="U213" s="1">
        <v>26</v>
      </c>
      <c r="V213" s="1" t="b">
        <v>1</v>
      </c>
    </row>
    <row r="214" spans="1:22" x14ac:dyDescent="0.25">
      <c r="A214" s="162">
        <v>4</v>
      </c>
      <c r="B214" s="1">
        <v>5</v>
      </c>
      <c r="C214" s="1">
        <v>6</v>
      </c>
      <c r="E214" s="162" t="str">
        <f>INDEX(Table75[Power_list],Table76[[#This Row],[Item 1]])</f>
        <v>Boost +</v>
      </c>
      <c r="F214" s="162" t="str">
        <f>INDEX(Table75[Power_list],Table76[[#This Row],[Item 2]])</f>
        <v>Fire (size) +</v>
      </c>
      <c r="G214" s="162" t="str">
        <f>INDEX(Table75[Power_list],Table76[[#This Row],[Item 3]])</f>
        <v>Fire Rush Time +</v>
      </c>
      <c r="H214" s="1">
        <f>INDEX($C$31:$C$44,MATCH(Table7678[[#This Row],[Item 2]],Table75[Power_list],0))+INDEX($C$31:$C$44,MATCH(Table7678[[#This Row],[Item 1]],Table75[Power_list],0))+INDEX($C$31:$C$44,MATCH(Table7678[[#This Row],[Item 3]],Table75[Power_list],0))</f>
        <v>22</v>
      </c>
      <c r="J214" s="1">
        <v>167</v>
      </c>
      <c r="K214" s="1" t="s">
        <v>274</v>
      </c>
      <c r="L214" s="1" t="s">
        <v>277</v>
      </c>
      <c r="M214" s="1" t="s">
        <v>295</v>
      </c>
      <c r="N214" s="1">
        <v>21</v>
      </c>
      <c r="O214" s="1" t="b">
        <f>(IFERROR(FIND("Lower",Table78[[#This Row],[Item 1]]),0)+IFERROR(FIND("Lower",Table78[[#This Row],[Item 2]]),0)+IFERROR(FIND("Lower",Table78[[#This Row],[Item 3]]),0))&lt;2</f>
        <v>1</v>
      </c>
      <c r="Q214" s="1">
        <v>167</v>
      </c>
      <c r="R214" s="1" t="s">
        <v>272</v>
      </c>
      <c r="S214" s="1" t="s">
        <v>273</v>
      </c>
      <c r="T214" s="1" t="s">
        <v>294</v>
      </c>
      <c r="U214" s="1">
        <v>26</v>
      </c>
      <c r="V214" s="1" t="b">
        <v>1</v>
      </c>
    </row>
    <row r="215" spans="1:22" x14ac:dyDescent="0.25">
      <c r="A215" s="162">
        <v>4</v>
      </c>
      <c r="B215" s="1">
        <v>5</v>
      </c>
      <c r="C215" s="1">
        <v>7</v>
      </c>
      <c r="E215" s="162" t="str">
        <f>INDEX(Table75[Power_list],Table76[[#This Row],[Item 1]])</f>
        <v>Boost +</v>
      </c>
      <c r="F215" s="162" t="str">
        <f>INDEX(Table75[Power_list],Table76[[#This Row],[Item 2]])</f>
        <v>Fire (size) +</v>
      </c>
      <c r="G215" s="162" t="str">
        <f>INDEX(Table75[Power_list],Table76[[#This Row],[Item 3]])</f>
        <v>SC +</v>
      </c>
      <c r="H215" s="1">
        <f>INDEX($C$31:$C$44,MATCH(Table7678[[#This Row],[Item 2]],Table75[Power_list],0))+INDEX($C$31:$C$44,MATCH(Table7678[[#This Row],[Item 1]],Table75[Power_list],0))+INDEX($C$31:$C$44,MATCH(Table7678[[#This Row],[Item 3]],Table75[Power_list],0))</f>
        <v>25</v>
      </c>
      <c r="J215" s="1">
        <v>168</v>
      </c>
      <c r="K215" s="1" t="s">
        <v>274</v>
      </c>
      <c r="L215" s="1" t="s">
        <v>277</v>
      </c>
      <c r="M215" s="1" t="s">
        <v>299</v>
      </c>
      <c r="N215" s="1">
        <v>23</v>
      </c>
      <c r="O215" s="1" t="b">
        <f>(IFERROR(FIND("Lower",Table78[[#This Row],[Item 1]]),0)+IFERROR(FIND("Lower",Table78[[#This Row],[Item 2]]),0)+IFERROR(FIND("Lower",Table78[[#This Row],[Item 3]]),0))&lt;2</f>
        <v>1</v>
      </c>
      <c r="Q215" s="1">
        <v>168</v>
      </c>
      <c r="R215" s="1" t="s">
        <v>272</v>
      </c>
      <c r="S215" s="1" t="s">
        <v>274</v>
      </c>
      <c r="T215" s="1" t="s">
        <v>288</v>
      </c>
      <c r="U215" s="1">
        <v>26</v>
      </c>
      <c r="V215" s="1" t="b">
        <v>1</v>
      </c>
    </row>
    <row r="216" spans="1:22" x14ac:dyDescent="0.25">
      <c r="A216" s="162">
        <v>4</v>
      </c>
      <c r="B216" s="1">
        <v>5</v>
      </c>
      <c r="C216" s="1">
        <v>8</v>
      </c>
      <c r="E216" s="162" t="str">
        <f>INDEX(Table75[Power_list],Table76[[#This Row],[Item 1]])</f>
        <v>Boost +</v>
      </c>
      <c r="F216" s="162" t="str">
        <f>INDEX(Table75[Power_list],Table76[[#This Row],[Item 2]])</f>
        <v>Fire (size) +</v>
      </c>
      <c r="G216" s="162" t="str">
        <f>INDEX(Table75[Power_list],Table76[[#This Row],[Item 3]])</f>
        <v>Score +</v>
      </c>
      <c r="H216" s="1">
        <f>INDEX($C$31:$C$44,MATCH(Table7678[[#This Row],[Item 2]],Table75[Power_list],0))+INDEX($C$31:$C$44,MATCH(Table7678[[#This Row],[Item 1]],Table75[Power_list],0))+INDEX($C$31:$C$44,MATCH(Table7678[[#This Row],[Item 3]],Table75[Power_list],0))</f>
        <v>24</v>
      </c>
      <c r="J216" s="1">
        <v>169</v>
      </c>
      <c r="K216" s="1" t="s">
        <v>274</v>
      </c>
      <c r="L216" s="1" t="s">
        <v>277</v>
      </c>
      <c r="M216" s="1" t="s">
        <v>296</v>
      </c>
      <c r="N216" s="1">
        <v>22</v>
      </c>
      <c r="O216" s="1" t="b">
        <f>(IFERROR(FIND("Lower",Table78[[#This Row],[Item 1]]),0)+IFERROR(FIND("Lower",Table78[[#This Row],[Item 2]]),0)+IFERROR(FIND("Lower",Table78[[#This Row],[Item 3]]),0))&lt;2</f>
        <v>1</v>
      </c>
      <c r="Q216" s="1">
        <v>169</v>
      </c>
      <c r="R216" s="1" t="s">
        <v>272</v>
      </c>
      <c r="S216" s="1" t="s">
        <v>275</v>
      </c>
      <c r="T216" s="1" t="s">
        <v>276</v>
      </c>
      <c r="U216" s="1">
        <v>26</v>
      </c>
      <c r="V216" s="1" t="b">
        <v>1</v>
      </c>
    </row>
    <row r="217" spans="1:22" x14ac:dyDescent="0.25">
      <c r="A217" s="162">
        <v>4</v>
      </c>
      <c r="B217" s="1">
        <v>5</v>
      </c>
      <c r="C217" s="1">
        <v>9</v>
      </c>
      <c r="E217" s="162" t="str">
        <f>INDEX(Table75[Power_list],Table76[[#This Row],[Item 1]])</f>
        <v>Boost +</v>
      </c>
      <c r="F217" s="162" t="str">
        <f>INDEX(Table75[Power_list],Table76[[#This Row],[Item 2]])</f>
        <v>Fire (size) +</v>
      </c>
      <c r="G217" s="162" t="str">
        <f>INDEX(Table75[Power_list],Table76[[#This Row],[Item 3]])</f>
        <v>Food +</v>
      </c>
      <c r="H217" s="1">
        <f>INDEX($C$31:$C$44,MATCH(Table7678[[#This Row],[Item 2]],Table75[Power_list],0))+INDEX($C$31:$C$44,MATCH(Table7678[[#This Row],[Item 1]],Table75[Power_list],0))+INDEX($C$31:$C$44,MATCH(Table7678[[#This Row],[Item 3]],Table75[Power_list],0))</f>
        <v>18</v>
      </c>
      <c r="J217" s="1">
        <v>170</v>
      </c>
      <c r="K217" s="1" t="s">
        <v>274</v>
      </c>
      <c r="L217" s="1" t="s">
        <v>278</v>
      </c>
      <c r="M217" s="1" t="s">
        <v>288</v>
      </c>
      <c r="N217" s="1">
        <v>23</v>
      </c>
      <c r="O217" s="1" t="b">
        <f>(IFERROR(FIND("Lower",Table78[[#This Row],[Item 1]]),0)+IFERROR(FIND("Lower",Table78[[#This Row],[Item 2]]),0)+IFERROR(FIND("Lower",Table78[[#This Row],[Item 3]]),0))&lt;2</f>
        <v>1</v>
      </c>
      <c r="Q217" s="1">
        <v>170</v>
      </c>
      <c r="R217" s="1" t="s">
        <v>272</v>
      </c>
      <c r="S217" s="1" t="s">
        <v>277</v>
      </c>
      <c r="T217" s="1" t="s">
        <v>296</v>
      </c>
      <c r="U217" s="1">
        <v>26</v>
      </c>
      <c r="V217" s="1" t="b">
        <v>1</v>
      </c>
    </row>
    <row r="218" spans="1:22" x14ac:dyDescent="0.25">
      <c r="A218" s="162">
        <v>4</v>
      </c>
      <c r="B218" s="1">
        <v>5</v>
      </c>
      <c r="C218" s="1">
        <v>10</v>
      </c>
      <c r="E218" s="162" t="str">
        <f>INDEX(Table75[Power_list],Table76[[#This Row],[Item 1]])</f>
        <v>Boost +</v>
      </c>
      <c r="F218" s="162" t="str">
        <f>INDEX(Table75[Power_list],Table76[[#This Row],[Item 2]])</f>
        <v>Fire (size) +</v>
      </c>
      <c r="G218" s="162" t="str">
        <f>INDEX(Table75[Power_list],Table76[[#This Row],[Item 3]])</f>
        <v xml:space="preserve">Lower damage from mines </v>
      </c>
      <c r="H218" s="1">
        <f>INDEX($C$31:$C$44,MATCH(Table7678[[#This Row],[Item 2]],Table75[Power_list],0))+INDEX($C$31:$C$44,MATCH(Table7678[[#This Row],[Item 1]],Table75[Power_list],0))+INDEX($C$31:$C$44,MATCH(Table7678[[#This Row],[Item 3]],Table75[Power_list],0))</f>
        <v>20</v>
      </c>
      <c r="J218" s="1">
        <v>171</v>
      </c>
      <c r="K218" s="1" t="s">
        <v>274</v>
      </c>
      <c r="L218" s="1" t="s">
        <v>278</v>
      </c>
      <c r="M218" s="1" t="s">
        <v>294</v>
      </c>
      <c r="N218" s="1">
        <v>25</v>
      </c>
      <c r="O218" s="1" t="b">
        <f>(IFERROR(FIND("Lower",Table78[[#This Row],[Item 1]]),0)+IFERROR(FIND("Lower",Table78[[#This Row],[Item 2]]),0)+IFERROR(FIND("Lower",Table78[[#This Row],[Item 3]]),0))&lt;2</f>
        <v>1</v>
      </c>
      <c r="Q218" s="1">
        <v>171</v>
      </c>
      <c r="R218" s="1" t="s">
        <v>272</v>
      </c>
      <c r="S218" s="1" t="s">
        <v>278</v>
      </c>
      <c r="T218" s="1" t="s">
        <v>299</v>
      </c>
      <c r="U218" s="1">
        <v>26</v>
      </c>
      <c r="V218" s="1" t="b">
        <v>1</v>
      </c>
    </row>
    <row r="219" spans="1:22" x14ac:dyDescent="0.25">
      <c r="A219" s="162">
        <v>4</v>
      </c>
      <c r="B219" s="1">
        <v>5</v>
      </c>
      <c r="C219" s="1">
        <v>11</v>
      </c>
      <c r="E219" s="162" t="str">
        <f>INDEX(Table75[Power_list],Table76[[#This Row],[Item 1]])</f>
        <v>Boost +</v>
      </c>
      <c r="F219" s="162" t="str">
        <f>INDEX(Table75[Power_list],Table76[[#This Row],[Item 2]])</f>
        <v>Fire (size) +</v>
      </c>
      <c r="G219" s="162" t="str">
        <f>INDEX(Table75[Power_list],Table76[[#This Row],[Item 3]])</f>
        <v xml:space="preserve">Lower damage from ghosts </v>
      </c>
      <c r="H219" s="1">
        <f>INDEX($C$31:$C$44,MATCH(Table7678[[#This Row],[Item 2]],Table75[Power_list],0))+INDEX($C$31:$C$44,MATCH(Table7678[[#This Row],[Item 1]],Table75[Power_list],0))+INDEX($C$31:$C$44,MATCH(Table7678[[#This Row],[Item 3]],Table75[Power_list],0))</f>
        <v>15</v>
      </c>
      <c r="J219" s="1">
        <v>172</v>
      </c>
      <c r="K219" s="1" t="s">
        <v>274</v>
      </c>
      <c r="L219" s="1" t="s">
        <v>278</v>
      </c>
      <c r="M219" s="1" t="s">
        <v>295</v>
      </c>
      <c r="N219" s="1">
        <v>20</v>
      </c>
      <c r="O219" s="1" t="b">
        <f>(IFERROR(FIND("Lower",Table78[[#This Row],[Item 1]]),0)+IFERROR(FIND("Lower",Table78[[#This Row],[Item 2]]),0)+IFERROR(FIND("Lower",Table78[[#This Row],[Item 3]]),0))&lt;2</f>
        <v>1</v>
      </c>
      <c r="Q219" s="1">
        <v>172</v>
      </c>
      <c r="R219" s="1" t="s">
        <v>273</v>
      </c>
      <c r="S219" s="1" t="s">
        <v>274</v>
      </c>
      <c r="T219" s="1" t="s">
        <v>278</v>
      </c>
      <c r="U219" s="1">
        <v>26</v>
      </c>
      <c r="V219" s="1" t="b">
        <v>1</v>
      </c>
    </row>
    <row r="220" spans="1:22" x14ac:dyDescent="0.25">
      <c r="A220" s="162">
        <v>4</v>
      </c>
      <c r="B220" s="1">
        <v>5</v>
      </c>
      <c r="C220" s="1">
        <v>12</v>
      </c>
      <c r="E220" s="162" t="str">
        <f>INDEX(Table75[Power_list],Table76[[#This Row],[Item 1]])</f>
        <v>Boost +</v>
      </c>
      <c r="F220" s="162" t="str">
        <f>INDEX(Table75[Power_list],Table76[[#This Row],[Item 2]])</f>
        <v>Fire (size) +</v>
      </c>
      <c r="G220" s="162" t="str">
        <f>INDEX(Table75[Power_list],Table76[[#This Row],[Item 3]])</f>
        <v xml:space="preserve">Lower damage from poison </v>
      </c>
      <c r="H220" s="1">
        <f>INDEX($C$31:$C$44,MATCH(Table7678[[#This Row],[Item 2]],Table75[Power_list],0))+INDEX($C$31:$C$44,MATCH(Table7678[[#This Row],[Item 1]],Table75[Power_list],0))+INDEX($C$31:$C$44,MATCH(Table7678[[#This Row],[Item 3]],Table75[Power_list],0))</f>
        <v>17</v>
      </c>
      <c r="J220" s="1">
        <v>173</v>
      </c>
      <c r="K220" s="1" t="s">
        <v>274</v>
      </c>
      <c r="L220" s="1" t="s">
        <v>278</v>
      </c>
      <c r="M220" s="1" t="s">
        <v>299</v>
      </c>
      <c r="N220" s="1">
        <v>22</v>
      </c>
      <c r="O220" s="1" t="b">
        <f>(IFERROR(FIND("Lower",Table78[[#This Row],[Item 1]]),0)+IFERROR(FIND("Lower",Table78[[#This Row],[Item 2]]),0)+IFERROR(FIND("Lower",Table78[[#This Row],[Item 3]]),0))&lt;2</f>
        <v>1</v>
      </c>
      <c r="Q220" s="1">
        <v>173</v>
      </c>
      <c r="R220" s="1" t="s">
        <v>273</v>
      </c>
      <c r="S220" s="1" t="s">
        <v>276</v>
      </c>
      <c r="T220" s="1" t="s">
        <v>277</v>
      </c>
      <c r="U220" s="1">
        <v>26</v>
      </c>
      <c r="V220" s="1" t="b">
        <v>1</v>
      </c>
    </row>
    <row r="221" spans="1:22" x14ac:dyDescent="0.25">
      <c r="A221" s="162">
        <v>4</v>
      </c>
      <c r="B221" s="1">
        <v>5</v>
      </c>
      <c r="C221" s="1">
        <v>13</v>
      </c>
      <c r="E221" s="162" t="str">
        <f>INDEX(Table75[Power_list],Table76[[#This Row],[Item 1]])</f>
        <v>Boost +</v>
      </c>
      <c r="F221" s="162" t="str">
        <f>INDEX(Table75[Power_list],Table76[[#This Row],[Item 2]])</f>
        <v>Fire (size) +</v>
      </c>
      <c r="G221" s="162" t="str">
        <f>INDEX(Table75[Power_list],Table76[[#This Row],[Item 3]])</f>
        <v xml:space="preserve">Lower damage from arrows </v>
      </c>
      <c r="H221" s="1">
        <f>INDEX($C$31:$C$44,MATCH(Table7678[[#This Row],[Item 2]],Table75[Power_list],0))+INDEX($C$31:$C$44,MATCH(Table7678[[#This Row],[Item 1]],Table75[Power_list],0))+INDEX($C$31:$C$44,MATCH(Table7678[[#This Row],[Item 3]],Table75[Power_list],0))</f>
        <v>16</v>
      </c>
      <c r="J221" s="1">
        <v>174</v>
      </c>
      <c r="K221" s="1" t="s">
        <v>274</v>
      </c>
      <c r="L221" s="1" t="s">
        <v>278</v>
      </c>
      <c r="M221" s="1" t="s">
        <v>296</v>
      </c>
      <c r="N221" s="1">
        <v>21</v>
      </c>
      <c r="O221" s="1" t="b">
        <f>(IFERROR(FIND("Lower",Table78[[#This Row],[Item 1]]),0)+IFERROR(FIND("Lower",Table78[[#This Row],[Item 2]]),0)+IFERROR(FIND("Lower",Table78[[#This Row],[Item 3]]),0))&lt;2</f>
        <v>1</v>
      </c>
      <c r="Q221" s="1">
        <v>174</v>
      </c>
      <c r="R221" s="1" t="s">
        <v>274</v>
      </c>
      <c r="S221" s="1" t="s">
        <v>277</v>
      </c>
      <c r="T221" s="1" t="s">
        <v>294</v>
      </c>
      <c r="U221" s="1">
        <v>26</v>
      </c>
      <c r="V221" s="1" t="b">
        <v>1</v>
      </c>
    </row>
    <row r="222" spans="1:22" x14ac:dyDescent="0.25">
      <c r="A222" s="162">
        <v>4</v>
      </c>
      <c r="B222" s="1">
        <v>6</v>
      </c>
      <c r="C222" s="1">
        <v>7</v>
      </c>
      <c r="E222" s="162" t="str">
        <f>INDEX(Table75[Power_list],Table76[[#This Row],[Item 1]])</f>
        <v>Boost +</v>
      </c>
      <c r="F222" s="162" t="str">
        <f>INDEX(Table75[Power_list],Table76[[#This Row],[Item 2]])</f>
        <v>Fire Rush Time +</v>
      </c>
      <c r="G222" s="162" t="str">
        <f>INDEX(Table75[Power_list],Table76[[#This Row],[Item 3]])</f>
        <v>SC +</v>
      </c>
      <c r="H222" s="1">
        <f>INDEX($C$31:$C$44,MATCH(Table7678[[#This Row],[Item 2]],Table75[Power_list],0))+INDEX($C$31:$C$44,MATCH(Table7678[[#This Row],[Item 1]],Table75[Power_list],0))+INDEX($C$31:$C$44,MATCH(Table7678[[#This Row],[Item 3]],Table75[Power_list],0))</f>
        <v>28</v>
      </c>
      <c r="J222" s="1">
        <v>175</v>
      </c>
      <c r="K222" s="1" t="s">
        <v>274</v>
      </c>
      <c r="L222" s="1" t="s">
        <v>288</v>
      </c>
      <c r="M222" s="1" t="s">
        <v>294</v>
      </c>
      <c r="N222" s="1">
        <v>19</v>
      </c>
      <c r="O222" s="1" t="b">
        <f>(IFERROR(FIND("Lower",Table78[[#This Row],[Item 1]]),0)+IFERROR(FIND("Lower",Table78[[#This Row],[Item 2]]),0)+IFERROR(FIND("Lower",Table78[[#This Row],[Item 3]]),0))&lt;2</f>
        <v>1</v>
      </c>
      <c r="Q222" s="1">
        <v>175</v>
      </c>
      <c r="R222" s="1" t="s">
        <v>275</v>
      </c>
      <c r="S222" s="1" t="s">
        <v>277</v>
      </c>
      <c r="T222" s="1" t="s">
        <v>278</v>
      </c>
      <c r="U222" s="1">
        <v>26</v>
      </c>
      <c r="V222" s="1" t="b">
        <v>1</v>
      </c>
    </row>
    <row r="223" spans="1:22" x14ac:dyDescent="0.25">
      <c r="A223" s="162">
        <v>4</v>
      </c>
      <c r="B223" s="1">
        <v>6</v>
      </c>
      <c r="C223" s="1">
        <v>8</v>
      </c>
      <c r="E223" s="162" t="str">
        <f>INDEX(Table75[Power_list],Table76[[#This Row],[Item 1]])</f>
        <v>Boost +</v>
      </c>
      <c r="F223" s="162" t="str">
        <f>INDEX(Table75[Power_list],Table76[[#This Row],[Item 2]])</f>
        <v>Fire Rush Time +</v>
      </c>
      <c r="G223" s="162" t="str">
        <f>INDEX(Table75[Power_list],Table76[[#This Row],[Item 3]])</f>
        <v>Score +</v>
      </c>
      <c r="H223" s="1">
        <f>INDEX($C$31:$C$44,MATCH(Table7678[[#This Row],[Item 2]],Table75[Power_list],0))+INDEX($C$31:$C$44,MATCH(Table7678[[#This Row],[Item 1]],Table75[Power_list],0))+INDEX($C$31:$C$44,MATCH(Table7678[[#This Row],[Item 3]],Table75[Power_list],0))</f>
        <v>27</v>
      </c>
      <c r="J223" s="1">
        <v>176</v>
      </c>
      <c r="K223" s="1" t="s">
        <v>274</v>
      </c>
      <c r="L223" s="1" t="s">
        <v>288</v>
      </c>
      <c r="M223" s="1" t="s">
        <v>295</v>
      </c>
      <c r="N223" s="1">
        <v>14</v>
      </c>
      <c r="O223" s="1" t="b">
        <f>(IFERROR(FIND("Lower",Table78[[#This Row],[Item 1]]),0)+IFERROR(FIND("Lower",Table78[[#This Row],[Item 2]]),0)+IFERROR(FIND("Lower",Table78[[#This Row],[Item 3]]),0))&lt;2</f>
        <v>1</v>
      </c>
      <c r="Q223" s="1">
        <v>176</v>
      </c>
      <c r="R223" s="1" t="s">
        <v>271</v>
      </c>
      <c r="S223" s="1" t="s">
        <v>272</v>
      </c>
      <c r="T223" s="1" t="s">
        <v>296</v>
      </c>
      <c r="U223" s="1">
        <v>27</v>
      </c>
      <c r="V223" s="1" t="b">
        <v>1</v>
      </c>
    </row>
    <row r="224" spans="1:22" x14ac:dyDescent="0.25">
      <c r="A224" s="162">
        <v>4</v>
      </c>
      <c r="B224" s="1">
        <v>6</v>
      </c>
      <c r="C224" s="1">
        <v>9</v>
      </c>
      <c r="E224" s="162" t="str">
        <f>INDEX(Table75[Power_list],Table76[[#This Row],[Item 1]])</f>
        <v>Boost +</v>
      </c>
      <c r="F224" s="162" t="str">
        <f>INDEX(Table75[Power_list],Table76[[#This Row],[Item 2]])</f>
        <v>Fire Rush Time +</v>
      </c>
      <c r="G224" s="162" t="str">
        <f>INDEX(Table75[Power_list],Table76[[#This Row],[Item 3]])</f>
        <v>Food +</v>
      </c>
      <c r="H224" s="1">
        <f>INDEX($C$31:$C$44,MATCH(Table7678[[#This Row],[Item 2]],Table75[Power_list],0))+INDEX($C$31:$C$44,MATCH(Table7678[[#This Row],[Item 1]],Table75[Power_list],0))+INDEX($C$31:$C$44,MATCH(Table7678[[#This Row],[Item 3]],Table75[Power_list],0))</f>
        <v>21</v>
      </c>
      <c r="J224" s="1">
        <v>177</v>
      </c>
      <c r="K224" s="1" t="s">
        <v>274</v>
      </c>
      <c r="L224" s="1" t="s">
        <v>288</v>
      </c>
      <c r="M224" s="1" t="s">
        <v>299</v>
      </c>
      <c r="N224" s="1">
        <v>16</v>
      </c>
      <c r="O224" s="1" t="b">
        <f>(IFERROR(FIND("Lower",Table78[[#This Row],[Item 1]]),0)+IFERROR(FIND("Lower",Table78[[#This Row],[Item 2]]),0)+IFERROR(FIND("Lower",Table78[[#This Row],[Item 3]]),0))&lt;2</f>
        <v>1</v>
      </c>
      <c r="Q224" s="1">
        <v>177</v>
      </c>
      <c r="R224" s="1" t="s">
        <v>271</v>
      </c>
      <c r="S224" s="1" t="s">
        <v>273</v>
      </c>
      <c r="T224" s="1" t="s">
        <v>276</v>
      </c>
      <c r="U224" s="1">
        <v>27</v>
      </c>
      <c r="V224" s="1" t="b">
        <v>1</v>
      </c>
    </row>
    <row r="225" spans="1:22" x14ac:dyDescent="0.25">
      <c r="A225" s="162">
        <v>4</v>
      </c>
      <c r="B225" s="1">
        <v>6</v>
      </c>
      <c r="C225" s="1">
        <v>10</v>
      </c>
      <c r="E225" s="162" t="str">
        <f>INDEX(Table75[Power_list],Table76[[#This Row],[Item 1]])</f>
        <v>Boost +</v>
      </c>
      <c r="F225" s="162" t="str">
        <f>INDEX(Table75[Power_list],Table76[[#This Row],[Item 2]])</f>
        <v>Fire Rush Time +</v>
      </c>
      <c r="G225" s="162" t="str">
        <f>INDEX(Table75[Power_list],Table76[[#This Row],[Item 3]])</f>
        <v xml:space="preserve">Lower damage from mines </v>
      </c>
      <c r="H225" s="1">
        <f>INDEX($C$31:$C$44,MATCH(Table7678[[#This Row],[Item 2]],Table75[Power_list],0))+INDEX($C$31:$C$44,MATCH(Table7678[[#This Row],[Item 1]],Table75[Power_list],0))+INDEX($C$31:$C$44,MATCH(Table7678[[#This Row],[Item 3]],Table75[Power_list],0))</f>
        <v>23</v>
      </c>
      <c r="J225" s="1">
        <v>178</v>
      </c>
      <c r="K225" s="1" t="s">
        <v>274</v>
      </c>
      <c r="L225" s="1" t="s">
        <v>288</v>
      </c>
      <c r="M225" s="1" t="s">
        <v>296</v>
      </c>
      <c r="N225" s="1">
        <v>15</v>
      </c>
      <c r="O225" s="1" t="b">
        <f>(IFERROR(FIND("Lower",Table78[[#This Row],[Item 1]]),0)+IFERROR(FIND("Lower",Table78[[#This Row],[Item 2]]),0)+IFERROR(FIND("Lower",Table78[[#This Row],[Item 3]]),0))&lt;2</f>
        <v>1</v>
      </c>
      <c r="Q225" s="1">
        <v>178</v>
      </c>
      <c r="R225" s="1" t="s">
        <v>271</v>
      </c>
      <c r="S225" s="1" t="s">
        <v>274</v>
      </c>
      <c r="T225" s="1" t="s">
        <v>294</v>
      </c>
      <c r="U225" s="1">
        <v>27</v>
      </c>
      <c r="V225" s="1" t="b">
        <v>1</v>
      </c>
    </row>
    <row r="226" spans="1:22" x14ac:dyDescent="0.25">
      <c r="A226" s="162">
        <v>4</v>
      </c>
      <c r="B226" s="1">
        <v>6</v>
      </c>
      <c r="C226" s="1">
        <v>11</v>
      </c>
      <c r="E226" s="162" t="str">
        <f>INDEX(Table75[Power_list],Table76[[#This Row],[Item 1]])</f>
        <v>Boost +</v>
      </c>
      <c r="F226" s="162" t="str">
        <f>INDEX(Table75[Power_list],Table76[[#This Row],[Item 2]])</f>
        <v>Fire Rush Time +</v>
      </c>
      <c r="G226" s="162" t="str">
        <f>INDEX(Table75[Power_list],Table76[[#This Row],[Item 3]])</f>
        <v xml:space="preserve">Lower damage from ghosts </v>
      </c>
      <c r="H226" s="1">
        <f>INDEX($C$31:$C$44,MATCH(Table7678[[#This Row],[Item 2]],Table75[Power_list],0))+INDEX($C$31:$C$44,MATCH(Table7678[[#This Row],[Item 1]],Table75[Power_list],0))+INDEX($C$31:$C$44,MATCH(Table7678[[#This Row],[Item 3]],Table75[Power_list],0))</f>
        <v>18</v>
      </c>
      <c r="J226" s="1">
        <v>179</v>
      </c>
      <c r="K226" s="1" t="s">
        <v>275</v>
      </c>
      <c r="L226" s="1" t="s">
        <v>276</v>
      </c>
      <c r="M226" s="1" t="s">
        <v>277</v>
      </c>
      <c r="N226" s="1">
        <v>24</v>
      </c>
      <c r="O226" s="1" t="b">
        <f>(IFERROR(FIND("Lower",Table78[[#This Row],[Item 1]]),0)+IFERROR(FIND("Lower",Table78[[#This Row],[Item 2]]),0)+IFERROR(FIND("Lower",Table78[[#This Row],[Item 3]]),0))&lt;2</f>
        <v>1</v>
      </c>
      <c r="Q226" s="1">
        <v>179</v>
      </c>
      <c r="R226" s="1" t="s">
        <v>271</v>
      </c>
      <c r="S226" s="1" t="s">
        <v>275</v>
      </c>
      <c r="T226" s="1" t="s">
        <v>278</v>
      </c>
      <c r="U226" s="1">
        <v>27</v>
      </c>
      <c r="V226" s="1" t="b">
        <v>1</v>
      </c>
    </row>
    <row r="227" spans="1:22" x14ac:dyDescent="0.25">
      <c r="A227" s="162">
        <v>4</v>
      </c>
      <c r="B227" s="1">
        <v>6</v>
      </c>
      <c r="C227" s="1">
        <v>12</v>
      </c>
      <c r="E227" s="162" t="str">
        <f>INDEX(Table75[Power_list],Table76[[#This Row],[Item 1]])</f>
        <v>Boost +</v>
      </c>
      <c r="F227" s="162" t="str">
        <f>INDEX(Table75[Power_list],Table76[[#This Row],[Item 2]])</f>
        <v>Fire Rush Time +</v>
      </c>
      <c r="G227" s="162" t="str">
        <f>INDEX(Table75[Power_list],Table76[[#This Row],[Item 3]])</f>
        <v xml:space="preserve">Lower damage from poison </v>
      </c>
      <c r="H227" s="1">
        <f>INDEX($C$31:$C$44,MATCH(Table7678[[#This Row],[Item 2]],Table75[Power_list],0))+INDEX($C$31:$C$44,MATCH(Table7678[[#This Row],[Item 1]],Table75[Power_list],0))+INDEX($C$31:$C$44,MATCH(Table7678[[#This Row],[Item 3]],Table75[Power_list],0))</f>
        <v>20</v>
      </c>
      <c r="J227" s="1">
        <v>180</v>
      </c>
      <c r="K227" s="1" t="s">
        <v>275</v>
      </c>
      <c r="L227" s="1" t="s">
        <v>276</v>
      </c>
      <c r="M227" s="1" t="s">
        <v>278</v>
      </c>
      <c r="N227" s="1">
        <v>23</v>
      </c>
      <c r="O227" s="1" t="b">
        <f>(IFERROR(FIND("Lower",Table78[[#This Row],[Item 1]]),0)+IFERROR(FIND("Lower",Table78[[#This Row],[Item 2]]),0)+IFERROR(FIND("Lower",Table78[[#This Row],[Item 3]]),0))&lt;2</f>
        <v>1</v>
      </c>
      <c r="Q227" s="1">
        <v>180</v>
      </c>
      <c r="R227" s="1" t="s">
        <v>271</v>
      </c>
      <c r="S227" s="1" t="s">
        <v>277</v>
      </c>
      <c r="T227" s="1" t="s">
        <v>288</v>
      </c>
      <c r="U227" s="1">
        <v>27</v>
      </c>
      <c r="V227" s="1" t="b">
        <v>1</v>
      </c>
    </row>
    <row r="228" spans="1:22" x14ac:dyDescent="0.25">
      <c r="A228" s="162">
        <v>4</v>
      </c>
      <c r="B228" s="1">
        <v>6</v>
      </c>
      <c r="C228" s="1">
        <v>13</v>
      </c>
      <c r="E228" s="162" t="str">
        <f>INDEX(Table75[Power_list],Table76[[#This Row],[Item 1]])</f>
        <v>Boost +</v>
      </c>
      <c r="F228" s="162" t="str">
        <f>INDEX(Table75[Power_list],Table76[[#This Row],[Item 2]])</f>
        <v>Fire Rush Time +</v>
      </c>
      <c r="G228" s="162" t="str">
        <f>INDEX(Table75[Power_list],Table76[[#This Row],[Item 3]])</f>
        <v xml:space="preserve">Lower damage from arrows </v>
      </c>
      <c r="H228" s="1">
        <f>INDEX($C$31:$C$44,MATCH(Table7678[[#This Row],[Item 2]],Table75[Power_list],0))+INDEX($C$31:$C$44,MATCH(Table7678[[#This Row],[Item 1]],Table75[Power_list],0))+INDEX($C$31:$C$44,MATCH(Table7678[[#This Row],[Item 3]],Table75[Power_list],0))</f>
        <v>19</v>
      </c>
      <c r="J228" s="1">
        <v>181</v>
      </c>
      <c r="K228" s="1" t="s">
        <v>275</v>
      </c>
      <c r="L228" s="1" t="s">
        <v>276</v>
      </c>
      <c r="M228" s="1" t="s">
        <v>288</v>
      </c>
      <c r="N228" s="1">
        <v>17</v>
      </c>
      <c r="O228" s="1" t="b">
        <f>(IFERROR(FIND("Lower",Table78[[#This Row],[Item 1]]),0)+IFERROR(FIND("Lower",Table78[[#This Row],[Item 2]]),0)+IFERROR(FIND("Lower",Table78[[#This Row],[Item 3]]),0))&lt;2</f>
        <v>1</v>
      </c>
      <c r="Q228" s="1">
        <v>181</v>
      </c>
      <c r="R228" s="1" t="s">
        <v>272</v>
      </c>
      <c r="S228" s="1" t="s">
        <v>274</v>
      </c>
      <c r="T228" s="1" t="s">
        <v>275</v>
      </c>
      <c r="U228" s="1">
        <v>27</v>
      </c>
      <c r="V228" s="1" t="b">
        <v>1</v>
      </c>
    </row>
    <row r="229" spans="1:22" x14ac:dyDescent="0.25">
      <c r="A229" s="162">
        <v>4</v>
      </c>
      <c r="B229" s="1">
        <v>7</v>
      </c>
      <c r="C229" s="1">
        <v>8</v>
      </c>
      <c r="E229" s="162" t="str">
        <f>INDEX(Table75[Power_list],Table76[[#This Row],[Item 1]])</f>
        <v>Boost +</v>
      </c>
      <c r="F229" s="162" t="str">
        <f>INDEX(Table75[Power_list],Table76[[#This Row],[Item 2]])</f>
        <v>SC +</v>
      </c>
      <c r="G229" s="162" t="str">
        <f>INDEX(Table75[Power_list],Table76[[#This Row],[Item 3]])</f>
        <v>Score +</v>
      </c>
      <c r="H229" s="1">
        <f>INDEX($C$31:$C$44,MATCH(Table7678[[#This Row],[Item 2]],Table75[Power_list],0))+INDEX($C$31:$C$44,MATCH(Table7678[[#This Row],[Item 1]],Table75[Power_list],0))+INDEX($C$31:$C$44,MATCH(Table7678[[#This Row],[Item 3]],Table75[Power_list],0))</f>
        <v>30</v>
      </c>
      <c r="J229" s="1">
        <v>182</v>
      </c>
      <c r="K229" s="1" t="s">
        <v>275</v>
      </c>
      <c r="L229" s="1" t="s">
        <v>276</v>
      </c>
      <c r="M229" s="1" t="s">
        <v>294</v>
      </c>
      <c r="N229" s="1">
        <v>19</v>
      </c>
      <c r="O229" s="1" t="b">
        <f>(IFERROR(FIND("Lower",Table78[[#This Row],[Item 1]]),0)+IFERROR(FIND("Lower",Table78[[#This Row],[Item 2]]),0)+IFERROR(FIND("Lower",Table78[[#This Row],[Item 3]]),0))&lt;2</f>
        <v>1</v>
      </c>
      <c r="Q229" s="1">
        <v>182</v>
      </c>
      <c r="R229" s="1" t="s">
        <v>272</v>
      </c>
      <c r="S229" s="1" t="s">
        <v>276</v>
      </c>
      <c r="T229" s="1" t="s">
        <v>294</v>
      </c>
      <c r="U229" s="1">
        <v>27</v>
      </c>
      <c r="V229" s="1" t="b">
        <v>1</v>
      </c>
    </row>
    <row r="230" spans="1:22" x14ac:dyDescent="0.25">
      <c r="A230" s="162">
        <v>4</v>
      </c>
      <c r="B230" s="1">
        <v>7</v>
      </c>
      <c r="C230" s="1">
        <v>9</v>
      </c>
      <c r="E230" s="162" t="str">
        <f>INDEX(Table75[Power_list],Table76[[#This Row],[Item 1]])</f>
        <v>Boost +</v>
      </c>
      <c r="F230" s="162" t="str">
        <f>INDEX(Table75[Power_list],Table76[[#This Row],[Item 2]])</f>
        <v>SC +</v>
      </c>
      <c r="G230" s="162" t="str">
        <f>INDEX(Table75[Power_list],Table76[[#This Row],[Item 3]])</f>
        <v>Food +</v>
      </c>
      <c r="H230" s="1">
        <f>INDEX($C$31:$C$44,MATCH(Table7678[[#This Row],[Item 2]],Table75[Power_list],0))+INDEX($C$31:$C$44,MATCH(Table7678[[#This Row],[Item 1]],Table75[Power_list],0))+INDEX($C$31:$C$44,MATCH(Table7678[[#This Row],[Item 3]],Table75[Power_list],0))</f>
        <v>24</v>
      </c>
      <c r="J230" s="1">
        <v>183</v>
      </c>
      <c r="K230" s="1" t="s">
        <v>275</v>
      </c>
      <c r="L230" s="1" t="s">
        <v>276</v>
      </c>
      <c r="M230" s="1" t="s">
        <v>295</v>
      </c>
      <c r="N230" s="1">
        <v>14</v>
      </c>
      <c r="O230" s="1" t="b">
        <f>(IFERROR(FIND("Lower",Table78[[#This Row],[Item 1]]),0)+IFERROR(FIND("Lower",Table78[[#This Row],[Item 2]]),0)+IFERROR(FIND("Lower",Table78[[#This Row],[Item 3]]),0))&lt;2</f>
        <v>1</v>
      </c>
      <c r="Q230" s="1">
        <v>183</v>
      </c>
      <c r="R230" s="1" t="s">
        <v>272</v>
      </c>
      <c r="S230" s="1" t="s">
        <v>277</v>
      </c>
      <c r="T230" s="1" t="s">
        <v>299</v>
      </c>
      <c r="U230" s="1">
        <v>27</v>
      </c>
      <c r="V230" s="1" t="b">
        <v>1</v>
      </c>
    </row>
    <row r="231" spans="1:22" x14ac:dyDescent="0.25">
      <c r="A231" s="162">
        <v>4</v>
      </c>
      <c r="B231" s="1">
        <v>7</v>
      </c>
      <c r="C231" s="1">
        <v>10</v>
      </c>
      <c r="E231" s="162" t="str">
        <f>INDEX(Table75[Power_list],Table76[[#This Row],[Item 1]])</f>
        <v>Boost +</v>
      </c>
      <c r="F231" s="162" t="str">
        <f>INDEX(Table75[Power_list],Table76[[#This Row],[Item 2]])</f>
        <v>SC +</v>
      </c>
      <c r="G231" s="162" t="str">
        <f>INDEX(Table75[Power_list],Table76[[#This Row],[Item 3]])</f>
        <v xml:space="preserve">Lower damage from mines </v>
      </c>
      <c r="H231" s="1">
        <f>INDEX($C$31:$C$44,MATCH(Table7678[[#This Row],[Item 2]],Table75[Power_list],0))+INDEX($C$31:$C$44,MATCH(Table7678[[#This Row],[Item 1]],Table75[Power_list],0))+INDEX($C$31:$C$44,MATCH(Table7678[[#This Row],[Item 3]],Table75[Power_list],0))</f>
        <v>26</v>
      </c>
      <c r="J231" s="1">
        <v>184</v>
      </c>
      <c r="K231" s="1" t="s">
        <v>275</v>
      </c>
      <c r="L231" s="1" t="s">
        <v>276</v>
      </c>
      <c r="M231" s="1" t="s">
        <v>299</v>
      </c>
      <c r="N231" s="1">
        <v>16</v>
      </c>
      <c r="O231" s="1" t="b">
        <f>(IFERROR(FIND("Lower",Table78[[#This Row],[Item 1]]),0)+IFERROR(FIND("Lower",Table78[[#This Row],[Item 2]]),0)+IFERROR(FIND("Lower",Table78[[#This Row],[Item 3]]),0))&lt;2</f>
        <v>1</v>
      </c>
      <c r="Q231" s="1">
        <v>184</v>
      </c>
      <c r="R231" s="1" t="s">
        <v>272</v>
      </c>
      <c r="S231" s="1" t="s">
        <v>278</v>
      </c>
      <c r="T231" s="1" t="s">
        <v>288</v>
      </c>
      <c r="U231" s="1">
        <v>27</v>
      </c>
      <c r="V231" s="1" t="b">
        <v>1</v>
      </c>
    </row>
    <row r="232" spans="1:22" x14ac:dyDescent="0.25">
      <c r="A232" s="162">
        <v>4</v>
      </c>
      <c r="B232" s="1">
        <v>7</v>
      </c>
      <c r="C232" s="1">
        <v>11</v>
      </c>
      <c r="E232" s="162" t="str">
        <f>INDEX(Table75[Power_list],Table76[[#This Row],[Item 1]])</f>
        <v>Boost +</v>
      </c>
      <c r="F232" s="162" t="str">
        <f>INDEX(Table75[Power_list],Table76[[#This Row],[Item 2]])</f>
        <v>SC +</v>
      </c>
      <c r="G232" s="162" t="str">
        <f>INDEX(Table75[Power_list],Table76[[#This Row],[Item 3]])</f>
        <v xml:space="preserve">Lower damage from ghosts </v>
      </c>
      <c r="H232" s="1">
        <f>INDEX($C$31:$C$44,MATCH(Table7678[[#This Row],[Item 2]],Table75[Power_list],0))+INDEX($C$31:$C$44,MATCH(Table7678[[#This Row],[Item 1]],Table75[Power_list],0))+INDEX($C$31:$C$44,MATCH(Table7678[[#This Row],[Item 3]],Table75[Power_list],0))</f>
        <v>21</v>
      </c>
      <c r="J232" s="1">
        <v>185</v>
      </c>
      <c r="K232" s="1" t="s">
        <v>275</v>
      </c>
      <c r="L232" s="1" t="s">
        <v>276</v>
      </c>
      <c r="M232" s="1" t="s">
        <v>296</v>
      </c>
      <c r="N232" s="1">
        <v>15</v>
      </c>
      <c r="O232" s="1" t="b">
        <f>(IFERROR(FIND("Lower",Table78[[#This Row],[Item 1]]),0)+IFERROR(FIND("Lower",Table78[[#This Row],[Item 2]]),0)+IFERROR(FIND("Lower",Table78[[#This Row],[Item 3]]),0))&lt;2</f>
        <v>1</v>
      </c>
      <c r="Q232" s="1">
        <v>185</v>
      </c>
      <c r="R232" s="1" t="s">
        <v>273</v>
      </c>
      <c r="S232" s="1" t="s">
        <v>274</v>
      </c>
      <c r="T232" s="1" t="s">
        <v>277</v>
      </c>
      <c r="U232" s="1">
        <v>27</v>
      </c>
      <c r="V232" s="1" t="b">
        <v>1</v>
      </c>
    </row>
    <row r="233" spans="1:22" x14ac:dyDescent="0.25">
      <c r="A233" s="162">
        <v>4</v>
      </c>
      <c r="B233" s="1">
        <v>7</v>
      </c>
      <c r="C233" s="1">
        <v>12</v>
      </c>
      <c r="E233" s="162" t="str">
        <f>INDEX(Table75[Power_list],Table76[[#This Row],[Item 1]])</f>
        <v>Boost +</v>
      </c>
      <c r="F233" s="162" t="str">
        <f>INDEX(Table75[Power_list],Table76[[#This Row],[Item 2]])</f>
        <v>SC +</v>
      </c>
      <c r="G233" s="162" t="str">
        <f>INDEX(Table75[Power_list],Table76[[#This Row],[Item 3]])</f>
        <v xml:space="preserve">Lower damage from poison </v>
      </c>
      <c r="H233" s="1">
        <f>INDEX($C$31:$C$44,MATCH(Table7678[[#This Row],[Item 2]],Table75[Power_list],0))+INDEX($C$31:$C$44,MATCH(Table7678[[#This Row],[Item 1]],Table75[Power_list],0))+INDEX($C$31:$C$44,MATCH(Table7678[[#This Row],[Item 3]],Table75[Power_list],0))</f>
        <v>23</v>
      </c>
      <c r="J233" s="1">
        <v>186</v>
      </c>
      <c r="K233" s="1" t="s">
        <v>275</v>
      </c>
      <c r="L233" s="1" t="s">
        <v>277</v>
      </c>
      <c r="M233" s="1" t="s">
        <v>278</v>
      </c>
      <c r="N233" s="1">
        <v>26</v>
      </c>
      <c r="O233" s="1" t="b">
        <f>(IFERROR(FIND("Lower",Table78[[#This Row],[Item 1]]),0)+IFERROR(FIND("Lower",Table78[[#This Row],[Item 2]]),0)+IFERROR(FIND("Lower",Table78[[#This Row],[Item 3]]),0))&lt;2</f>
        <v>1</v>
      </c>
      <c r="Q233" s="1">
        <v>186</v>
      </c>
      <c r="R233" s="1" t="s">
        <v>274</v>
      </c>
      <c r="S233" s="1" t="s">
        <v>276</v>
      </c>
      <c r="T233" s="1" t="s">
        <v>278</v>
      </c>
      <c r="U233" s="1">
        <v>27</v>
      </c>
      <c r="V233" s="1" t="b">
        <v>1</v>
      </c>
    </row>
    <row r="234" spans="1:22" x14ac:dyDescent="0.25">
      <c r="A234" s="162">
        <v>4</v>
      </c>
      <c r="B234" s="1">
        <v>7</v>
      </c>
      <c r="C234" s="1">
        <v>13</v>
      </c>
      <c r="E234" s="162" t="str">
        <f>INDEX(Table75[Power_list],Table76[[#This Row],[Item 1]])</f>
        <v>Boost +</v>
      </c>
      <c r="F234" s="162" t="str">
        <f>INDEX(Table75[Power_list],Table76[[#This Row],[Item 2]])</f>
        <v>SC +</v>
      </c>
      <c r="G234" s="162" t="str">
        <f>INDEX(Table75[Power_list],Table76[[#This Row],[Item 3]])</f>
        <v xml:space="preserve">Lower damage from arrows </v>
      </c>
      <c r="H234" s="1">
        <f>INDEX($C$31:$C$44,MATCH(Table7678[[#This Row],[Item 2]],Table75[Power_list],0))+INDEX($C$31:$C$44,MATCH(Table7678[[#This Row],[Item 1]],Table75[Power_list],0))+INDEX($C$31:$C$44,MATCH(Table7678[[#This Row],[Item 3]],Table75[Power_list],0))</f>
        <v>22</v>
      </c>
      <c r="J234" s="1">
        <v>187</v>
      </c>
      <c r="K234" s="1" t="s">
        <v>275</v>
      </c>
      <c r="L234" s="1" t="s">
        <v>277</v>
      </c>
      <c r="M234" s="1" t="s">
        <v>288</v>
      </c>
      <c r="N234" s="1">
        <v>20</v>
      </c>
      <c r="O234" s="1" t="b">
        <f>(IFERROR(FIND("Lower",Table78[[#This Row],[Item 1]]),0)+IFERROR(FIND("Lower",Table78[[#This Row],[Item 2]]),0)+IFERROR(FIND("Lower",Table78[[#This Row],[Item 3]]),0))&lt;2</f>
        <v>1</v>
      </c>
      <c r="Q234" s="1">
        <v>187</v>
      </c>
      <c r="R234" s="1" t="s">
        <v>277</v>
      </c>
      <c r="S234" s="1" t="s">
        <v>278</v>
      </c>
      <c r="T234" s="1" t="s">
        <v>294</v>
      </c>
      <c r="U234" s="1">
        <v>27</v>
      </c>
      <c r="V234" s="1" t="b">
        <v>1</v>
      </c>
    </row>
    <row r="235" spans="1:22" x14ac:dyDescent="0.25">
      <c r="A235" s="162">
        <v>4</v>
      </c>
      <c r="B235" s="1">
        <v>8</v>
      </c>
      <c r="C235" s="1">
        <v>9</v>
      </c>
      <c r="E235" s="162" t="str">
        <f>INDEX(Table75[Power_list],Table76[[#This Row],[Item 1]])</f>
        <v>Boost +</v>
      </c>
      <c r="F235" s="162" t="str">
        <f>INDEX(Table75[Power_list],Table76[[#This Row],[Item 2]])</f>
        <v>Score +</v>
      </c>
      <c r="G235" s="162" t="str">
        <f>INDEX(Table75[Power_list],Table76[[#This Row],[Item 3]])</f>
        <v>Food +</v>
      </c>
      <c r="H235" s="1">
        <f>INDEX($C$31:$C$44,MATCH(Table7678[[#This Row],[Item 2]],Table75[Power_list],0))+INDEX($C$31:$C$44,MATCH(Table7678[[#This Row],[Item 1]],Table75[Power_list],0))+INDEX($C$31:$C$44,MATCH(Table7678[[#This Row],[Item 3]],Table75[Power_list],0))</f>
        <v>23</v>
      </c>
      <c r="J235" s="1">
        <v>188</v>
      </c>
      <c r="K235" s="1" t="s">
        <v>275</v>
      </c>
      <c r="L235" s="1" t="s">
        <v>277</v>
      </c>
      <c r="M235" s="1" t="s">
        <v>294</v>
      </c>
      <c r="N235" s="1">
        <v>22</v>
      </c>
      <c r="O235" s="1" t="b">
        <f>(IFERROR(FIND("Lower",Table78[[#This Row],[Item 1]]),0)+IFERROR(FIND("Lower",Table78[[#This Row],[Item 2]]),0)+IFERROR(FIND("Lower",Table78[[#This Row],[Item 3]]),0))&lt;2</f>
        <v>1</v>
      </c>
      <c r="Q235" s="1">
        <v>188</v>
      </c>
      <c r="R235" s="1" t="s">
        <v>271</v>
      </c>
      <c r="S235" s="1" t="s">
        <v>272</v>
      </c>
      <c r="T235" s="1" t="s">
        <v>299</v>
      </c>
      <c r="U235" s="1">
        <v>28</v>
      </c>
      <c r="V235" s="1" t="b">
        <v>1</v>
      </c>
    </row>
    <row r="236" spans="1:22" x14ac:dyDescent="0.25">
      <c r="A236" s="162">
        <v>4</v>
      </c>
      <c r="B236" s="1">
        <v>8</v>
      </c>
      <c r="C236" s="1">
        <v>10</v>
      </c>
      <c r="E236" s="162" t="str">
        <f>INDEX(Table75[Power_list],Table76[[#This Row],[Item 1]])</f>
        <v>Boost +</v>
      </c>
      <c r="F236" s="162" t="str">
        <f>INDEX(Table75[Power_list],Table76[[#This Row],[Item 2]])</f>
        <v>Score +</v>
      </c>
      <c r="G236" s="162" t="str">
        <f>INDEX(Table75[Power_list],Table76[[#This Row],[Item 3]])</f>
        <v xml:space="preserve">Lower damage from mines </v>
      </c>
      <c r="H236" s="1">
        <f>INDEX($C$31:$C$44,MATCH(Table7678[[#This Row],[Item 2]],Table75[Power_list],0))+INDEX($C$31:$C$44,MATCH(Table7678[[#This Row],[Item 1]],Table75[Power_list],0))+INDEX($C$31:$C$44,MATCH(Table7678[[#This Row],[Item 3]],Table75[Power_list],0))</f>
        <v>25</v>
      </c>
      <c r="J236" s="1">
        <v>189</v>
      </c>
      <c r="K236" s="1" t="s">
        <v>275</v>
      </c>
      <c r="L236" s="1" t="s">
        <v>277</v>
      </c>
      <c r="M236" s="1" t="s">
        <v>295</v>
      </c>
      <c r="N236" s="1">
        <v>17</v>
      </c>
      <c r="O236" s="1" t="b">
        <f>(IFERROR(FIND("Lower",Table78[[#This Row],[Item 1]]),0)+IFERROR(FIND("Lower",Table78[[#This Row],[Item 2]]),0)+IFERROR(FIND("Lower",Table78[[#This Row],[Item 3]]),0))&lt;2</f>
        <v>1</v>
      </c>
      <c r="Q236" s="1">
        <v>189</v>
      </c>
      <c r="R236" s="1" t="s">
        <v>271</v>
      </c>
      <c r="S236" s="1" t="s">
        <v>273</v>
      </c>
      <c r="T236" s="1" t="s">
        <v>274</v>
      </c>
      <c r="U236" s="1">
        <v>28</v>
      </c>
      <c r="V236" s="1" t="b">
        <v>1</v>
      </c>
    </row>
    <row r="237" spans="1:22" x14ac:dyDescent="0.25">
      <c r="A237" s="162">
        <v>4</v>
      </c>
      <c r="B237" s="1">
        <v>8</v>
      </c>
      <c r="C237" s="1">
        <v>11</v>
      </c>
      <c r="E237" s="162" t="str">
        <f>INDEX(Table75[Power_list],Table76[[#This Row],[Item 1]])</f>
        <v>Boost +</v>
      </c>
      <c r="F237" s="162" t="str">
        <f>INDEX(Table75[Power_list],Table76[[#This Row],[Item 2]])</f>
        <v>Score +</v>
      </c>
      <c r="G237" s="162" t="str">
        <f>INDEX(Table75[Power_list],Table76[[#This Row],[Item 3]])</f>
        <v xml:space="preserve">Lower damage from ghosts </v>
      </c>
      <c r="H237" s="1">
        <f>INDEX($C$31:$C$44,MATCH(Table7678[[#This Row],[Item 2]],Table75[Power_list],0))+INDEX($C$31:$C$44,MATCH(Table7678[[#This Row],[Item 1]],Table75[Power_list],0))+INDEX($C$31:$C$44,MATCH(Table7678[[#This Row],[Item 3]],Table75[Power_list],0))</f>
        <v>20</v>
      </c>
      <c r="J237" s="1">
        <v>190</v>
      </c>
      <c r="K237" s="1" t="s">
        <v>275</v>
      </c>
      <c r="L237" s="1" t="s">
        <v>277</v>
      </c>
      <c r="M237" s="1" t="s">
        <v>299</v>
      </c>
      <c r="N237" s="1">
        <v>19</v>
      </c>
      <c r="O237" s="1" t="b">
        <f>(IFERROR(FIND("Lower",Table78[[#This Row],[Item 1]]),0)+IFERROR(FIND("Lower",Table78[[#This Row],[Item 2]]),0)+IFERROR(FIND("Lower",Table78[[#This Row],[Item 3]]),0))&lt;2</f>
        <v>1</v>
      </c>
      <c r="Q237" s="1">
        <v>190</v>
      </c>
      <c r="R237" s="1" t="s">
        <v>271</v>
      </c>
      <c r="S237" s="1" t="s">
        <v>275</v>
      </c>
      <c r="T237" s="1" t="s">
        <v>277</v>
      </c>
      <c r="U237" s="1">
        <v>28</v>
      </c>
      <c r="V237" s="1" t="b">
        <v>1</v>
      </c>
    </row>
    <row r="238" spans="1:22" x14ac:dyDescent="0.25">
      <c r="A238" s="162">
        <v>4</v>
      </c>
      <c r="B238" s="1">
        <v>8</v>
      </c>
      <c r="C238" s="1">
        <v>12</v>
      </c>
      <c r="E238" s="162" t="str">
        <f>INDEX(Table75[Power_list],Table76[[#This Row],[Item 1]])</f>
        <v>Boost +</v>
      </c>
      <c r="F238" s="162" t="str">
        <f>INDEX(Table75[Power_list],Table76[[#This Row],[Item 2]])</f>
        <v>Score +</v>
      </c>
      <c r="G238" s="162" t="str">
        <f>INDEX(Table75[Power_list],Table76[[#This Row],[Item 3]])</f>
        <v xml:space="preserve">Lower damage from poison </v>
      </c>
      <c r="H238" s="1">
        <f>INDEX($C$31:$C$44,MATCH(Table7678[[#This Row],[Item 2]],Table75[Power_list],0))+INDEX($C$31:$C$44,MATCH(Table7678[[#This Row],[Item 1]],Table75[Power_list],0))+INDEX($C$31:$C$44,MATCH(Table7678[[#This Row],[Item 3]],Table75[Power_list],0))</f>
        <v>22</v>
      </c>
      <c r="J238" s="1">
        <v>191</v>
      </c>
      <c r="K238" s="1" t="s">
        <v>275</v>
      </c>
      <c r="L238" s="1" t="s">
        <v>277</v>
      </c>
      <c r="M238" s="1" t="s">
        <v>296</v>
      </c>
      <c r="N238" s="1">
        <v>18</v>
      </c>
      <c r="O238" s="1" t="b">
        <f>(IFERROR(FIND("Lower",Table78[[#This Row],[Item 1]]),0)+IFERROR(FIND("Lower",Table78[[#This Row],[Item 2]]),0)+IFERROR(FIND("Lower",Table78[[#This Row],[Item 3]]),0))&lt;2</f>
        <v>1</v>
      </c>
      <c r="Q238" s="1">
        <v>191</v>
      </c>
      <c r="R238" s="1" t="s">
        <v>271</v>
      </c>
      <c r="S238" s="1" t="s">
        <v>278</v>
      </c>
      <c r="T238" s="1" t="s">
        <v>294</v>
      </c>
      <c r="U238" s="1">
        <v>28</v>
      </c>
      <c r="V238" s="1" t="b">
        <v>1</v>
      </c>
    </row>
    <row r="239" spans="1:22" x14ac:dyDescent="0.25">
      <c r="A239" s="162">
        <v>4</v>
      </c>
      <c r="B239" s="1">
        <v>8</v>
      </c>
      <c r="C239" s="1">
        <v>13</v>
      </c>
      <c r="E239" s="162" t="str">
        <f>INDEX(Table75[Power_list],Table76[[#This Row],[Item 1]])</f>
        <v>Boost +</v>
      </c>
      <c r="F239" s="162" t="str">
        <f>INDEX(Table75[Power_list],Table76[[#This Row],[Item 2]])</f>
        <v>Score +</v>
      </c>
      <c r="G239" s="162" t="str">
        <f>INDEX(Table75[Power_list],Table76[[#This Row],[Item 3]])</f>
        <v xml:space="preserve">Lower damage from arrows </v>
      </c>
      <c r="H239" s="1">
        <f>INDEX($C$31:$C$44,MATCH(Table7678[[#This Row],[Item 2]],Table75[Power_list],0))+INDEX($C$31:$C$44,MATCH(Table7678[[#This Row],[Item 1]],Table75[Power_list],0))+INDEX($C$31:$C$44,MATCH(Table7678[[#This Row],[Item 3]],Table75[Power_list],0))</f>
        <v>21</v>
      </c>
      <c r="J239" s="1">
        <v>192</v>
      </c>
      <c r="K239" s="1" t="s">
        <v>275</v>
      </c>
      <c r="L239" s="1" t="s">
        <v>278</v>
      </c>
      <c r="M239" s="1" t="s">
        <v>288</v>
      </c>
      <c r="N239" s="1">
        <v>19</v>
      </c>
      <c r="O239" s="1" t="b">
        <f>(IFERROR(FIND("Lower",Table78[[#This Row],[Item 1]]),0)+IFERROR(FIND("Lower",Table78[[#This Row],[Item 2]]),0)+IFERROR(FIND("Lower",Table78[[#This Row],[Item 3]]),0))&lt;2</f>
        <v>1</v>
      </c>
      <c r="Q239" s="1">
        <v>192</v>
      </c>
      <c r="R239" s="1" t="s">
        <v>272</v>
      </c>
      <c r="S239" s="1" t="s">
        <v>273</v>
      </c>
      <c r="T239" s="1" t="s">
        <v>276</v>
      </c>
      <c r="U239" s="1">
        <v>28</v>
      </c>
      <c r="V239" s="1" t="b">
        <v>1</v>
      </c>
    </row>
    <row r="240" spans="1:22" x14ac:dyDescent="0.25">
      <c r="A240" s="162">
        <v>4</v>
      </c>
      <c r="B240" s="1">
        <v>9</v>
      </c>
      <c r="C240" s="1">
        <v>10</v>
      </c>
      <c r="E240" s="162" t="str">
        <f>INDEX(Table75[Power_list],Table76[[#This Row],[Item 1]])</f>
        <v>Boost +</v>
      </c>
      <c r="F240" s="162" t="str">
        <f>INDEX(Table75[Power_list],Table76[[#This Row],[Item 2]])</f>
        <v>Food +</v>
      </c>
      <c r="G240" s="162" t="str">
        <f>INDEX(Table75[Power_list],Table76[[#This Row],[Item 3]])</f>
        <v xml:space="preserve">Lower damage from mines </v>
      </c>
      <c r="H240" s="1">
        <f>INDEX($C$31:$C$44,MATCH(Table7678[[#This Row],[Item 2]],Table75[Power_list],0))+INDEX($C$31:$C$44,MATCH(Table7678[[#This Row],[Item 1]],Table75[Power_list],0))+INDEX($C$31:$C$44,MATCH(Table7678[[#This Row],[Item 3]],Table75[Power_list],0))</f>
        <v>19</v>
      </c>
      <c r="J240" s="1">
        <v>193</v>
      </c>
      <c r="K240" s="1" t="s">
        <v>275</v>
      </c>
      <c r="L240" s="1" t="s">
        <v>278</v>
      </c>
      <c r="M240" s="1" t="s">
        <v>294</v>
      </c>
      <c r="N240" s="1">
        <v>21</v>
      </c>
      <c r="O240" s="1" t="b">
        <f>(IFERROR(FIND("Lower",Table78[[#This Row],[Item 1]]),0)+IFERROR(FIND("Lower",Table78[[#This Row],[Item 2]]),0)+IFERROR(FIND("Lower",Table78[[#This Row],[Item 3]]),0))&lt;2</f>
        <v>1</v>
      </c>
      <c r="Q240" s="1">
        <v>193</v>
      </c>
      <c r="R240" s="1" t="s">
        <v>272</v>
      </c>
      <c r="S240" s="1" t="s">
        <v>274</v>
      </c>
      <c r="T240" s="1" t="s">
        <v>294</v>
      </c>
      <c r="U240" s="1">
        <v>28</v>
      </c>
      <c r="V240" s="1" t="b">
        <v>1</v>
      </c>
    </row>
    <row r="241" spans="1:22" x14ac:dyDescent="0.25">
      <c r="A241" s="162">
        <v>4</v>
      </c>
      <c r="B241" s="1">
        <v>9</v>
      </c>
      <c r="C241" s="1">
        <v>11</v>
      </c>
      <c r="E241" s="162" t="str">
        <f>INDEX(Table75[Power_list],Table76[[#This Row],[Item 1]])</f>
        <v>Boost +</v>
      </c>
      <c r="F241" s="162" t="str">
        <f>INDEX(Table75[Power_list],Table76[[#This Row],[Item 2]])</f>
        <v>Food +</v>
      </c>
      <c r="G241" s="162" t="str">
        <f>INDEX(Table75[Power_list],Table76[[#This Row],[Item 3]])</f>
        <v xml:space="preserve">Lower damage from ghosts </v>
      </c>
      <c r="H241" s="1">
        <f>INDEX($C$31:$C$44,MATCH(Table7678[[#This Row],[Item 2]],Table75[Power_list],0))+INDEX($C$31:$C$44,MATCH(Table7678[[#This Row],[Item 1]],Table75[Power_list],0))+INDEX($C$31:$C$44,MATCH(Table7678[[#This Row],[Item 3]],Table75[Power_list],0))</f>
        <v>14</v>
      </c>
      <c r="J241" s="1">
        <v>194</v>
      </c>
      <c r="K241" s="1" t="s">
        <v>275</v>
      </c>
      <c r="L241" s="1" t="s">
        <v>278</v>
      </c>
      <c r="M241" s="1" t="s">
        <v>295</v>
      </c>
      <c r="N241" s="1">
        <v>16</v>
      </c>
      <c r="O241" s="1" t="b">
        <f>(IFERROR(FIND("Lower",Table78[[#This Row],[Item 1]]),0)+IFERROR(FIND("Lower",Table78[[#This Row],[Item 2]]),0)+IFERROR(FIND("Lower",Table78[[#This Row],[Item 3]]),0))&lt;2</f>
        <v>1</v>
      </c>
      <c r="Q241" s="1">
        <v>194</v>
      </c>
      <c r="R241" s="1" t="s">
        <v>272</v>
      </c>
      <c r="S241" s="1" t="s">
        <v>275</v>
      </c>
      <c r="T241" s="1" t="s">
        <v>278</v>
      </c>
      <c r="U241" s="1">
        <v>28</v>
      </c>
      <c r="V241" s="1" t="b">
        <v>1</v>
      </c>
    </row>
    <row r="242" spans="1:22" x14ac:dyDescent="0.25">
      <c r="A242" s="162">
        <v>4</v>
      </c>
      <c r="B242" s="1">
        <v>9</v>
      </c>
      <c r="C242" s="1">
        <v>12</v>
      </c>
      <c r="E242" s="162" t="str">
        <f>INDEX(Table75[Power_list],Table76[[#This Row],[Item 1]])</f>
        <v>Boost +</v>
      </c>
      <c r="F242" s="162" t="str">
        <f>INDEX(Table75[Power_list],Table76[[#This Row],[Item 2]])</f>
        <v>Food +</v>
      </c>
      <c r="G242" s="162" t="str">
        <f>INDEX(Table75[Power_list],Table76[[#This Row],[Item 3]])</f>
        <v xml:space="preserve">Lower damage from poison </v>
      </c>
      <c r="H242" s="1">
        <f>INDEX($C$31:$C$44,MATCH(Table7678[[#This Row],[Item 2]],Table75[Power_list],0))+INDEX($C$31:$C$44,MATCH(Table7678[[#This Row],[Item 1]],Table75[Power_list],0))+INDEX($C$31:$C$44,MATCH(Table7678[[#This Row],[Item 3]],Table75[Power_list],0))</f>
        <v>16</v>
      </c>
      <c r="J242" s="1">
        <v>195</v>
      </c>
      <c r="K242" s="1" t="s">
        <v>275</v>
      </c>
      <c r="L242" s="1" t="s">
        <v>278</v>
      </c>
      <c r="M242" s="1" t="s">
        <v>299</v>
      </c>
      <c r="N242" s="1">
        <v>18</v>
      </c>
      <c r="O242" s="1" t="b">
        <f>(IFERROR(FIND("Lower",Table78[[#This Row],[Item 1]]),0)+IFERROR(FIND("Lower",Table78[[#This Row],[Item 2]]),0)+IFERROR(FIND("Lower",Table78[[#This Row],[Item 3]]),0))&lt;2</f>
        <v>1</v>
      </c>
      <c r="Q242" s="1">
        <v>195</v>
      </c>
      <c r="R242" s="1" t="s">
        <v>272</v>
      </c>
      <c r="S242" s="1" t="s">
        <v>277</v>
      </c>
      <c r="T242" s="1" t="s">
        <v>288</v>
      </c>
      <c r="U242" s="1">
        <v>28</v>
      </c>
      <c r="V242" s="1" t="b">
        <v>1</v>
      </c>
    </row>
    <row r="243" spans="1:22" x14ac:dyDescent="0.25">
      <c r="A243" s="162">
        <v>4</v>
      </c>
      <c r="B243" s="1">
        <v>9</v>
      </c>
      <c r="C243" s="1">
        <v>13</v>
      </c>
      <c r="E243" s="162" t="str">
        <f>INDEX(Table75[Power_list],Table76[[#This Row],[Item 1]])</f>
        <v>Boost +</v>
      </c>
      <c r="F243" s="162" t="str">
        <f>INDEX(Table75[Power_list],Table76[[#This Row],[Item 2]])</f>
        <v>Food +</v>
      </c>
      <c r="G243" s="162" t="str">
        <f>INDEX(Table75[Power_list],Table76[[#This Row],[Item 3]])</f>
        <v xml:space="preserve">Lower damage from arrows </v>
      </c>
      <c r="H243" s="1">
        <f>INDEX($C$31:$C$44,MATCH(Table7678[[#This Row],[Item 2]],Table75[Power_list],0))+INDEX($C$31:$C$44,MATCH(Table7678[[#This Row],[Item 1]],Table75[Power_list],0))+INDEX($C$31:$C$44,MATCH(Table7678[[#This Row],[Item 3]],Table75[Power_list],0))</f>
        <v>15</v>
      </c>
      <c r="J243" s="1">
        <v>196</v>
      </c>
      <c r="K243" s="1" t="s">
        <v>275</v>
      </c>
      <c r="L243" s="1" t="s">
        <v>278</v>
      </c>
      <c r="M243" s="1" t="s">
        <v>296</v>
      </c>
      <c r="N243" s="1">
        <v>17</v>
      </c>
      <c r="O243" s="1" t="b">
        <f>(IFERROR(FIND("Lower",Table78[[#This Row],[Item 1]]),0)+IFERROR(FIND("Lower",Table78[[#This Row],[Item 2]]),0)+IFERROR(FIND("Lower",Table78[[#This Row],[Item 3]]),0))&lt;2</f>
        <v>1</v>
      </c>
      <c r="Q243" s="1">
        <v>196</v>
      </c>
      <c r="R243" s="1" t="s">
        <v>273</v>
      </c>
      <c r="S243" s="1" t="s">
        <v>277</v>
      </c>
      <c r="T243" s="1" t="s">
        <v>278</v>
      </c>
      <c r="U243" s="1">
        <v>28</v>
      </c>
      <c r="V243" s="1" t="b">
        <v>1</v>
      </c>
    </row>
    <row r="244" spans="1:22" x14ac:dyDescent="0.25">
      <c r="A244" s="162">
        <v>4</v>
      </c>
      <c r="B244" s="1">
        <v>10</v>
      </c>
      <c r="C244" s="1">
        <v>11</v>
      </c>
      <c r="E244" s="162" t="str">
        <f>INDEX(Table75[Power_list],Table76[[#This Row],[Item 1]])</f>
        <v>Boost +</v>
      </c>
      <c r="F244" s="162" t="str">
        <f>INDEX(Table75[Power_list],Table76[[#This Row],[Item 2]])</f>
        <v xml:space="preserve">Lower damage from mines </v>
      </c>
      <c r="G244" s="162" t="str">
        <f>INDEX(Table75[Power_list],Table76[[#This Row],[Item 3]])</f>
        <v xml:space="preserve">Lower damage from ghosts </v>
      </c>
      <c r="H244" s="1">
        <f>INDEX($C$31:$C$44,MATCH(Table7678[[#This Row],[Item 2]],Table75[Power_list],0))+INDEX($C$31:$C$44,MATCH(Table7678[[#This Row],[Item 1]],Table75[Power_list],0))+INDEX($C$31:$C$44,MATCH(Table7678[[#This Row],[Item 3]],Table75[Power_list],0))</f>
        <v>16</v>
      </c>
      <c r="J244" s="1">
        <v>197</v>
      </c>
      <c r="K244" s="1" t="s">
        <v>275</v>
      </c>
      <c r="L244" s="1" t="s">
        <v>288</v>
      </c>
      <c r="M244" s="1" t="s">
        <v>294</v>
      </c>
      <c r="N244" s="1">
        <v>15</v>
      </c>
      <c r="O244" s="1" t="b">
        <f>(IFERROR(FIND("Lower",Table78[[#This Row],[Item 1]]),0)+IFERROR(FIND("Lower",Table78[[#This Row],[Item 2]]),0)+IFERROR(FIND("Lower",Table78[[#This Row],[Item 3]]),0))&lt;2</f>
        <v>1</v>
      </c>
      <c r="Q244" s="1">
        <v>197</v>
      </c>
      <c r="R244" s="1" t="s">
        <v>274</v>
      </c>
      <c r="S244" s="1" t="s">
        <v>276</v>
      </c>
      <c r="T244" s="1" t="s">
        <v>277</v>
      </c>
      <c r="U244" s="1">
        <v>28</v>
      </c>
      <c r="V244" s="1" t="b">
        <v>1</v>
      </c>
    </row>
    <row r="245" spans="1:22" x14ac:dyDescent="0.25">
      <c r="A245" s="162">
        <v>4</v>
      </c>
      <c r="B245" s="1">
        <v>10</v>
      </c>
      <c r="C245" s="1">
        <v>12</v>
      </c>
      <c r="E245" s="162" t="str">
        <f>INDEX(Table75[Power_list],Table76[[#This Row],[Item 1]])</f>
        <v>Boost +</v>
      </c>
      <c r="F245" s="162" t="str">
        <f>INDEX(Table75[Power_list],Table76[[#This Row],[Item 2]])</f>
        <v xml:space="preserve">Lower damage from mines </v>
      </c>
      <c r="G245" s="162" t="str">
        <f>INDEX(Table75[Power_list],Table76[[#This Row],[Item 3]])</f>
        <v xml:space="preserve">Lower damage from poison </v>
      </c>
      <c r="H245" s="1">
        <f>INDEX($C$31:$C$44,MATCH(Table7678[[#This Row],[Item 2]],Table75[Power_list],0))+INDEX($C$31:$C$44,MATCH(Table7678[[#This Row],[Item 1]],Table75[Power_list],0))+INDEX($C$31:$C$44,MATCH(Table7678[[#This Row],[Item 3]],Table75[Power_list],0))</f>
        <v>18</v>
      </c>
      <c r="J245" s="1">
        <v>198</v>
      </c>
      <c r="K245" s="1" t="s">
        <v>275</v>
      </c>
      <c r="L245" s="1" t="s">
        <v>288</v>
      </c>
      <c r="M245" s="1" t="s">
        <v>295</v>
      </c>
      <c r="N245" s="1">
        <v>10</v>
      </c>
      <c r="O245" s="1" t="b">
        <f>(IFERROR(FIND("Lower",Table78[[#This Row],[Item 1]]),0)+IFERROR(FIND("Lower",Table78[[#This Row],[Item 2]]),0)+IFERROR(FIND("Lower",Table78[[#This Row],[Item 3]]),0))&lt;2</f>
        <v>1</v>
      </c>
      <c r="Q245" s="1">
        <v>198</v>
      </c>
      <c r="R245" s="1" t="s">
        <v>271</v>
      </c>
      <c r="S245" s="1" t="s">
        <v>272</v>
      </c>
      <c r="T245" s="1" t="s">
        <v>288</v>
      </c>
      <c r="U245" s="1">
        <v>29</v>
      </c>
      <c r="V245" s="1" t="b">
        <v>1</v>
      </c>
    </row>
    <row r="246" spans="1:22" x14ac:dyDescent="0.25">
      <c r="A246" s="162">
        <v>4</v>
      </c>
      <c r="B246" s="1">
        <v>10</v>
      </c>
      <c r="C246" s="1">
        <v>13</v>
      </c>
      <c r="E246" s="162" t="str">
        <f>INDEX(Table75[Power_list],Table76[[#This Row],[Item 1]])</f>
        <v>Boost +</v>
      </c>
      <c r="F246" s="162" t="str">
        <f>INDEX(Table75[Power_list],Table76[[#This Row],[Item 2]])</f>
        <v xml:space="preserve">Lower damage from mines </v>
      </c>
      <c r="G246" s="162" t="str">
        <f>INDEX(Table75[Power_list],Table76[[#This Row],[Item 3]])</f>
        <v xml:space="preserve">Lower damage from arrows </v>
      </c>
      <c r="H246" s="1">
        <f>INDEX($C$31:$C$44,MATCH(Table7678[[#This Row],[Item 2]],Table75[Power_list],0))+INDEX($C$31:$C$44,MATCH(Table7678[[#This Row],[Item 1]],Table75[Power_list],0))+INDEX($C$31:$C$44,MATCH(Table7678[[#This Row],[Item 3]],Table75[Power_list],0))</f>
        <v>17</v>
      </c>
      <c r="J246" s="1">
        <v>199</v>
      </c>
      <c r="K246" s="1" t="s">
        <v>275</v>
      </c>
      <c r="L246" s="1" t="s">
        <v>288</v>
      </c>
      <c r="M246" s="1" t="s">
        <v>299</v>
      </c>
      <c r="N246" s="1">
        <v>12</v>
      </c>
      <c r="O246" s="1" t="b">
        <f>(IFERROR(FIND("Lower",Table78[[#This Row],[Item 1]]),0)+IFERROR(FIND("Lower",Table78[[#This Row],[Item 2]]),0)+IFERROR(FIND("Lower",Table78[[#This Row],[Item 3]]),0))&lt;2</f>
        <v>1</v>
      </c>
      <c r="Q246" s="1">
        <v>199</v>
      </c>
      <c r="R246" s="1" t="s">
        <v>271</v>
      </c>
      <c r="S246" s="1" t="s">
        <v>273</v>
      </c>
      <c r="T246" s="1" t="s">
        <v>278</v>
      </c>
      <c r="U246" s="1">
        <v>29</v>
      </c>
      <c r="V246" s="1" t="b">
        <v>1</v>
      </c>
    </row>
    <row r="247" spans="1:22" x14ac:dyDescent="0.25">
      <c r="A247" s="162">
        <v>4</v>
      </c>
      <c r="B247" s="1">
        <v>11</v>
      </c>
      <c r="C247" s="1">
        <v>12</v>
      </c>
      <c r="E247" s="162" t="str">
        <f>INDEX(Table75[Power_list],Table76[[#This Row],[Item 1]])</f>
        <v>Boost +</v>
      </c>
      <c r="F247" s="162" t="str">
        <f>INDEX(Table75[Power_list],Table76[[#This Row],[Item 2]])</f>
        <v xml:space="preserve">Lower damage from ghosts </v>
      </c>
      <c r="G247" s="162" t="str">
        <f>INDEX(Table75[Power_list],Table76[[#This Row],[Item 3]])</f>
        <v xml:space="preserve">Lower damage from poison </v>
      </c>
      <c r="H247" s="1">
        <f>INDEX($C$31:$C$44,MATCH(Table7678[[#This Row],[Item 2]],Table75[Power_list],0))+INDEX($C$31:$C$44,MATCH(Table7678[[#This Row],[Item 1]],Table75[Power_list],0))+INDEX($C$31:$C$44,MATCH(Table7678[[#This Row],[Item 3]],Table75[Power_list],0))</f>
        <v>13</v>
      </c>
      <c r="J247" s="1">
        <v>200</v>
      </c>
      <c r="K247" s="1" t="s">
        <v>275</v>
      </c>
      <c r="L247" s="1" t="s">
        <v>288</v>
      </c>
      <c r="M247" s="1" t="s">
        <v>296</v>
      </c>
      <c r="N247" s="1">
        <v>11</v>
      </c>
      <c r="O247" s="1" t="b">
        <f>(IFERROR(FIND("Lower",Table78[[#This Row],[Item 1]]),0)+IFERROR(FIND("Lower",Table78[[#This Row],[Item 2]]),0)+IFERROR(FIND("Lower",Table78[[#This Row],[Item 3]]),0))&lt;2</f>
        <v>1</v>
      </c>
      <c r="Q247" s="1">
        <v>200</v>
      </c>
      <c r="R247" s="1" t="s">
        <v>271</v>
      </c>
      <c r="S247" s="1" t="s">
        <v>274</v>
      </c>
      <c r="T247" s="1" t="s">
        <v>276</v>
      </c>
      <c r="U247" s="1">
        <v>29</v>
      </c>
      <c r="V247" s="1" t="b">
        <v>1</v>
      </c>
    </row>
    <row r="248" spans="1:22" x14ac:dyDescent="0.25">
      <c r="A248" s="162">
        <v>4</v>
      </c>
      <c r="B248" s="1">
        <v>11</v>
      </c>
      <c r="C248" s="1">
        <v>13</v>
      </c>
      <c r="E248" s="162" t="str">
        <f>INDEX(Table75[Power_list],Table76[[#This Row],[Item 1]])</f>
        <v>Boost +</v>
      </c>
      <c r="F248" s="162" t="str">
        <f>INDEX(Table75[Power_list],Table76[[#This Row],[Item 2]])</f>
        <v xml:space="preserve">Lower damage from ghosts </v>
      </c>
      <c r="G248" s="162" t="str">
        <f>INDEX(Table75[Power_list],Table76[[#This Row],[Item 3]])</f>
        <v xml:space="preserve">Lower damage from arrows </v>
      </c>
      <c r="H248" s="1">
        <f>INDEX($C$31:$C$44,MATCH(Table7678[[#This Row],[Item 2]],Table75[Power_list],0))+INDEX($C$31:$C$44,MATCH(Table7678[[#This Row],[Item 1]],Table75[Power_list],0))+INDEX($C$31:$C$44,MATCH(Table7678[[#This Row],[Item 3]],Table75[Power_list],0))</f>
        <v>12</v>
      </c>
      <c r="J248" s="1">
        <v>201</v>
      </c>
      <c r="K248" s="1" t="s">
        <v>276</v>
      </c>
      <c r="L248" s="1" t="s">
        <v>277</v>
      </c>
      <c r="M248" s="1" t="s">
        <v>278</v>
      </c>
      <c r="N248" s="1">
        <v>29</v>
      </c>
      <c r="O248" s="1" t="b">
        <f>(IFERROR(FIND("Lower",Table78[[#This Row],[Item 1]]),0)+IFERROR(FIND("Lower",Table78[[#This Row],[Item 2]]),0)+IFERROR(FIND("Lower",Table78[[#This Row],[Item 3]]),0))&lt;2</f>
        <v>1</v>
      </c>
      <c r="Q248" s="1">
        <v>201</v>
      </c>
      <c r="R248" s="1" t="s">
        <v>271</v>
      </c>
      <c r="S248" s="1" t="s">
        <v>277</v>
      </c>
      <c r="T248" s="1" t="s">
        <v>294</v>
      </c>
      <c r="U248" s="1">
        <v>29</v>
      </c>
      <c r="V248" s="1" t="b">
        <v>1</v>
      </c>
    </row>
    <row r="249" spans="1:22" x14ac:dyDescent="0.25">
      <c r="A249" s="162">
        <v>4</v>
      </c>
      <c r="B249" s="1">
        <v>12</v>
      </c>
      <c r="C249" s="1">
        <v>13</v>
      </c>
      <c r="E249" s="162" t="str">
        <f>INDEX(Table75[Power_list],Table76[[#This Row],[Item 1]])</f>
        <v>Boost +</v>
      </c>
      <c r="F249" s="162" t="str">
        <f>INDEX(Table75[Power_list],Table76[[#This Row],[Item 2]])</f>
        <v xml:space="preserve">Lower damage from poison </v>
      </c>
      <c r="G249" s="162" t="str">
        <f>INDEX(Table75[Power_list],Table76[[#This Row],[Item 3]])</f>
        <v xml:space="preserve">Lower damage from arrows </v>
      </c>
      <c r="H249" s="1">
        <f>INDEX($C$31:$C$44,MATCH(Table7678[[#This Row],[Item 2]],Table75[Power_list],0))+INDEX($C$31:$C$44,MATCH(Table7678[[#This Row],[Item 1]],Table75[Power_list],0))+INDEX($C$31:$C$44,MATCH(Table7678[[#This Row],[Item 3]],Table75[Power_list],0))</f>
        <v>14</v>
      </c>
      <c r="J249" s="1">
        <v>202</v>
      </c>
      <c r="K249" s="1" t="s">
        <v>276</v>
      </c>
      <c r="L249" s="1" t="s">
        <v>277</v>
      </c>
      <c r="M249" s="1" t="s">
        <v>288</v>
      </c>
      <c r="N249" s="1">
        <v>23</v>
      </c>
      <c r="O249" s="1" t="b">
        <f>(IFERROR(FIND("Lower",Table78[[#This Row],[Item 1]]),0)+IFERROR(FIND("Lower",Table78[[#This Row],[Item 2]]),0)+IFERROR(FIND("Lower",Table78[[#This Row],[Item 3]]),0))&lt;2</f>
        <v>1</v>
      </c>
      <c r="Q249" s="1">
        <v>202</v>
      </c>
      <c r="R249" s="1" t="s">
        <v>272</v>
      </c>
      <c r="S249" s="1" t="s">
        <v>273</v>
      </c>
      <c r="T249" s="1" t="s">
        <v>274</v>
      </c>
      <c r="U249" s="1">
        <v>29</v>
      </c>
      <c r="V249" s="1" t="b">
        <v>1</v>
      </c>
    </row>
    <row r="250" spans="1:22" x14ac:dyDescent="0.25">
      <c r="A250" s="162">
        <v>5</v>
      </c>
      <c r="B250" s="1">
        <v>6</v>
      </c>
      <c r="C250" s="1">
        <v>7</v>
      </c>
      <c r="E250" s="162" t="str">
        <f>INDEX(Table75[Power_list],Table76[[#This Row],[Item 1]])</f>
        <v>Fire (size) +</v>
      </c>
      <c r="F250" s="162" t="str">
        <f>INDEX(Table75[Power_list],Table76[[#This Row],[Item 2]])</f>
        <v>Fire Rush Time +</v>
      </c>
      <c r="G250" s="162" t="str">
        <f>INDEX(Table75[Power_list],Table76[[#This Row],[Item 3]])</f>
        <v>SC +</v>
      </c>
      <c r="H250" s="1">
        <f>INDEX($C$31:$C$44,MATCH(Table7678[[#This Row],[Item 2]],Table75[Power_list],0))+INDEX($C$31:$C$44,MATCH(Table7678[[#This Row],[Item 1]],Table75[Power_list],0))+INDEX($C$31:$C$44,MATCH(Table7678[[#This Row],[Item 3]],Table75[Power_list],0))</f>
        <v>24</v>
      </c>
      <c r="J250" s="1">
        <v>203</v>
      </c>
      <c r="K250" s="1" t="s">
        <v>276</v>
      </c>
      <c r="L250" s="1" t="s">
        <v>277</v>
      </c>
      <c r="M250" s="1" t="s">
        <v>294</v>
      </c>
      <c r="N250" s="1">
        <v>25</v>
      </c>
      <c r="O250" s="1" t="b">
        <f>(IFERROR(FIND("Lower",Table78[[#This Row],[Item 1]]),0)+IFERROR(FIND("Lower",Table78[[#This Row],[Item 2]]),0)+IFERROR(FIND("Lower",Table78[[#This Row],[Item 3]]),0))&lt;2</f>
        <v>1</v>
      </c>
      <c r="Q250" s="1">
        <v>203</v>
      </c>
      <c r="R250" s="1" t="s">
        <v>272</v>
      </c>
      <c r="S250" s="1" t="s">
        <v>275</v>
      </c>
      <c r="T250" s="1" t="s">
        <v>277</v>
      </c>
      <c r="U250" s="1">
        <v>29</v>
      </c>
      <c r="V250" s="1" t="b">
        <v>1</v>
      </c>
    </row>
    <row r="251" spans="1:22" x14ac:dyDescent="0.25">
      <c r="A251" s="162">
        <v>5</v>
      </c>
      <c r="B251" s="1">
        <v>6</v>
      </c>
      <c r="C251" s="1">
        <v>8</v>
      </c>
      <c r="E251" s="162" t="str">
        <f>INDEX(Table75[Power_list],Table76[[#This Row],[Item 1]])</f>
        <v>Fire (size) +</v>
      </c>
      <c r="F251" s="162" t="str">
        <f>INDEX(Table75[Power_list],Table76[[#This Row],[Item 2]])</f>
        <v>Fire Rush Time +</v>
      </c>
      <c r="G251" s="162" t="str">
        <f>INDEX(Table75[Power_list],Table76[[#This Row],[Item 3]])</f>
        <v>Score +</v>
      </c>
      <c r="H251" s="1">
        <f>INDEX($C$31:$C$44,MATCH(Table7678[[#This Row],[Item 2]],Table75[Power_list],0))+INDEX($C$31:$C$44,MATCH(Table7678[[#This Row],[Item 1]],Table75[Power_list],0))+INDEX($C$31:$C$44,MATCH(Table7678[[#This Row],[Item 3]],Table75[Power_list],0))</f>
        <v>23</v>
      </c>
      <c r="J251" s="1">
        <v>204</v>
      </c>
      <c r="K251" s="1" t="s">
        <v>276</v>
      </c>
      <c r="L251" s="1" t="s">
        <v>277</v>
      </c>
      <c r="M251" s="1" t="s">
        <v>295</v>
      </c>
      <c r="N251" s="1">
        <v>20</v>
      </c>
      <c r="O251" s="1" t="b">
        <f>(IFERROR(FIND("Lower",Table78[[#This Row],[Item 1]]),0)+IFERROR(FIND("Lower",Table78[[#This Row],[Item 2]]),0)+IFERROR(FIND("Lower",Table78[[#This Row],[Item 3]]),0))&lt;2</f>
        <v>1</v>
      </c>
      <c r="Q251" s="1">
        <v>204</v>
      </c>
      <c r="R251" s="1" t="s">
        <v>272</v>
      </c>
      <c r="S251" s="1" t="s">
        <v>278</v>
      </c>
      <c r="T251" s="1" t="s">
        <v>294</v>
      </c>
      <c r="U251" s="1">
        <v>29</v>
      </c>
      <c r="V251" s="1" t="b">
        <v>1</v>
      </c>
    </row>
    <row r="252" spans="1:22" x14ac:dyDescent="0.25">
      <c r="A252" s="162">
        <v>5</v>
      </c>
      <c r="B252" s="1">
        <v>6</v>
      </c>
      <c r="C252" s="1">
        <v>9</v>
      </c>
      <c r="E252" s="162" t="str">
        <f>INDEX(Table75[Power_list],Table76[[#This Row],[Item 1]])</f>
        <v>Fire (size) +</v>
      </c>
      <c r="F252" s="162" t="str">
        <f>INDEX(Table75[Power_list],Table76[[#This Row],[Item 2]])</f>
        <v>Fire Rush Time +</v>
      </c>
      <c r="G252" s="162" t="str">
        <f>INDEX(Table75[Power_list],Table76[[#This Row],[Item 3]])</f>
        <v>Food +</v>
      </c>
      <c r="H252" s="1">
        <f>INDEX($C$31:$C$44,MATCH(Table7678[[#This Row],[Item 2]],Table75[Power_list],0))+INDEX($C$31:$C$44,MATCH(Table7678[[#This Row],[Item 1]],Table75[Power_list],0))+INDEX($C$31:$C$44,MATCH(Table7678[[#This Row],[Item 3]],Table75[Power_list],0))</f>
        <v>17</v>
      </c>
      <c r="J252" s="1">
        <v>205</v>
      </c>
      <c r="K252" s="1" t="s">
        <v>276</v>
      </c>
      <c r="L252" s="1" t="s">
        <v>277</v>
      </c>
      <c r="M252" s="1" t="s">
        <v>299</v>
      </c>
      <c r="N252" s="1">
        <v>22</v>
      </c>
      <c r="O252" s="1" t="b">
        <f>(IFERROR(FIND("Lower",Table78[[#This Row],[Item 1]]),0)+IFERROR(FIND("Lower",Table78[[#This Row],[Item 2]]),0)+IFERROR(FIND("Lower",Table78[[#This Row],[Item 3]]),0))&lt;2</f>
        <v>1</v>
      </c>
      <c r="Q252" s="1">
        <v>205</v>
      </c>
      <c r="R252" s="1" t="s">
        <v>276</v>
      </c>
      <c r="S252" s="1" t="s">
        <v>277</v>
      </c>
      <c r="T252" s="1" t="s">
        <v>278</v>
      </c>
      <c r="U252" s="1">
        <v>29</v>
      </c>
      <c r="V252" s="1" t="b">
        <v>1</v>
      </c>
    </row>
    <row r="253" spans="1:22" x14ac:dyDescent="0.25">
      <c r="A253" s="162">
        <v>5</v>
      </c>
      <c r="B253" s="1">
        <v>6</v>
      </c>
      <c r="C253" s="1">
        <v>10</v>
      </c>
      <c r="E253" s="162" t="str">
        <f>INDEX(Table75[Power_list],Table76[[#This Row],[Item 1]])</f>
        <v>Fire (size) +</v>
      </c>
      <c r="F253" s="162" t="str">
        <f>INDEX(Table75[Power_list],Table76[[#This Row],[Item 2]])</f>
        <v>Fire Rush Time +</v>
      </c>
      <c r="G253" s="162" t="str">
        <f>INDEX(Table75[Power_list],Table76[[#This Row],[Item 3]])</f>
        <v xml:space="preserve">Lower damage from mines </v>
      </c>
      <c r="H253" s="1">
        <f>INDEX($C$31:$C$44,MATCH(Table7678[[#This Row],[Item 2]],Table75[Power_list],0))+INDEX($C$31:$C$44,MATCH(Table7678[[#This Row],[Item 1]],Table75[Power_list],0))+INDEX($C$31:$C$44,MATCH(Table7678[[#This Row],[Item 3]],Table75[Power_list],0))</f>
        <v>19</v>
      </c>
      <c r="J253" s="1">
        <v>206</v>
      </c>
      <c r="K253" s="1" t="s">
        <v>276</v>
      </c>
      <c r="L253" s="1" t="s">
        <v>277</v>
      </c>
      <c r="M253" s="1" t="s">
        <v>296</v>
      </c>
      <c r="N253" s="1">
        <v>21</v>
      </c>
      <c r="O253" s="1" t="b">
        <f>(IFERROR(FIND("Lower",Table78[[#This Row],[Item 1]]),0)+IFERROR(FIND("Lower",Table78[[#This Row],[Item 2]]),0)+IFERROR(FIND("Lower",Table78[[#This Row],[Item 3]]),0))&lt;2</f>
        <v>1</v>
      </c>
      <c r="Q253" s="1">
        <v>206</v>
      </c>
      <c r="R253" s="1" t="s">
        <v>271</v>
      </c>
      <c r="S253" s="1" t="s">
        <v>272</v>
      </c>
      <c r="T253" s="1" t="s">
        <v>275</v>
      </c>
      <c r="U253" s="1">
        <v>30</v>
      </c>
      <c r="V253" s="1" t="b">
        <v>1</v>
      </c>
    </row>
    <row r="254" spans="1:22" x14ac:dyDescent="0.25">
      <c r="A254" s="162">
        <v>5</v>
      </c>
      <c r="B254" s="1">
        <v>6</v>
      </c>
      <c r="C254" s="1">
        <v>11</v>
      </c>
      <c r="E254" s="162" t="str">
        <f>INDEX(Table75[Power_list],Table76[[#This Row],[Item 1]])</f>
        <v>Fire (size) +</v>
      </c>
      <c r="F254" s="162" t="str">
        <f>INDEX(Table75[Power_list],Table76[[#This Row],[Item 2]])</f>
        <v>Fire Rush Time +</v>
      </c>
      <c r="G254" s="162" t="str">
        <f>INDEX(Table75[Power_list],Table76[[#This Row],[Item 3]])</f>
        <v xml:space="preserve">Lower damage from ghosts </v>
      </c>
      <c r="H254" s="1">
        <f>INDEX($C$31:$C$44,MATCH(Table7678[[#This Row],[Item 2]],Table75[Power_list],0))+INDEX($C$31:$C$44,MATCH(Table7678[[#This Row],[Item 1]],Table75[Power_list],0))+INDEX($C$31:$C$44,MATCH(Table7678[[#This Row],[Item 3]],Table75[Power_list],0))</f>
        <v>14</v>
      </c>
      <c r="J254" s="1">
        <v>207</v>
      </c>
      <c r="K254" s="1" t="s">
        <v>276</v>
      </c>
      <c r="L254" s="1" t="s">
        <v>278</v>
      </c>
      <c r="M254" s="1" t="s">
        <v>288</v>
      </c>
      <c r="N254" s="1">
        <v>22</v>
      </c>
      <c r="O254" s="1" t="b">
        <f>(IFERROR(FIND("Lower",Table78[[#This Row],[Item 1]]),0)+IFERROR(FIND("Lower",Table78[[#This Row],[Item 2]]),0)+IFERROR(FIND("Lower",Table78[[#This Row],[Item 3]]),0))&lt;2</f>
        <v>1</v>
      </c>
      <c r="Q254" s="1">
        <v>207</v>
      </c>
      <c r="R254" s="1" t="s">
        <v>271</v>
      </c>
      <c r="S254" s="1" t="s">
        <v>273</v>
      </c>
      <c r="T254" s="1" t="s">
        <v>277</v>
      </c>
      <c r="U254" s="1">
        <v>30</v>
      </c>
      <c r="V254" s="1" t="b">
        <v>1</v>
      </c>
    </row>
    <row r="255" spans="1:22" x14ac:dyDescent="0.25">
      <c r="A255" s="162">
        <v>5</v>
      </c>
      <c r="B255" s="1">
        <v>6</v>
      </c>
      <c r="C255" s="1">
        <v>12</v>
      </c>
      <c r="E255" s="162" t="str">
        <f>INDEX(Table75[Power_list],Table76[[#This Row],[Item 1]])</f>
        <v>Fire (size) +</v>
      </c>
      <c r="F255" s="162" t="str">
        <f>INDEX(Table75[Power_list],Table76[[#This Row],[Item 2]])</f>
        <v>Fire Rush Time +</v>
      </c>
      <c r="G255" s="162" t="str">
        <f>INDEX(Table75[Power_list],Table76[[#This Row],[Item 3]])</f>
        <v xml:space="preserve">Lower damage from poison </v>
      </c>
      <c r="H255" s="1">
        <f>INDEX($C$31:$C$44,MATCH(Table7678[[#This Row],[Item 2]],Table75[Power_list],0))+INDEX($C$31:$C$44,MATCH(Table7678[[#This Row],[Item 1]],Table75[Power_list],0))+INDEX($C$31:$C$44,MATCH(Table7678[[#This Row],[Item 3]],Table75[Power_list],0))</f>
        <v>16</v>
      </c>
      <c r="J255" s="1">
        <v>208</v>
      </c>
      <c r="K255" s="1" t="s">
        <v>276</v>
      </c>
      <c r="L255" s="1" t="s">
        <v>278</v>
      </c>
      <c r="M255" s="1" t="s">
        <v>294</v>
      </c>
      <c r="N255" s="1">
        <v>24</v>
      </c>
      <c r="O255" s="1" t="b">
        <f>(IFERROR(FIND("Lower",Table78[[#This Row],[Item 1]]),0)+IFERROR(FIND("Lower",Table78[[#This Row],[Item 2]]),0)+IFERROR(FIND("Lower",Table78[[#This Row],[Item 3]]),0))&lt;2</f>
        <v>1</v>
      </c>
      <c r="Q255" s="1">
        <v>208</v>
      </c>
      <c r="R255" s="1" t="s">
        <v>271</v>
      </c>
      <c r="S255" s="1" t="s">
        <v>276</v>
      </c>
      <c r="T255" s="1" t="s">
        <v>278</v>
      </c>
      <c r="U255" s="1">
        <v>30</v>
      </c>
      <c r="V255" s="1" t="b">
        <v>1</v>
      </c>
    </row>
    <row r="256" spans="1:22" x14ac:dyDescent="0.25">
      <c r="A256" s="162">
        <v>5</v>
      </c>
      <c r="B256" s="1">
        <v>6</v>
      </c>
      <c r="C256" s="1">
        <v>13</v>
      </c>
      <c r="E256" s="162" t="str">
        <f>INDEX(Table75[Power_list],Table76[[#This Row],[Item 1]])</f>
        <v>Fire (size) +</v>
      </c>
      <c r="F256" s="162" t="str">
        <f>INDEX(Table75[Power_list],Table76[[#This Row],[Item 2]])</f>
        <v>Fire Rush Time +</v>
      </c>
      <c r="G256" s="162" t="str">
        <f>INDEX(Table75[Power_list],Table76[[#This Row],[Item 3]])</f>
        <v xml:space="preserve">Lower damage from arrows </v>
      </c>
      <c r="H256" s="1">
        <f>INDEX($C$31:$C$44,MATCH(Table7678[[#This Row],[Item 2]],Table75[Power_list],0))+INDEX($C$31:$C$44,MATCH(Table7678[[#This Row],[Item 1]],Table75[Power_list],0))+INDEX($C$31:$C$44,MATCH(Table7678[[#This Row],[Item 3]],Table75[Power_list],0))</f>
        <v>15</v>
      </c>
      <c r="J256" s="1">
        <v>209</v>
      </c>
      <c r="K256" s="1" t="s">
        <v>276</v>
      </c>
      <c r="L256" s="1" t="s">
        <v>278</v>
      </c>
      <c r="M256" s="1" t="s">
        <v>295</v>
      </c>
      <c r="N256" s="1">
        <v>19</v>
      </c>
      <c r="O256" s="1" t="b">
        <f>(IFERROR(FIND("Lower",Table78[[#This Row],[Item 1]]),0)+IFERROR(FIND("Lower",Table78[[#This Row],[Item 2]]),0)+IFERROR(FIND("Lower",Table78[[#This Row],[Item 3]]),0))&lt;2</f>
        <v>1</v>
      </c>
      <c r="Q256" s="1">
        <v>209</v>
      </c>
      <c r="R256" s="1" t="s">
        <v>272</v>
      </c>
      <c r="S256" s="1" t="s">
        <v>273</v>
      </c>
      <c r="T256" s="1" t="s">
        <v>278</v>
      </c>
      <c r="U256" s="1">
        <v>30</v>
      </c>
      <c r="V256" s="1" t="b">
        <v>1</v>
      </c>
    </row>
    <row r="257" spans="1:22" x14ac:dyDescent="0.25">
      <c r="A257" s="162">
        <v>5</v>
      </c>
      <c r="B257" s="1">
        <v>7</v>
      </c>
      <c r="C257" s="1">
        <v>8</v>
      </c>
      <c r="E257" s="162" t="str">
        <f>INDEX(Table75[Power_list],Table76[[#This Row],[Item 1]])</f>
        <v>Fire (size) +</v>
      </c>
      <c r="F257" s="162" t="str">
        <f>INDEX(Table75[Power_list],Table76[[#This Row],[Item 2]])</f>
        <v>SC +</v>
      </c>
      <c r="G257" s="162" t="str">
        <f>INDEX(Table75[Power_list],Table76[[#This Row],[Item 3]])</f>
        <v>Score +</v>
      </c>
      <c r="H257" s="1">
        <f>INDEX($C$31:$C$44,MATCH(Table7678[[#This Row],[Item 2]],Table75[Power_list],0))+INDEX($C$31:$C$44,MATCH(Table7678[[#This Row],[Item 1]],Table75[Power_list],0))+INDEX($C$31:$C$44,MATCH(Table7678[[#This Row],[Item 3]],Table75[Power_list],0))</f>
        <v>26</v>
      </c>
      <c r="J257" s="1">
        <v>210</v>
      </c>
      <c r="K257" s="1" t="s">
        <v>276</v>
      </c>
      <c r="L257" s="1" t="s">
        <v>278</v>
      </c>
      <c r="M257" s="1" t="s">
        <v>299</v>
      </c>
      <c r="N257" s="1">
        <v>21</v>
      </c>
      <c r="O257" s="1" t="b">
        <f>(IFERROR(FIND("Lower",Table78[[#This Row],[Item 1]]),0)+IFERROR(FIND("Lower",Table78[[#This Row],[Item 2]]),0)+IFERROR(FIND("Lower",Table78[[#This Row],[Item 3]]),0))&lt;2</f>
        <v>1</v>
      </c>
      <c r="Q257" s="1">
        <v>210</v>
      </c>
      <c r="R257" s="1" t="s">
        <v>272</v>
      </c>
      <c r="S257" s="1" t="s">
        <v>274</v>
      </c>
      <c r="T257" s="1" t="s">
        <v>276</v>
      </c>
      <c r="U257" s="1">
        <v>30</v>
      </c>
      <c r="V257" s="1" t="b">
        <v>1</v>
      </c>
    </row>
    <row r="258" spans="1:22" x14ac:dyDescent="0.25">
      <c r="A258" s="162">
        <v>5</v>
      </c>
      <c r="B258" s="1">
        <v>7</v>
      </c>
      <c r="C258" s="1">
        <v>9</v>
      </c>
      <c r="E258" s="162" t="str">
        <f>INDEX(Table75[Power_list],Table76[[#This Row],[Item 1]])</f>
        <v>Fire (size) +</v>
      </c>
      <c r="F258" s="162" t="str">
        <f>INDEX(Table75[Power_list],Table76[[#This Row],[Item 2]])</f>
        <v>SC +</v>
      </c>
      <c r="G258" s="162" t="str">
        <f>INDEX(Table75[Power_list],Table76[[#This Row],[Item 3]])</f>
        <v>Food +</v>
      </c>
      <c r="H258" s="1">
        <f>INDEX($C$31:$C$44,MATCH(Table7678[[#This Row],[Item 2]],Table75[Power_list],0))+INDEX($C$31:$C$44,MATCH(Table7678[[#This Row],[Item 1]],Table75[Power_list],0))+INDEX($C$31:$C$44,MATCH(Table7678[[#This Row],[Item 3]],Table75[Power_list],0))</f>
        <v>20</v>
      </c>
      <c r="J258" s="1">
        <v>211</v>
      </c>
      <c r="K258" s="1" t="s">
        <v>276</v>
      </c>
      <c r="L258" s="1" t="s">
        <v>278</v>
      </c>
      <c r="M258" s="1" t="s">
        <v>296</v>
      </c>
      <c r="N258" s="1">
        <v>20</v>
      </c>
      <c r="O258" s="1" t="b">
        <f>(IFERROR(FIND("Lower",Table78[[#This Row],[Item 1]]),0)+IFERROR(FIND("Lower",Table78[[#This Row],[Item 2]]),0)+IFERROR(FIND("Lower",Table78[[#This Row],[Item 3]]),0))&lt;2</f>
        <v>1</v>
      </c>
      <c r="Q258" s="1">
        <v>211</v>
      </c>
      <c r="R258" s="1" t="s">
        <v>272</v>
      </c>
      <c r="S258" s="1" t="s">
        <v>277</v>
      </c>
      <c r="T258" s="1" t="s">
        <v>294</v>
      </c>
      <c r="U258" s="1">
        <v>30</v>
      </c>
      <c r="V258" s="1" t="b">
        <v>1</v>
      </c>
    </row>
    <row r="259" spans="1:22" x14ac:dyDescent="0.25">
      <c r="A259" s="162">
        <v>5</v>
      </c>
      <c r="B259" s="1">
        <v>7</v>
      </c>
      <c r="C259" s="1">
        <v>10</v>
      </c>
      <c r="E259" s="162" t="str">
        <f>INDEX(Table75[Power_list],Table76[[#This Row],[Item 1]])</f>
        <v>Fire (size) +</v>
      </c>
      <c r="F259" s="162" t="str">
        <f>INDEX(Table75[Power_list],Table76[[#This Row],[Item 2]])</f>
        <v>SC +</v>
      </c>
      <c r="G259" s="162" t="str">
        <f>INDEX(Table75[Power_list],Table76[[#This Row],[Item 3]])</f>
        <v xml:space="preserve">Lower damage from mines </v>
      </c>
      <c r="H259" s="1">
        <f>INDEX($C$31:$C$44,MATCH(Table7678[[#This Row],[Item 2]],Table75[Power_list],0))+INDEX($C$31:$C$44,MATCH(Table7678[[#This Row],[Item 1]],Table75[Power_list],0))+INDEX($C$31:$C$44,MATCH(Table7678[[#This Row],[Item 3]],Table75[Power_list],0))</f>
        <v>22</v>
      </c>
      <c r="J259" s="1">
        <v>212</v>
      </c>
      <c r="K259" s="1" t="s">
        <v>276</v>
      </c>
      <c r="L259" s="1" t="s">
        <v>288</v>
      </c>
      <c r="M259" s="1" t="s">
        <v>294</v>
      </c>
      <c r="N259" s="1">
        <v>18</v>
      </c>
      <c r="O259" s="1" t="b">
        <f>(IFERROR(FIND("Lower",Table78[[#This Row],[Item 1]]),0)+IFERROR(FIND("Lower",Table78[[#This Row],[Item 2]]),0)+IFERROR(FIND("Lower",Table78[[#This Row],[Item 3]]),0))&lt;2</f>
        <v>1</v>
      </c>
      <c r="Q259" s="1">
        <v>212</v>
      </c>
      <c r="R259" s="1" t="s">
        <v>274</v>
      </c>
      <c r="S259" s="1" t="s">
        <v>277</v>
      </c>
      <c r="T259" s="1" t="s">
        <v>278</v>
      </c>
      <c r="U259" s="1">
        <v>30</v>
      </c>
      <c r="V259" s="1" t="b">
        <v>1</v>
      </c>
    </row>
    <row r="260" spans="1:22" x14ac:dyDescent="0.25">
      <c r="A260" s="162">
        <v>5</v>
      </c>
      <c r="B260" s="1">
        <v>7</v>
      </c>
      <c r="C260" s="1">
        <v>11</v>
      </c>
      <c r="E260" s="162" t="str">
        <f>INDEX(Table75[Power_list],Table76[[#This Row],[Item 1]])</f>
        <v>Fire (size) +</v>
      </c>
      <c r="F260" s="162" t="str">
        <f>INDEX(Table75[Power_list],Table76[[#This Row],[Item 2]])</f>
        <v>SC +</v>
      </c>
      <c r="G260" s="162" t="str">
        <f>INDEX(Table75[Power_list],Table76[[#This Row],[Item 3]])</f>
        <v xml:space="preserve">Lower damage from ghosts </v>
      </c>
      <c r="H260" s="1">
        <f>INDEX($C$31:$C$44,MATCH(Table7678[[#This Row],[Item 2]],Table75[Power_list],0))+INDEX($C$31:$C$44,MATCH(Table7678[[#This Row],[Item 1]],Table75[Power_list],0))+INDEX($C$31:$C$44,MATCH(Table7678[[#This Row],[Item 3]],Table75[Power_list],0))</f>
        <v>17</v>
      </c>
      <c r="J260" s="1">
        <v>213</v>
      </c>
      <c r="K260" s="1" t="s">
        <v>276</v>
      </c>
      <c r="L260" s="1" t="s">
        <v>288</v>
      </c>
      <c r="M260" s="1" t="s">
        <v>295</v>
      </c>
      <c r="N260" s="1">
        <v>13</v>
      </c>
      <c r="O260" s="1" t="b">
        <f>(IFERROR(FIND("Lower",Table78[[#This Row],[Item 1]]),0)+IFERROR(FIND("Lower",Table78[[#This Row],[Item 2]]),0)+IFERROR(FIND("Lower",Table78[[#This Row],[Item 3]]),0))&lt;2</f>
        <v>1</v>
      </c>
      <c r="Q260" s="1">
        <v>213</v>
      </c>
      <c r="R260" s="1" t="s">
        <v>271</v>
      </c>
      <c r="S260" s="1" t="s">
        <v>272</v>
      </c>
      <c r="T260" s="1" t="s">
        <v>294</v>
      </c>
      <c r="U260" s="1">
        <v>31</v>
      </c>
      <c r="V260" s="1" t="b">
        <v>1</v>
      </c>
    </row>
    <row r="261" spans="1:22" x14ac:dyDescent="0.25">
      <c r="A261" s="162">
        <v>5</v>
      </c>
      <c r="B261" s="1">
        <v>7</v>
      </c>
      <c r="C261" s="1">
        <v>12</v>
      </c>
      <c r="E261" s="162" t="str">
        <f>INDEX(Table75[Power_list],Table76[[#This Row],[Item 1]])</f>
        <v>Fire (size) +</v>
      </c>
      <c r="F261" s="162" t="str">
        <f>INDEX(Table75[Power_list],Table76[[#This Row],[Item 2]])</f>
        <v>SC +</v>
      </c>
      <c r="G261" s="162" t="str">
        <f>INDEX(Table75[Power_list],Table76[[#This Row],[Item 3]])</f>
        <v xml:space="preserve">Lower damage from poison </v>
      </c>
      <c r="H261" s="1">
        <f>INDEX($C$31:$C$44,MATCH(Table7678[[#This Row],[Item 2]],Table75[Power_list],0))+INDEX($C$31:$C$44,MATCH(Table7678[[#This Row],[Item 1]],Table75[Power_list],0))+INDEX($C$31:$C$44,MATCH(Table7678[[#This Row],[Item 3]],Table75[Power_list],0))</f>
        <v>19</v>
      </c>
      <c r="J261" s="1">
        <v>214</v>
      </c>
      <c r="K261" s="1" t="s">
        <v>276</v>
      </c>
      <c r="L261" s="1" t="s">
        <v>288</v>
      </c>
      <c r="M261" s="1" t="s">
        <v>299</v>
      </c>
      <c r="N261" s="1">
        <v>15</v>
      </c>
      <c r="O261" s="1" t="b">
        <f>(IFERROR(FIND("Lower",Table78[[#This Row],[Item 1]]),0)+IFERROR(FIND("Lower",Table78[[#This Row],[Item 2]]),0)+IFERROR(FIND("Lower",Table78[[#This Row],[Item 3]]),0))&lt;2</f>
        <v>1</v>
      </c>
      <c r="Q261" s="1">
        <v>214</v>
      </c>
      <c r="R261" s="1" t="s">
        <v>271</v>
      </c>
      <c r="S261" s="1" t="s">
        <v>274</v>
      </c>
      <c r="T261" s="1" t="s">
        <v>278</v>
      </c>
      <c r="U261" s="1">
        <v>31</v>
      </c>
      <c r="V261" s="1" t="b">
        <v>1</v>
      </c>
    </row>
    <row r="262" spans="1:22" x14ac:dyDescent="0.25">
      <c r="A262" s="162">
        <v>5</v>
      </c>
      <c r="B262" s="1">
        <v>7</v>
      </c>
      <c r="C262" s="1">
        <v>13</v>
      </c>
      <c r="E262" s="162" t="str">
        <f>INDEX(Table75[Power_list],Table76[[#This Row],[Item 1]])</f>
        <v>Fire (size) +</v>
      </c>
      <c r="F262" s="162" t="str">
        <f>INDEX(Table75[Power_list],Table76[[#This Row],[Item 2]])</f>
        <v>SC +</v>
      </c>
      <c r="G262" s="162" t="str">
        <f>INDEX(Table75[Power_list],Table76[[#This Row],[Item 3]])</f>
        <v xml:space="preserve">Lower damage from arrows </v>
      </c>
      <c r="H262" s="1">
        <f>INDEX($C$31:$C$44,MATCH(Table7678[[#This Row],[Item 2]],Table75[Power_list],0))+INDEX($C$31:$C$44,MATCH(Table7678[[#This Row],[Item 1]],Table75[Power_list],0))+INDEX($C$31:$C$44,MATCH(Table7678[[#This Row],[Item 3]],Table75[Power_list],0))</f>
        <v>18</v>
      </c>
      <c r="J262" s="1">
        <v>215</v>
      </c>
      <c r="K262" s="1" t="s">
        <v>276</v>
      </c>
      <c r="L262" s="1" t="s">
        <v>288</v>
      </c>
      <c r="M262" s="1" t="s">
        <v>296</v>
      </c>
      <c r="N262" s="1">
        <v>14</v>
      </c>
      <c r="O262" s="1" t="b">
        <f>(IFERROR(FIND("Lower",Table78[[#This Row],[Item 1]]),0)+IFERROR(FIND("Lower",Table78[[#This Row],[Item 2]]),0)+IFERROR(FIND("Lower",Table78[[#This Row],[Item 3]]),0))&lt;2</f>
        <v>1</v>
      </c>
      <c r="Q262" s="1">
        <v>215</v>
      </c>
      <c r="R262" s="1" t="s">
        <v>271</v>
      </c>
      <c r="S262" s="1" t="s">
        <v>276</v>
      </c>
      <c r="T262" s="1" t="s">
        <v>277</v>
      </c>
      <c r="U262" s="1">
        <v>31</v>
      </c>
      <c r="V262" s="1" t="b">
        <v>1</v>
      </c>
    </row>
    <row r="263" spans="1:22" x14ac:dyDescent="0.25">
      <c r="A263" s="162">
        <v>5</v>
      </c>
      <c r="B263" s="1">
        <v>8</v>
      </c>
      <c r="C263" s="1">
        <v>9</v>
      </c>
      <c r="E263" s="162" t="str">
        <f>INDEX(Table75[Power_list],Table76[[#This Row],[Item 1]])</f>
        <v>Fire (size) +</v>
      </c>
      <c r="F263" s="162" t="str">
        <f>INDEX(Table75[Power_list],Table76[[#This Row],[Item 2]])</f>
        <v>Score +</v>
      </c>
      <c r="G263" s="162" t="str">
        <f>INDEX(Table75[Power_list],Table76[[#This Row],[Item 3]])</f>
        <v>Food +</v>
      </c>
      <c r="H263" s="1">
        <f>INDEX($C$31:$C$44,MATCH(Table7678[[#This Row],[Item 2]],Table75[Power_list],0))+INDEX($C$31:$C$44,MATCH(Table7678[[#This Row],[Item 1]],Table75[Power_list],0))+INDEX($C$31:$C$44,MATCH(Table7678[[#This Row],[Item 3]],Table75[Power_list],0))</f>
        <v>19</v>
      </c>
      <c r="J263" s="1">
        <v>216</v>
      </c>
      <c r="K263" s="1" t="s">
        <v>277</v>
      </c>
      <c r="L263" s="1" t="s">
        <v>278</v>
      </c>
      <c r="M263" s="1" t="s">
        <v>288</v>
      </c>
      <c r="N263" s="1">
        <v>25</v>
      </c>
      <c r="O263" s="1" t="b">
        <f>(IFERROR(FIND("Lower",Table78[[#This Row],[Item 1]]),0)+IFERROR(FIND("Lower",Table78[[#This Row],[Item 2]]),0)+IFERROR(FIND("Lower",Table78[[#This Row],[Item 3]]),0))&lt;2</f>
        <v>1</v>
      </c>
      <c r="Q263" s="1">
        <v>216</v>
      </c>
      <c r="R263" s="1" t="s">
        <v>272</v>
      </c>
      <c r="S263" s="1" t="s">
        <v>273</v>
      </c>
      <c r="T263" s="1" t="s">
        <v>277</v>
      </c>
      <c r="U263" s="1">
        <v>31</v>
      </c>
      <c r="V263" s="1" t="b">
        <v>1</v>
      </c>
    </row>
    <row r="264" spans="1:22" x14ac:dyDescent="0.25">
      <c r="A264" s="162">
        <v>5</v>
      </c>
      <c r="B264" s="1">
        <v>8</v>
      </c>
      <c r="C264" s="1">
        <v>10</v>
      </c>
      <c r="E264" s="162" t="str">
        <f>INDEX(Table75[Power_list],Table76[[#This Row],[Item 1]])</f>
        <v>Fire (size) +</v>
      </c>
      <c r="F264" s="162" t="str">
        <f>INDEX(Table75[Power_list],Table76[[#This Row],[Item 2]])</f>
        <v>Score +</v>
      </c>
      <c r="G264" s="162" t="str">
        <f>INDEX(Table75[Power_list],Table76[[#This Row],[Item 3]])</f>
        <v xml:space="preserve">Lower damage from mines </v>
      </c>
      <c r="H264" s="1">
        <f>INDEX($C$31:$C$44,MATCH(Table7678[[#This Row],[Item 2]],Table75[Power_list],0))+INDEX($C$31:$C$44,MATCH(Table7678[[#This Row],[Item 1]],Table75[Power_list],0))+INDEX($C$31:$C$44,MATCH(Table7678[[#This Row],[Item 3]],Table75[Power_list],0))</f>
        <v>21</v>
      </c>
      <c r="J264" s="1">
        <v>217</v>
      </c>
      <c r="K264" s="1" t="s">
        <v>277</v>
      </c>
      <c r="L264" s="1" t="s">
        <v>278</v>
      </c>
      <c r="M264" s="1" t="s">
        <v>294</v>
      </c>
      <c r="N264" s="1">
        <v>27</v>
      </c>
      <c r="O264" s="1" t="b">
        <f>(IFERROR(FIND("Lower",Table78[[#This Row],[Item 1]]),0)+IFERROR(FIND("Lower",Table78[[#This Row],[Item 2]]),0)+IFERROR(FIND("Lower",Table78[[#This Row],[Item 3]]),0))&lt;2</f>
        <v>1</v>
      </c>
      <c r="Q264" s="1">
        <v>217</v>
      </c>
      <c r="R264" s="1" t="s">
        <v>272</v>
      </c>
      <c r="S264" s="1" t="s">
        <v>276</v>
      </c>
      <c r="T264" s="1" t="s">
        <v>278</v>
      </c>
      <c r="U264" s="1">
        <v>31</v>
      </c>
      <c r="V264" s="1" t="b">
        <v>1</v>
      </c>
    </row>
    <row r="265" spans="1:22" x14ac:dyDescent="0.25">
      <c r="A265" s="162">
        <v>5</v>
      </c>
      <c r="B265" s="1">
        <v>8</v>
      </c>
      <c r="C265" s="1">
        <v>11</v>
      </c>
      <c r="E265" s="162" t="str">
        <f>INDEX(Table75[Power_list],Table76[[#This Row],[Item 1]])</f>
        <v>Fire (size) +</v>
      </c>
      <c r="F265" s="162" t="str">
        <f>INDEX(Table75[Power_list],Table76[[#This Row],[Item 2]])</f>
        <v>Score +</v>
      </c>
      <c r="G265" s="162" t="str">
        <f>INDEX(Table75[Power_list],Table76[[#This Row],[Item 3]])</f>
        <v xml:space="preserve">Lower damage from ghosts </v>
      </c>
      <c r="H265" s="1">
        <f>INDEX($C$31:$C$44,MATCH(Table7678[[#This Row],[Item 2]],Table75[Power_list],0))+INDEX($C$31:$C$44,MATCH(Table7678[[#This Row],[Item 1]],Table75[Power_list],0))+INDEX($C$31:$C$44,MATCH(Table7678[[#This Row],[Item 3]],Table75[Power_list],0))</f>
        <v>16</v>
      </c>
      <c r="J265" s="1">
        <v>218</v>
      </c>
      <c r="K265" s="1" t="s">
        <v>277</v>
      </c>
      <c r="L265" s="1" t="s">
        <v>278</v>
      </c>
      <c r="M265" s="1" t="s">
        <v>295</v>
      </c>
      <c r="N265" s="1">
        <v>22</v>
      </c>
      <c r="O265" s="1" t="b">
        <f>(IFERROR(FIND("Lower",Table78[[#This Row],[Item 1]]),0)+IFERROR(FIND("Lower",Table78[[#This Row],[Item 2]]),0)+IFERROR(FIND("Lower",Table78[[#This Row],[Item 3]]),0))&lt;2</f>
        <v>1</v>
      </c>
      <c r="Q265" s="1">
        <v>218</v>
      </c>
      <c r="R265" s="1" t="s">
        <v>271</v>
      </c>
      <c r="S265" s="1" t="s">
        <v>272</v>
      </c>
      <c r="T265" s="1" t="s">
        <v>273</v>
      </c>
      <c r="U265" s="1">
        <v>32</v>
      </c>
      <c r="V265" s="1" t="b">
        <v>1</v>
      </c>
    </row>
    <row r="266" spans="1:22" x14ac:dyDescent="0.25">
      <c r="A266" s="162">
        <v>5</v>
      </c>
      <c r="B266" s="1">
        <v>8</v>
      </c>
      <c r="C266" s="1">
        <v>12</v>
      </c>
      <c r="E266" s="162" t="str">
        <f>INDEX(Table75[Power_list],Table76[[#This Row],[Item 1]])</f>
        <v>Fire (size) +</v>
      </c>
      <c r="F266" s="162" t="str">
        <f>INDEX(Table75[Power_list],Table76[[#This Row],[Item 2]])</f>
        <v>Score +</v>
      </c>
      <c r="G266" s="162" t="str">
        <f>INDEX(Table75[Power_list],Table76[[#This Row],[Item 3]])</f>
        <v xml:space="preserve">Lower damage from poison </v>
      </c>
      <c r="H266" s="1">
        <f>INDEX($C$31:$C$44,MATCH(Table7678[[#This Row],[Item 2]],Table75[Power_list],0))+INDEX($C$31:$C$44,MATCH(Table7678[[#This Row],[Item 1]],Table75[Power_list],0))+INDEX($C$31:$C$44,MATCH(Table7678[[#This Row],[Item 3]],Table75[Power_list],0))</f>
        <v>18</v>
      </c>
      <c r="J266" s="1">
        <v>219</v>
      </c>
      <c r="K266" s="1" t="s">
        <v>277</v>
      </c>
      <c r="L266" s="1" t="s">
        <v>278</v>
      </c>
      <c r="M266" s="1" t="s">
        <v>299</v>
      </c>
      <c r="N266" s="1">
        <v>24</v>
      </c>
      <c r="O266" s="1" t="b">
        <f>(IFERROR(FIND("Lower",Table78[[#This Row],[Item 1]]),0)+IFERROR(FIND("Lower",Table78[[#This Row],[Item 2]]),0)+IFERROR(FIND("Lower",Table78[[#This Row],[Item 3]]),0))&lt;2</f>
        <v>1</v>
      </c>
      <c r="Q266" s="1">
        <v>219</v>
      </c>
      <c r="R266" s="1" t="s">
        <v>271</v>
      </c>
      <c r="S266" s="1" t="s">
        <v>274</v>
      </c>
      <c r="T266" s="1" t="s">
        <v>277</v>
      </c>
      <c r="U266" s="1">
        <v>32</v>
      </c>
      <c r="V266" s="1" t="b">
        <v>1</v>
      </c>
    </row>
    <row r="267" spans="1:22" x14ac:dyDescent="0.25">
      <c r="A267" s="162">
        <v>5</v>
      </c>
      <c r="B267" s="1">
        <v>8</v>
      </c>
      <c r="C267" s="1">
        <v>13</v>
      </c>
      <c r="E267" s="162" t="str">
        <f>INDEX(Table75[Power_list],Table76[[#This Row],[Item 1]])</f>
        <v>Fire (size) +</v>
      </c>
      <c r="F267" s="162" t="str">
        <f>INDEX(Table75[Power_list],Table76[[#This Row],[Item 2]])</f>
        <v>Score +</v>
      </c>
      <c r="G267" s="162" t="str">
        <f>INDEX(Table75[Power_list],Table76[[#This Row],[Item 3]])</f>
        <v xml:space="preserve">Lower damage from arrows </v>
      </c>
      <c r="H267" s="1">
        <f>INDEX($C$31:$C$44,MATCH(Table7678[[#This Row],[Item 2]],Table75[Power_list],0))+INDEX($C$31:$C$44,MATCH(Table7678[[#This Row],[Item 1]],Table75[Power_list],0))+INDEX($C$31:$C$44,MATCH(Table7678[[#This Row],[Item 3]],Table75[Power_list],0))</f>
        <v>17</v>
      </c>
      <c r="J267" s="1">
        <v>220</v>
      </c>
      <c r="K267" s="1" t="s">
        <v>277</v>
      </c>
      <c r="L267" s="1" t="s">
        <v>278</v>
      </c>
      <c r="M267" s="1" t="s">
        <v>296</v>
      </c>
      <c r="N267" s="1">
        <v>23</v>
      </c>
      <c r="O267" s="1" t="b">
        <f>(IFERROR(FIND("Lower",Table78[[#This Row],[Item 1]]),0)+IFERROR(FIND("Lower",Table78[[#This Row],[Item 2]]),0)+IFERROR(FIND("Lower",Table78[[#This Row],[Item 3]]),0))&lt;2</f>
        <v>1</v>
      </c>
      <c r="Q267" s="1">
        <v>220</v>
      </c>
      <c r="R267" s="1" t="s">
        <v>272</v>
      </c>
      <c r="S267" s="1" t="s">
        <v>274</v>
      </c>
      <c r="T267" s="1" t="s">
        <v>278</v>
      </c>
      <c r="U267" s="1">
        <v>32</v>
      </c>
      <c r="V267" s="1" t="b">
        <v>1</v>
      </c>
    </row>
    <row r="268" spans="1:22" x14ac:dyDescent="0.25">
      <c r="A268" s="162">
        <v>5</v>
      </c>
      <c r="B268" s="1">
        <v>9</v>
      </c>
      <c r="C268" s="1">
        <v>10</v>
      </c>
      <c r="E268" s="162" t="str">
        <f>INDEX(Table75[Power_list],Table76[[#This Row],[Item 1]])</f>
        <v>Fire (size) +</v>
      </c>
      <c r="F268" s="162" t="str">
        <f>INDEX(Table75[Power_list],Table76[[#This Row],[Item 2]])</f>
        <v>Food +</v>
      </c>
      <c r="G268" s="162" t="str">
        <f>INDEX(Table75[Power_list],Table76[[#This Row],[Item 3]])</f>
        <v xml:space="preserve">Lower damage from mines </v>
      </c>
      <c r="H268" s="1">
        <f>INDEX($C$31:$C$44,MATCH(Table7678[[#This Row],[Item 2]],Table75[Power_list],0))+INDEX($C$31:$C$44,MATCH(Table7678[[#This Row],[Item 1]],Table75[Power_list],0))+INDEX($C$31:$C$44,MATCH(Table7678[[#This Row],[Item 3]],Table75[Power_list],0))</f>
        <v>15</v>
      </c>
      <c r="J268" s="1">
        <v>221</v>
      </c>
      <c r="K268" s="1" t="s">
        <v>277</v>
      </c>
      <c r="L268" s="1" t="s">
        <v>288</v>
      </c>
      <c r="M268" s="1" t="s">
        <v>294</v>
      </c>
      <c r="N268" s="1">
        <v>21</v>
      </c>
      <c r="O268" s="1" t="b">
        <f>(IFERROR(FIND("Lower",Table78[[#This Row],[Item 1]]),0)+IFERROR(FIND("Lower",Table78[[#This Row],[Item 2]]),0)+IFERROR(FIND("Lower",Table78[[#This Row],[Item 3]]),0))&lt;2</f>
        <v>1</v>
      </c>
      <c r="Q268" s="1">
        <v>221</v>
      </c>
      <c r="R268" s="1" t="s">
        <v>272</v>
      </c>
      <c r="S268" s="1" t="s">
        <v>276</v>
      </c>
      <c r="T268" s="1" t="s">
        <v>277</v>
      </c>
      <c r="U268" s="1">
        <v>32</v>
      </c>
      <c r="V268" s="1" t="b">
        <v>1</v>
      </c>
    </row>
    <row r="269" spans="1:22" x14ac:dyDescent="0.25">
      <c r="A269" s="162">
        <v>5</v>
      </c>
      <c r="B269" s="1">
        <v>9</v>
      </c>
      <c r="C269" s="1">
        <v>11</v>
      </c>
      <c r="E269" s="162" t="str">
        <f>INDEX(Table75[Power_list],Table76[[#This Row],[Item 1]])</f>
        <v>Fire (size) +</v>
      </c>
      <c r="F269" s="162" t="str">
        <f>INDEX(Table75[Power_list],Table76[[#This Row],[Item 2]])</f>
        <v>Food +</v>
      </c>
      <c r="G269" s="162" t="str">
        <f>INDEX(Table75[Power_list],Table76[[#This Row],[Item 3]])</f>
        <v xml:space="preserve">Lower damage from ghosts </v>
      </c>
      <c r="H269" s="1">
        <f>INDEX($C$31:$C$44,MATCH(Table7678[[#This Row],[Item 2]],Table75[Power_list],0))+INDEX($C$31:$C$44,MATCH(Table7678[[#This Row],[Item 1]],Table75[Power_list],0))+INDEX($C$31:$C$44,MATCH(Table7678[[#This Row],[Item 3]],Table75[Power_list],0))</f>
        <v>10</v>
      </c>
      <c r="J269" s="1">
        <v>222</v>
      </c>
      <c r="K269" s="1" t="s">
        <v>277</v>
      </c>
      <c r="L269" s="1" t="s">
        <v>288</v>
      </c>
      <c r="M269" s="1" t="s">
        <v>295</v>
      </c>
      <c r="N269" s="1">
        <v>16</v>
      </c>
      <c r="O269" s="1" t="b">
        <f>(IFERROR(FIND("Lower",Table78[[#This Row],[Item 1]]),0)+IFERROR(FIND("Lower",Table78[[#This Row],[Item 2]]),0)+IFERROR(FIND("Lower",Table78[[#This Row],[Item 3]]),0))&lt;2</f>
        <v>1</v>
      </c>
      <c r="Q269" s="1">
        <v>222</v>
      </c>
      <c r="R269" s="1" t="s">
        <v>271</v>
      </c>
      <c r="S269" s="1" t="s">
        <v>272</v>
      </c>
      <c r="T269" s="1" t="s">
        <v>276</v>
      </c>
      <c r="U269" s="1">
        <v>33</v>
      </c>
      <c r="V269" s="1" t="b">
        <v>1</v>
      </c>
    </row>
    <row r="270" spans="1:22" x14ac:dyDescent="0.25">
      <c r="A270" s="162">
        <v>5</v>
      </c>
      <c r="B270" s="1">
        <v>9</v>
      </c>
      <c r="C270" s="1">
        <v>12</v>
      </c>
      <c r="E270" s="162" t="str">
        <f>INDEX(Table75[Power_list],Table76[[#This Row],[Item 1]])</f>
        <v>Fire (size) +</v>
      </c>
      <c r="F270" s="162" t="str">
        <f>INDEX(Table75[Power_list],Table76[[#This Row],[Item 2]])</f>
        <v>Food +</v>
      </c>
      <c r="G270" s="162" t="str">
        <f>INDEX(Table75[Power_list],Table76[[#This Row],[Item 3]])</f>
        <v xml:space="preserve">Lower damage from poison </v>
      </c>
      <c r="H270" s="1">
        <f>INDEX($C$31:$C$44,MATCH(Table7678[[#This Row],[Item 2]],Table75[Power_list],0))+INDEX($C$31:$C$44,MATCH(Table7678[[#This Row],[Item 1]],Table75[Power_list],0))+INDEX($C$31:$C$44,MATCH(Table7678[[#This Row],[Item 3]],Table75[Power_list],0))</f>
        <v>12</v>
      </c>
      <c r="J270" s="1">
        <v>223</v>
      </c>
      <c r="K270" s="1" t="s">
        <v>277</v>
      </c>
      <c r="L270" s="1" t="s">
        <v>288</v>
      </c>
      <c r="M270" s="1" t="s">
        <v>299</v>
      </c>
      <c r="N270" s="1">
        <v>18</v>
      </c>
      <c r="O270" s="1" t="b">
        <f>(IFERROR(FIND("Lower",Table78[[#This Row],[Item 1]]),0)+IFERROR(FIND("Lower",Table78[[#This Row],[Item 2]]),0)+IFERROR(FIND("Lower",Table78[[#This Row],[Item 3]]),0))&lt;2</f>
        <v>1</v>
      </c>
      <c r="Q270" s="1">
        <v>223</v>
      </c>
      <c r="R270" s="1" t="s">
        <v>271</v>
      </c>
      <c r="S270" s="1" t="s">
        <v>277</v>
      </c>
      <c r="T270" s="1" t="s">
        <v>278</v>
      </c>
      <c r="U270" s="1">
        <v>33</v>
      </c>
      <c r="V270" s="1" t="b">
        <v>1</v>
      </c>
    </row>
    <row r="271" spans="1:22" x14ac:dyDescent="0.25">
      <c r="A271" s="162">
        <v>5</v>
      </c>
      <c r="B271" s="1">
        <v>9</v>
      </c>
      <c r="C271" s="1">
        <v>13</v>
      </c>
      <c r="E271" s="162" t="str">
        <f>INDEX(Table75[Power_list],Table76[[#This Row],[Item 1]])</f>
        <v>Fire (size) +</v>
      </c>
      <c r="F271" s="162" t="str">
        <f>INDEX(Table75[Power_list],Table76[[#This Row],[Item 2]])</f>
        <v>Food +</v>
      </c>
      <c r="G271" s="162" t="str">
        <f>INDEX(Table75[Power_list],Table76[[#This Row],[Item 3]])</f>
        <v xml:space="preserve">Lower damage from arrows </v>
      </c>
      <c r="H271" s="1">
        <f>INDEX($C$31:$C$44,MATCH(Table7678[[#This Row],[Item 2]],Table75[Power_list],0))+INDEX($C$31:$C$44,MATCH(Table7678[[#This Row],[Item 1]],Table75[Power_list],0))+INDEX($C$31:$C$44,MATCH(Table7678[[#This Row],[Item 3]],Table75[Power_list],0))</f>
        <v>11</v>
      </c>
      <c r="J271" s="1">
        <v>224</v>
      </c>
      <c r="K271" s="1" t="s">
        <v>277</v>
      </c>
      <c r="L271" s="1" t="s">
        <v>288</v>
      </c>
      <c r="M271" s="1" t="s">
        <v>296</v>
      </c>
      <c r="N271" s="1">
        <v>17</v>
      </c>
      <c r="O271" s="1" t="b">
        <f>(IFERROR(FIND("Lower",Table78[[#This Row],[Item 1]]),0)+IFERROR(FIND("Lower",Table78[[#This Row],[Item 2]]),0)+IFERROR(FIND("Lower",Table78[[#This Row],[Item 3]]),0))&lt;2</f>
        <v>1</v>
      </c>
      <c r="Q271" s="1">
        <v>224</v>
      </c>
      <c r="R271" s="1" t="s">
        <v>272</v>
      </c>
      <c r="S271" s="1" t="s">
        <v>274</v>
      </c>
      <c r="T271" s="1" t="s">
        <v>277</v>
      </c>
      <c r="U271" s="1">
        <v>33</v>
      </c>
      <c r="V271" s="1" t="b">
        <v>1</v>
      </c>
    </row>
    <row r="272" spans="1:22" x14ac:dyDescent="0.25">
      <c r="A272" s="162">
        <v>5</v>
      </c>
      <c r="B272" s="1">
        <v>10</v>
      </c>
      <c r="C272" s="1">
        <v>11</v>
      </c>
      <c r="E272" s="162" t="str">
        <f>INDEX(Table75[Power_list],Table76[[#This Row],[Item 1]])</f>
        <v>Fire (size) +</v>
      </c>
      <c r="F272" s="162" t="str">
        <f>INDEX(Table75[Power_list],Table76[[#This Row],[Item 2]])</f>
        <v xml:space="preserve">Lower damage from mines </v>
      </c>
      <c r="G272" s="162" t="str">
        <f>INDEX(Table75[Power_list],Table76[[#This Row],[Item 3]])</f>
        <v xml:space="preserve">Lower damage from ghosts </v>
      </c>
      <c r="H272" s="1">
        <f>INDEX($C$31:$C$44,MATCH(Table7678[[#This Row],[Item 2]],Table75[Power_list],0))+INDEX($C$31:$C$44,MATCH(Table7678[[#This Row],[Item 1]],Table75[Power_list],0))+INDEX($C$31:$C$44,MATCH(Table7678[[#This Row],[Item 3]],Table75[Power_list],0))</f>
        <v>12</v>
      </c>
      <c r="J272" s="1">
        <v>225</v>
      </c>
      <c r="K272" s="1" t="s">
        <v>278</v>
      </c>
      <c r="L272" s="1" t="s">
        <v>288</v>
      </c>
      <c r="M272" s="1" t="s">
        <v>294</v>
      </c>
      <c r="N272" s="1">
        <v>20</v>
      </c>
      <c r="O272" s="1" t="b">
        <f>(IFERROR(FIND("Lower",Table78[[#This Row],[Item 1]]),0)+IFERROR(FIND("Lower",Table78[[#This Row],[Item 2]]),0)+IFERROR(FIND("Lower",Table78[[#This Row],[Item 3]]),0))&lt;2</f>
        <v>1</v>
      </c>
      <c r="Q272" s="1">
        <v>225</v>
      </c>
      <c r="R272" s="1" t="s">
        <v>271</v>
      </c>
      <c r="S272" s="1" t="s">
        <v>272</v>
      </c>
      <c r="T272" s="1" t="s">
        <v>274</v>
      </c>
      <c r="U272" s="1">
        <v>34</v>
      </c>
      <c r="V272" s="1" t="b">
        <v>1</v>
      </c>
    </row>
    <row r="273" spans="1:22" x14ac:dyDescent="0.25">
      <c r="A273" s="162">
        <v>5</v>
      </c>
      <c r="B273" s="1">
        <v>10</v>
      </c>
      <c r="C273" s="1">
        <v>12</v>
      </c>
      <c r="E273" s="162" t="str">
        <f>INDEX(Table75[Power_list],Table76[[#This Row],[Item 1]])</f>
        <v>Fire (size) +</v>
      </c>
      <c r="F273" s="162" t="str">
        <f>INDEX(Table75[Power_list],Table76[[#This Row],[Item 2]])</f>
        <v xml:space="preserve">Lower damage from mines </v>
      </c>
      <c r="G273" s="162" t="str">
        <f>INDEX(Table75[Power_list],Table76[[#This Row],[Item 3]])</f>
        <v xml:space="preserve">Lower damage from poison </v>
      </c>
      <c r="H273" s="1">
        <f>INDEX($C$31:$C$44,MATCH(Table7678[[#This Row],[Item 2]],Table75[Power_list],0))+INDEX($C$31:$C$44,MATCH(Table7678[[#This Row],[Item 1]],Table75[Power_list],0))+INDEX($C$31:$C$44,MATCH(Table7678[[#This Row],[Item 3]],Table75[Power_list],0))</f>
        <v>14</v>
      </c>
      <c r="J273" s="1">
        <v>226</v>
      </c>
      <c r="K273" s="1" t="s">
        <v>278</v>
      </c>
      <c r="L273" s="1" t="s">
        <v>288</v>
      </c>
      <c r="M273" s="1" t="s">
        <v>295</v>
      </c>
      <c r="N273" s="1">
        <v>15</v>
      </c>
      <c r="O273" s="1" t="b">
        <f>(IFERROR(FIND("Lower",Table78[[#This Row],[Item 1]]),0)+IFERROR(FIND("Lower",Table78[[#This Row],[Item 2]]),0)+IFERROR(FIND("Lower",Table78[[#This Row],[Item 3]]),0))&lt;2</f>
        <v>1</v>
      </c>
      <c r="Q273" s="1">
        <v>226</v>
      </c>
      <c r="R273" s="1" t="s">
        <v>272</v>
      </c>
      <c r="S273" s="1" t="s">
        <v>277</v>
      </c>
      <c r="T273" s="1" t="s">
        <v>278</v>
      </c>
      <c r="U273" s="1">
        <v>34</v>
      </c>
      <c r="V273" s="1" t="b">
        <v>1</v>
      </c>
    </row>
    <row r="274" spans="1:22" x14ac:dyDescent="0.25">
      <c r="A274" s="162">
        <v>5</v>
      </c>
      <c r="B274" s="1">
        <v>10</v>
      </c>
      <c r="C274" s="1">
        <v>13</v>
      </c>
      <c r="E274" s="162" t="str">
        <f>INDEX(Table75[Power_list],Table76[[#This Row],[Item 1]])</f>
        <v>Fire (size) +</v>
      </c>
      <c r="F274" s="162" t="str">
        <f>INDEX(Table75[Power_list],Table76[[#This Row],[Item 2]])</f>
        <v xml:space="preserve">Lower damage from mines </v>
      </c>
      <c r="G274" s="162" t="str">
        <f>INDEX(Table75[Power_list],Table76[[#This Row],[Item 3]])</f>
        <v xml:space="preserve">Lower damage from arrows </v>
      </c>
      <c r="H274" s="1">
        <f>INDEX($C$31:$C$44,MATCH(Table7678[[#This Row],[Item 2]],Table75[Power_list],0))+INDEX($C$31:$C$44,MATCH(Table7678[[#This Row],[Item 1]],Table75[Power_list],0))+INDEX($C$31:$C$44,MATCH(Table7678[[#This Row],[Item 3]],Table75[Power_list],0))</f>
        <v>13</v>
      </c>
      <c r="J274" s="1">
        <v>227</v>
      </c>
      <c r="K274" s="1" t="s">
        <v>278</v>
      </c>
      <c r="L274" s="1" t="s">
        <v>288</v>
      </c>
      <c r="M274" s="1" t="s">
        <v>299</v>
      </c>
      <c r="N274" s="1">
        <v>17</v>
      </c>
      <c r="O274" s="1" t="b">
        <f>(IFERROR(FIND("Lower",Table78[[#This Row],[Item 1]]),0)+IFERROR(FIND("Lower",Table78[[#This Row],[Item 2]]),0)+IFERROR(FIND("Lower",Table78[[#This Row],[Item 3]]),0))&lt;2</f>
        <v>1</v>
      </c>
      <c r="Q274" s="1">
        <v>227</v>
      </c>
      <c r="R274" s="1" t="s">
        <v>271</v>
      </c>
      <c r="S274" s="1" t="s">
        <v>272</v>
      </c>
      <c r="T274" s="1" t="s">
        <v>278</v>
      </c>
      <c r="U274" s="1">
        <v>35</v>
      </c>
      <c r="V274" s="1" t="b">
        <v>1</v>
      </c>
    </row>
    <row r="275" spans="1:22" x14ac:dyDescent="0.25">
      <c r="A275" s="162">
        <v>5</v>
      </c>
      <c r="B275" s="1">
        <v>11</v>
      </c>
      <c r="C275" s="1">
        <v>12</v>
      </c>
      <c r="E275" s="162" t="str">
        <f>INDEX(Table75[Power_list],Table76[[#This Row],[Item 1]])</f>
        <v>Fire (size) +</v>
      </c>
      <c r="F275" s="162" t="str">
        <f>INDEX(Table75[Power_list],Table76[[#This Row],[Item 2]])</f>
        <v xml:space="preserve">Lower damage from ghosts </v>
      </c>
      <c r="G275" s="162" t="str">
        <f>INDEX(Table75[Power_list],Table76[[#This Row],[Item 3]])</f>
        <v xml:space="preserve">Lower damage from poison </v>
      </c>
      <c r="H275" s="1">
        <f>INDEX($C$31:$C$44,MATCH(Table7678[[#This Row],[Item 2]],Table75[Power_list],0))+INDEX($C$31:$C$44,MATCH(Table7678[[#This Row],[Item 1]],Table75[Power_list],0))+INDEX($C$31:$C$44,MATCH(Table7678[[#This Row],[Item 3]],Table75[Power_list],0))</f>
        <v>9</v>
      </c>
      <c r="J275" s="1">
        <v>228</v>
      </c>
      <c r="K275" s="1" t="s">
        <v>278</v>
      </c>
      <c r="L275" s="1" t="s">
        <v>288</v>
      </c>
      <c r="M275" s="1" t="s">
        <v>296</v>
      </c>
      <c r="N275" s="1">
        <v>16</v>
      </c>
      <c r="O275" s="1" t="b">
        <f>(IFERROR(FIND("Lower",Table78[[#This Row],[Item 1]]),0)+IFERROR(FIND("Lower",Table78[[#This Row],[Item 2]]),0)+IFERROR(FIND("Lower",Table78[[#This Row],[Item 3]]),0))&lt;2</f>
        <v>1</v>
      </c>
      <c r="Q275" s="1">
        <v>228</v>
      </c>
      <c r="R275" s="1" t="s">
        <v>271</v>
      </c>
      <c r="S275" s="1" t="s">
        <v>272</v>
      </c>
      <c r="T275" s="1" t="s">
        <v>277</v>
      </c>
      <c r="U275" s="1">
        <v>36</v>
      </c>
      <c r="V275" s="1" t="b">
        <v>1</v>
      </c>
    </row>
    <row r="276" spans="1:22" x14ac:dyDescent="0.25">
      <c r="A276" s="162">
        <v>5</v>
      </c>
      <c r="B276" s="1">
        <v>11</v>
      </c>
      <c r="C276" s="1">
        <v>13</v>
      </c>
      <c r="E276" s="162" t="str">
        <f>INDEX(Table75[Power_list],Table76[[#This Row],[Item 1]])</f>
        <v>Fire (size) +</v>
      </c>
      <c r="F276" s="162" t="str">
        <f>INDEX(Table75[Power_list],Table76[[#This Row],[Item 2]])</f>
        <v xml:space="preserve">Lower damage from ghosts </v>
      </c>
      <c r="G276" s="162" t="str">
        <f>INDEX(Table75[Power_list],Table76[[#This Row],[Item 3]])</f>
        <v xml:space="preserve">Lower damage from arrows </v>
      </c>
      <c r="H276" s="1">
        <f>INDEX($C$31:$C$44,MATCH(Table7678[[#This Row],[Item 2]],Table75[Power_list],0))+INDEX($C$31:$C$44,MATCH(Table7678[[#This Row],[Item 1]],Table75[Power_list],0))+INDEX($C$31:$C$44,MATCH(Table7678[[#This Row],[Item 3]],Table75[Power_list],0))</f>
        <v>8</v>
      </c>
      <c r="J276" s="1">
        <v>229</v>
      </c>
      <c r="K276" s="1" t="s">
        <v>271</v>
      </c>
      <c r="L276" s="1" t="s">
        <v>294</v>
      </c>
      <c r="M276" s="1" t="s">
        <v>295</v>
      </c>
      <c r="N276" s="1">
        <v>19</v>
      </c>
      <c r="O276" s="1" t="b">
        <f>(IFERROR(FIND("Lower",Table78[[#This Row],[Item 1]]),0)+IFERROR(FIND("Lower",Table78[[#This Row],[Item 2]]),0)+IFERROR(FIND("Lower",Table78[[#This Row],[Item 3]]),0))&lt;2</f>
        <v>0</v>
      </c>
    </row>
    <row r="277" spans="1:22" x14ac:dyDescent="0.25">
      <c r="A277" s="162">
        <v>5</v>
      </c>
      <c r="B277" s="1">
        <v>12</v>
      </c>
      <c r="C277" s="1">
        <v>13</v>
      </c>
      <c r="E277" s="162" t="str">
        <f>INDEX(Table75[Power_list],Table76[[#This Row],[Item 1]])</f>
        <v>Fire (size) +</v>
      </c>
      <c r="F277" s="162" t="str">
        <f>INDEX(Table75[Power_list],Table76[[#This Row],[Item 2]])</f>
        <v xml:space="preserve">Lower damage from poison </v>
      </c>
      <c r="G277" s="162" t="str">
        <f>INDEX(Table75[Power_list],Table76[[#This Row],[Item 3]])</f>
        <v xml:space="preserve">Lower damage from arrows </v>
      </c>
      <c r="H277" s="1">
        <f>INDEX($C$31:$C$44,MATCH(Table7678[[#This Row],[Item 2]],Table75[Power_list],0))+INDEX($C$31:$C$44,MATCH(Table7678[[#This Row],[Item 1]],Table75[Power_list],0))+INDEX($C$31:$C$44,MATCH(Table7678[[#This Row],[Item 3]],Table75[Power_list],0))</f>
        <v>10</v>
      </c>
      <c r="J277" s="1">
        <v>230</v>
      </c>
      <c r="K277" s="1" t="s">
        <v>271</v>
      </c>
      <c r="L277" s="1" t="s">
        <v>294</v>
      </c>
      <c r="M277" s="1" t="s">
        <v>299</v>
      </c>
      <c r="N277" s="1">
        <v>21</v>
      </c>
      <c r="O277" s="1" t="b">
        <f>(IFERROR(FIND("Lower",Table78[[#This Row],[Item 1]]),0)+IFERROR(FIND("Lower",Table78[[#This Row],[Item 2]]),0)+IFERROR(FIND("Lower",Table78[[#This Row],[Item 3]]),0))&lt;2</f>
        <v>0</v>
      </c>
    </row>
    <row r="278" spans="1:22" x14ac:dyDescent="0.25">
      <c r="A278" s="162">
        <v>6</v>
      </c>
      <c r="B278" s="1">
        <v>7</v>
      </c>
      <c r="C278" s="1">
        <v>8</v>
      </c>
      <c r="E278" s="162" t="str">
        <f>INDEX(Table75[Power_list],Table76[[#This Row],[Item 1]])</f>
        <v>Fire Rush Time +</v>
      </c>
      <c r="F278" s="162" t="str">
        <f>INDEX(Table75[Power_list],Table76[[#This Row],[Item 2]])</f>
        <v>SC +</v>
      </c>
      <c r="G278" s="162" t="str">
        <f>INDEX(Table75[Power_list],Table76[[#This Row],[Item 3]])</f>
        <v>Score +</v>
      </c>
      <c r="H278" s="1">
        <f>INDEX($C$31:$C$44,MATCH(Table7678[[#This Row],[Item 2]],Table75[Power_list],0))+INDEX($C$31:$C$44,MATCH(Table7678[[#This Row],[Item 1]],Table75[Power_list],0))+INDEX($C$31:$C$44,MATCH(Table7678[[#This Row],[Item 3]],Table75[Power_list],0))</f>
        <v>29</v>
      </c>
      <c r="J278" s="1">
        <v>231</v>
      </c>
      <c r="K278" s="1" t="s">
        <v>271</v>
      </c>
      <c r="L278" s="1" t="s">
        <v>294</v>
      </c>
      <c r="M278" s="1" t="s">
        <v>296</v>
      </c>
      <c r="N278" s="1">
        <v>20</v>
      </c>
      <c r="O278" s="1" t="b">
        <f>(IFERROR(FIND("Lower",Table78[[#This Row],[Item 1]]),0)+IFERROR(FIND("Lower",Table78[[#This Row],[Item 2]]),0)+IFERROR(FIND("Lower",Table78[[#This Row],[Item 3]]),0))&lt;2</f>
        <v>0</v>
      </c>
    </row>
    <row r="279" spans="1:22" x14ac:dyDescent="0.25">
      <c r="A279" s="162">
        <v>6</v>
      </c>
      <c r="B279" s="1">
        <v>7</v>
      </c>
      <c r="C279" s="1">
        <v>9</v>
      </c>
      <c r="E279" s="162" t="str">
        <f>INDEX(Table75[Power_list],Table76[[#This Row],[Item 1]])</f>
        <v>Fire Rush Time +</v>
      </c>
      <c r="F279" s="162" t="str">
        <f>INDEX(Table75[Power_list],Table76[[#This Row],[Item 2]])</f>
        <v>SC +</v>
      </c>
      <c r="G279" s="162" t="str">
        <f>INDEX(Table75[Power_list],Table76[[#This Row],[Item 3]])</f>
        <v>Food +</v>
      </c>
      <c r="H279" s="1">
        <f>INDEX($C$31:$C$44,MATCH(Table7678[[#This Row],[Item 2]],Table75[Power_list],0))+INDEX($C$31:$C$44,MATCH(Table7678[[#This Row],[Item 1]],Table75[Power_list],0))+INDEX($C$31:$C$44,MATCH(Table7678[[#This Row],[Item 3]],Table75[Power_list],0))</f>
        <v>23</v>
      </c>
      <c r="J279" s="1">
        <v>232</v>
      </c>
      <c r="K279" s="1" t="s">
        <v>271</v>
      </c>
      <c r="L279" s="1" t="s">
        <v>295</v>
      </c>
      <c r="M279" s="1" t="s">
        <v>299</v>
      </c>
      <c r="N279" s="1">
        <v>16</v>
      </c>
      <c r="O279" s="1" t="b">
        <f>(IFERROR(FIND("Lower",Table78[[#This Row],[Item 1]]),0)+IFERROR(FIND("Lower",Table78[[#This Row],[Item 2]]),0)+IFERROR(FIND("Lower",Table78[[#This Row],[Item 3]]),0))&lt;2</f>
        <v>0</v>
      </c>
    </row>
    <row r="280" spans="1:22" x14ac:dyDescent="0.25">
      <c r="A280" s="162">
        <v>6</v>
      </c>
      <c r="B280" s="1">
        <v>7</v>
      </c>
      <c r="C280" s="1">
        <v>10</v>
      </c>
      <c r="E280" s="162" t="str">
        <f>INDEX(Table75[Power_list],Table76[[#This Row],[Item 1]])</f>
        <v>Fire Rush Time +</v>
      </c>
      <c r="F280" s="162" t="str">
        <f>INDEX(Table75[Power_list],Table76[[#This Row],[Item 2]])</f>
        <v>SC +</v>
      </c>
      <c r="G280" s="162" t="str">
        <f>INDEX(Table75[Power_list],Table76[[#This Row],[Item 3]])</f>
        <v xml:space="preserve">Lower damage from mines </v>
      </c>
      <c r="H280" s="1">
        <f>INDEX($C$31:$C$44,MATCH(Table7678[[#This Row],[Item 2]],Table75[Power_list],0))+INDEX($C$31:$C$44,MATCH(Table7678[[#This Row],[Item 1]],Table75[Power_list],0))+INDEX($C$31:$C$44,MATCH(Table7678[[#This Row],[Item 3]],Table75[Power_list],0))</f>
        <v>25</v>
      </c>
      <c r="J280" s="1">
        <v>233</v>
      </c>
      <c r="K280" s="1" t="s">
        <v>271</v>
      </c>
      <c r="L280" s="1" t="s">
        <v>295</v>
      </c>
      <c r="M280" s="1" t="s">
        <v>296</v>
      </c>
      <c r="N280" s="1">
        <v>15</v>
      </c>
      <c r="O280" s="1" t="b">
        <f>(IFERROR(FIND("Lower",Table78[[#This Row],[Item 1]]),0)+IFERROR(FIND("Lower",Table78[[#This Row],[Item 2]]),0)+IFERROR(FIND("Lower",Table78[[#This Row],[Item 3]]),0))&lt;2</f>
        <v>0</v>
      </c>
    </row>
    <row r="281" spans="1:22" x14ac:dyDescent="0.25">
      <c r="A281" s="162">
        <v>6</v>
      </c>
      <c r="B281" s="1">
        <v>7</v>
      </c>
      <c r="C281" s="1">
        <v>11</v>
      </c>
      <c r="E281" s="162" t="str">
        <f>INDEX(Table75[Power_list],Table76[[#This Row],[Item 1]])</f>
        <v>Fire Rush Time +</v>
      </c>
      <c r="F281" s="162" t="str">
        <f>INDEX(Table75[Power_list],Table76[[#This Row],[Item 2]])</f>
        <v>SC +</v>
      </c>
      <c r="G281" s="162" t="str">
        <f>INDEX(Table75[Power_list],Table76[[#This Row],[Item 3]])</f>
        <v xml:space="preserve">Lower damage from ghosts </v>
      </c>
      <c r="H281" s="1">
        <f>INDEX($C$31:$C$44,MATCH(Table7678[[#This Row],[Item 2]],Table75[Power_list],0))+INDEX($C$31:$C$44,MATCH(Table7678[[#This Row],[Item 1]],Table75[Power_list],0))+INDEX($C$31:$C$44,MATCH(Table7678[[#This Row],[Item 3]],Table75[Power_list],0))</f>
        <v>20</v>
      </c>
      <c r="J281" s="1">
        <v>234</v>
      </c>
      <c r="K281" s="1" t="s">
        <v>271</v>
      </c>
      <c r="L281" s="1" t="s">
        <v>299</v>
      </c>
      <c r="M281" s="1" t="s">
        <v>296</v>
      </c>
      <c r="N281" s="1">
        <v>17</v>
      </c>
      <c r="O281" s="1" t="b">
        <f>(IFERROR(FIND("Lower",Table78[[#This Row],[Item 1]]),0)+IFERROR(FIND("Lower",Table78[[#This Row],[Item 2]]),0)+IFERROR(FIND("Lower",Table78[[#This Row],[Item 3]]),0))&lt;2</f>
        <v>0</v>
      </c>
    </row>
    <row r="282" spans="1:22" x14ac:dyDescent="0.25">
      <c r="A282" s="162">
        <v>6</v>
      </c>
      <c r="B282" s="1">
        <v>7</v>
      </c>
      <c r="C282" s="1">
        <v>12</v>
      </c>
      <c r="E282" s="162" t="str">
        <f>INDEX(Table75[Power_list],Table76[[#This Row],[Item 1]])</f>
        <v>Fire Rush Time +</v>
      </c>
      <c r="F282" s="162" t="str">
        <f>INDEX(Table75[Power_list],Table76[[#This Row],[Item 2]])</f>
        <v>SC +</v>
      </c>
      <c r="G282" s="162" t="str">
        <f>INDEX(Table75[Power_list],Table76[[#This Row],[Item 3]])</f>
        <v xml:space="preserve">Lower damage from poison </v>
      </c>
      <c r="H282" s="1">
        <f>INDEX($C$31:$C$44,MATCH(Table7678[[#This Row],[Item 2]],Table75[Power_list],0))+INDEX($C$31:$C$44,MATCH(Table7678[[#This Row],[Item 1]],Table75[Power_list],0))+INDEX($C$31:$C$44,MATCH(Table7678[[#This Row],[Item 3]],Table75[Power_list],0))</f>
        <v>22</v>
      </c>
      <c r="J282" s="1">
        <v>235</v>
      </c>
      <c r="K282" s="1" t="s">
        <v>272</v>
      </c>
      <c r="L282" s="1" t="s">
        <v>294</v>
      </c>
      <c r="M282" s="1" t="s">
        <v>295</v>
      </c>
      <c r="N282" s="1">
        <v>20</v>
      </c>
      <c r="O282" s="1" t="b">
        <f>(IFERROR(FIND("Lower",Table78[[#This Row],[Item 1]]),0)+IFERROR(FIND("Lower",Table78[[#This Row],[Item 2]]),0)+IFERROR(FIND("Lower",Table78[[#This Row],[Item 3]]),0))&lt;2</f>
        <v>0</v>
      </c>
    </row>
    <row r="283" spans="1:22" x14ac:dyDescent="0.25">
      <c r="A283" s="162">
        <v>6</v>
      </c>
      <c r="B283" s="1">
        <v>7</v>
      </c>
      <c r="C283" s="1">
        <v>13</v>
      </c>
      <c r="E283" s="162" t="str">
        <f>INDEX(Table75[Power_list],Table76[[#This Row],[Item 1]])</f>
        <v>Fire Rush Time +</v>
      </c>
      <c r="F283" s="162" t="str">
        <f>INDEX(Table75[Power_list],Table76[[#This Row],[Item 2]])</f>
        <v>SC +</v>
      </c>
      <c r="G283" s="162" t="str">
        <f>INDEX(Table75[Power_list],Table76[[#This Row],[Item 3]])</f>
        <v xml:space="preserve">Lower damage from arrows </v>
      </c>
      <c r="H283" s="1">
        <f>INDEX($C$31:$C$44,MATCH(Table7678[[#This Row],[Item 2]],Table75[Power_list],0))+INDEX($C$31:$C$44,MATCH(Table7678[[#This Row],[Item 1]],Table75[Power_list],0))+INDEX($C$31:$C$44,MATCH(Table7678[[#This Row],[Item 3]],Table75[Power_list],0))</f>
        <v>21</v>
      </c>
      <c r="J283" s="1">
        <v>236</v>
      </c>
      <c r="K283" s="1" t="s">
        <v>272</v>
      </c>
      <c r="L283" s="1" t="s">
        <v>294</v>
      </c>
      <c r="M283" s="1" t="s">
        <v>299</v>
      </c>
      <c r="N283" s="1">
        <v>22</v>
      </c>
      <c r="O283" s="1" t="b">
        <f>(IFERROR(FIND("Lower",Table78[[#This Row],[Item 1]]),0)+IFERROR(FIND("Lower",Table78[[#This Row],[Item 2]]),0)+IFERROR(FIND("Lower",Table78[[#This Row],[Item 3]]),0))&lt;2</f>
        <v>0</v>
      </c>
    </row>
    <row r="284" spans="1:22" x14ac:dyDescent="0.25">
      <c r="A284" s="162">
        <v>6</v>
      </c>
      <c r="B284" s="1">
        <v>8</v>
      </c>
      <c r="C284" s="1">
        <v>9</v>
      </c>
      <c r="E284" s="162" t="str">
        <f>INDEX(Table75[Power_list],Table76[[#This Row],[Item 1]])</f>
        <v>Fire Rush Time +</v>
      </c>
      <c r="F284" s="162" t="str">
        <f>INDEX(Table75[Power_list],Table76[[#This Row],[Item 2]])</f>
        <v>Score +</v>
      </c>
      <c r="G284" s="162" t="str">
        <f>INDEX(Table75[Power_list],Table76[[#This Row],[Item 3]])</f>
        <v>Food +</v>
      </c>
      <c r="H284" s="1">
        <f>INDEX($C$31:$C$44,MATCH(Table7678[[#This Row],[Item 2]],Table75[Power_list],0))+INDEX($C$31:$C$44,MATCH(Table7678[[#This Row],[Item 1]],Table75[Power_list],0))+INDEX($C$31:$C$44,MATCH(Table7678[[#This Row],[Item 3]],Table75[Power_list],0))</f>
        <v>22</v>
      </c>
      <c r="J284" s="1">
        <v>237</v>
      </c>
      <c r="K284" s="1" t="s">
        <v>272</v>
      </c>
      <c r="L284" s="1" t="s">
        <v>294</v>
      </c>
      <c r="M284" s="1" t="s">
        <v>296</v>
      </c>
      <c r="N284" s="1">
        <v>21</v>
      </c>
      <c r="O284" s="1" t="b">
        <f>(IFERROR(FIND("Lower",Table78[[#This Row],[Item 1]]),0)+IFERROR(FIND("Lower",Table78[[#This Row],[Item 2]]),0)+IFERROR(FIND("Lower",Table78[[#This Row],[Item 3]]),0))&lt;2</f>
        <v>0</v>
      </c>
    </row>
    <row r="285" spans="1:22" x14ac:dyDescent="0.25">
      <c r="A285" s="162">
        <v>6</v>
      </c>
      <c r="B285" s="1">
        <v>8</v>
      </c>
      <c r="C285" s="1">
        <v>10</v>
      </c>
      <c r="E285" s="162" t="str">
        <f>INDEX(Table75[Power_list],Table76[[#This Row],[Item 1]])</f>
        <v>Fire Rush Time +</v>
      </c>
      <c r="F285" s="162" t="str">
        <f>INDEX(Table75[Power_list],Table76[[#This Row],[Item 2]])</f>
        <v>Score +</v>
      </c>
      <c r="G285" s="162" t="str">
        <f>INDEX(Table75[Power_list],Table76[[#This Row],[Item 3]])</f>
        <v xml:space="preserve">Lower damage from mines </v>
      </c>
      <c r="H285" s="1">
        <f>INDEX($C$31:$C$44,MATCH(Table7678[[#This Row],[Item 2]],Table75[Power_list],0))+INDEX($C$31:$C$44,MATCH(Table7678[[#This Row],[Item 1]],Table75[Power_list],0))+INDEX($C$31:$C$44,MATCH(Table7678[[#This Row],[Item 3]],Table75[Power_list],0))</f>
        <v>24</v>
      </c>
      <c r="J285" s="1">
        <v>238</v>
      </c>
      <c r="K285" s="1" t="s">
        <v>272</v>
      </c>
      <c r="L285" s="1" t="s">
        <v>295</v>
      </c>
      <c r="M285" s="1" t="s">
        <v>299</v>
      </c>
      <c r="N285" s="1">
        <v>17</v>
      </c>
      <c r="O285" s="1" t="b">
        <f>(IFERROR(FIND("Lower",Table78[[#This Row],[Item 1]]),0)+IFERROR(FIND("Lower",Table78[[#This Row],[Item 2]]),0)+IFERROR(FIND("Lower",Table78[[#This Row],[Item 3]]),0))&lt;2</f>
        <v>0</v>
      </c>
    </row>
    <row r="286" spans="1:22" x14ac:dyDescent="0.25">
      <c r="A286" s="162">
        <v>6</v>
      </c>
      <c r="B286" s="1">
        <v>8</v>
      </c>
      <c r="C286" s="1">
        <v>11</v>
      </c>
      <c r="E286" s="162" t="str">
        <f>INDEX(Table75[Power_list],Table76[[#This Row],[Item 1]])</f>
        <v>Fire Rush Time +</v>
      </c>
      <c r="F286" s="162" t="str">
        <f>INDEX(Table75[Power_list],Table76[[#This Row],[Item 2]])</f>
        <v>Score +</v>
      </c>
      <c r="G286" s="162" t="str">
        <f>INDEX(Table75[Power_list],Table76[[#This Row],[Item 3]])</f>
        <v xml:space="preserve">Lower damage from ghosts </v>
      </c>
      <c r="H286" s="1">
        <f>INDEX($C$31:$C$44,MATCH(Table7678[[#This Row],[Item 2]],Table75[Power_list],0))+INDEX($C$31:$C$44,MATCH(Table7678[[#This Row],[Item 1]],Table75[Power_list],0))+INDEX($C$31:$C$44,MATCH(Table7678[[#This Row],[Item 3]],Table75[Power_list],0))</f>
        <v>19</v>
      </c>
      <c r="J286" s="1">
        <v>239</v>
      </c>
      <c r="K286" s="1" t="s">
        <v>272</v>
      </c>
      <c r="L286" s="1" t="s">
        <v>295</v>
      </c>
      <c r="M286" s="1" t="s">
        <v>296</v>
      </c>
      <c r="N286" s="1">
        <v>16</v>
      </c>
      <c r="O286" s="1" t="b">
        <f>(IFERROR(FIND("Lower",Table78[[#This Row],[Item 1]]),0)+IFERROR(FIND("Lower",Table78[[#This Row],[Item 2]]),0)+IFERROR(FIND("Lower",Table78[[#This Row],[Item 3]]),0))&lt;2</f>
        <v>0</v>
      </c>
    </row>
    <row r="287" spans="1:22" x14ac:dyDescent="0.25">
      <c r="A287" s="162">
        <v>6</v>
      </c>
      <c r="B287" s="1">
        <v>8</v>
      </c>
      <c r="C287" s="1">
        <v>12</v>
      </c>
      <c r="E287" s="162" t="str">
        <f>INDEX(Table75[Power_list],Table76[[#This Row],[Item 1]])</f>
        <v>Fire Rush Time +</v>
      </c>
      <c r="F287" s="162" t="str">
        <f>INDEX(Table75[Power_list],Table76[[#This Row],[Item 2]])</f>
        <v>Score +</v>
      </c>
      <c r="G287" s="162" t="str">
        <f>INDEX(Table75[Power_list],Table76[[#This Row],[Item 3]])</f>
        <v xml:space="preserve">Lower damage from poison </v>
      </c>
      <c r="H287" s="1">
        <f>INDEX($C$31:$C$44,MATCH(Table7678[[#This Row],[Item 2]],Table75[Power_list],0))+INDEX($C$31:$C$44,MATCH(Table7678[[#This Row],[Item 1]],Table75[Power_list],0))+INDEX($C$31:$C$44,MATCH(Table7678[[#This Row],[Item 3]],Table75[Power_list],0))</f>
        <v>21</v>
      </c>
      <c r="J287" s="1">
        <v>240</v>
      </c>
      <c r="K287" s="1" t="s">
        <v>272</v>
      </c>
      <c r="L287" s="1" t="s">
        <v>299</v>
      </c>
      <c r="M287" s="1" t="s">
        <v>296</v>
      </c>
      <c r="N287" s="1">
        <v>18</v>
      </c>
      <c r="O287" s="1" t="b">
        <f>(IFERROR(FIND("Lower",Table78[[#This Row],[Item 1]]),0)+IFERROR(FIND("Lower",Table78[[#This Row],[Item 2]]),0)+IFERROR(FIND("Lower",Table78[[#This Row],[Item 3]]),0))&lt;2</f>
        <v>0</v>
      </c>
    </row>
    <row r="288" spans="1:22" x14ac:dyDescent="0.25">
      <c r="A288" s="162">
        <v>6</v>
      </c>
      <c r="B288" s="1">
        <v>8</v>
      </c>
      <c r="C288" s="1">
        <v>13</v>
      </c>
      <c r="E288" s="162" t="str">
        <f>INDEX(Table75[Power_list],Table76[[#This Row],[Item 1]])</f>
        <v>Fire Rush Time +</v>
      </c>
      <c r="F288" s="162" t="str">
        <f>INDEX(Table75[Power_list],Table76[[#This Row],[Item 2]])</f>
        <v>Score +</v>
      </c>
      <c r="G288" s="162" t="str">
        <f>INDEX(Table75[Power_list],Table76[[#This Row],[Item 3]])</f>
        <v xml:space="preserve">Lower damage from arrows </v>
      </c>
      <c r="H288" s="1">
        <f>INDEX($C$31:$C$44,MATCH(Table7678[[#This Row],[Item 2]],Table75[Power_list],0))+INDEX($C$31:$C$44,MATCH(Table7678[[#This Row],[Item 1]],Table75[Power_list],0))+INDEX($C$31:$C$44,MATCH(Table7678[[#This Row],[Item 3]],Table75[Power_list],0))</f>
        <v>20</v>
      </c>
      <c r="J288" s="1">
        <v>241</v>
      </c>
      <c r="K288" s="1" t="s">
        <v>273</v>
      </c>
      <c r="L288" s="1" t="s">
        <v>294</v>
      </c>
      <c r="M288" s="1" t="s">
        <v>295</v>
      </c>
      <c r="N288" s="1">
        <v>14</v>
      </c>
      <c r="O288" s="1" t="b">
        <f>(IFERROR(FIND("Lower",Table78[[#This Row],[Item 1]]),0)+IFERROR(FIND("Lower",Table78[[#This Row],[Item 2]]),0)+IFERROR(FIND("Lower",Table78[[#This Row],[Item 3]]),0))&lt;2</f>
        <v>0</v>
      </c>
    </row>
    <row r="289" spans="1:15" x14ac:dyDescent="0.25">
      <c r="A289" s="162">
        <v>6</v>
      </c>
      <c r="B289" s="1">
        <v>9</v>
      </c>
      <c r="C289" s="1">
        <v>10</v>
      </c>
      <c r="E289" s="162" t="str">
        <f>INDEX(Table75[Power_list],Table76[[#This Row],[Item 1]])</f>
        <v>Fire Rush Time +</v>
      </c>
      <c r="F289" s="162" t="str">
        <f>INDEX(Table75[Power_list],Table76[[#This Row],[Item 2]])</f>
        <v>Food +</v>
      </c>
      <c r="G289" s="162" t="str">
        <f>INDEX(Table75[Power_list],Table76[[#This Row],[Item 3]])</f>
        <v xml:space="preserve">Lower damage from mines </v>
      </c>
      <c r="H289" s="1">
        <f>INDEX($C$31:$C$44,MATCH(Table7678[[#This Row],[Item 2]],Table75[Power_list],0))+INDEX($C$31:$C$44,MATCH(Table7678[[#This Row],[Item 1]],Table75[Power_list],0))+INDEX($C$31:$C$44,MATCH(Table7678[[#This Row],[Item 3]],Table75[Power_list],0))</f>
        <v>18</v>
      </c>
      <c r="J289" s="1">
        <v>242</v>
      </c>
      <c r="K289" s="1" t="s">
        <v>273</v>
      </c>
      <c r="L289" s="1" t="s">
        <v>294</v>
      </c>
      <c r="M289" s="1" t="s">
        <v>299</v>
      </c>
      <c r="N289" s="1">
        <v>16</v>
      </c>
      <c r="O289" s="1" t="b">
        <f>(IFERROR(FIND("Lower",Table78[[#This Row],[Item 1]]),0)+IFERROR(FIND("Lower",Table78[[#This Row],[Item 2]]),0)+IFERROR(FIND("Lower",Table78[[#This Row],[Item 3]]),0))&lt;2</f>
        <v>0</v>
      </c>
    </row>
    <row r="290" spans="1:15" x14ac:dyDescent="0.25">
      <c r="A290" s="162">
        <v>6</v>
      </c>
      <c r="B290" s="1">
        <v>9</v>
      </c>
      <c r="C290" s="1">
        <v>11</v>
      </c>
      <c r="E290" s="162" t="str">
        <f>INDEX(Table75[Power_list],Table76[[#This Row],[Item 1]])</f>
        <v>Fire Rush Time +</v>
      </c>
      <c r="F290" s="162" t="str">
        <f>INDEX(Table75[Power_list],Table76[[#This Row],[Item 2]])</f>
        <v>Food +</v>
      </c>
      <c r="G290" s="162" t="str">
        <f>INDEX(Table75[Power_list],Table76[[#This Row],[Item 3]])</f>
        <v xml:space="preserve">Lower damage from ghosts </v>
      </c>
      <c r="H290" s="1">
        <f>INDEX($C$31:$C$44,MATCH(Table7678[[#This Row],[Item 2]],Table75[Power_list],0))+INDEX($C$31:$C$44,MATCH(Table7678[[#This Row],[Item 1]],Table75[Power_list],0))+INDEX($C$31:$C$44,MATCH(Table7678[[#This Row],[Item 3]],Table75[Power_list],0))</f>
        <v>13</v>
      </c>
      <c r="J290" s="1">
        <v>243</v>
      </c>
      <c r="K290" s="1" t="s">
        <v>273</v>
      </c>
      <c r="L290" s="1" t="s">
        <v>294</v>
      </c>
      <c r="M290" s="1" t="s">
        <v>296</v>
      </c>
      <c r="N290" s="1">
        <v>15</v>
      </c>
      <c r="O290" s="1" t="b">
        <f>(IFERROR(FIND("Lower",Table78[[#This Row],[Item 1]]),0)+IFERROR(FIND("Lower",Table78[[#This Row],[Item 2]]),0)+IFERROR(FIND("Lower",Table78[[#This Row],[Item 3]]),0))&lt;2</f>
        <v>0</v>
      </c>
    </row>
    <row r="291" spans="1:15" x14ac:dyDescent="0.25">
      <c r="A291" s="162">
        <v>6</v>
      </c>
      <c r="B291" s="1">
        <v>9</v>
      </c>
      <c r="C291" s="1">
        <v>12</v>
      </c>
      <c r="E291" s="162" t="str">
        <f>INDEX(Table75[Power_list],Table76[[#This Row],[Item 1]])</f>
        <v>Fire Rush Time +</v>
      </c>
      <c r="F291" s="162" t="str">
        <f>INDEX(Table75[Power_list],Table76[[#This Row],[Item 2]])</f>
        <v>Food +</v>
      </c>
      <c r="G291" s="162" t="str">
        <f>INDEX(Table75[Power_list],Table76[[#This Row],[Item 3]])</f>
        <v xml:space="preserve">Lower damage from poison </v>
      </c>
      <c r="H291" s="1">
        <f>INDEX($C$31:$C$44,MATCH(Table7678[[#This Row],[Item 2]],Table75[Power_list],0))+INDEX($C$31:$C$44,MATCH(Table7678[[#This Row],[Item 1]],Table75[Power_list],0))+INDEX($C$31:$C$44,MATCH(Table7678[[#This Row],[Item 3]],Table75[Power_list],0))</f>
        <v>15</v>
      </c>
      <c r="J291" s="1">
        <v>244</v>
      </c>
      <c r="K291" s="1" t="s">
        <v>273</v>
      </c>
      <c r="L291" s="1" t="s">
        <v>295</v>
      </c>
      <c r="M291" s="1" t="s">
        <v>299</v>
      </c>
      <c r="N291" s="1">
        <v>11</v>
      </c>
      <c r="O291" s="1" t="b">
        <f>(IFERROR(FIND("Lower",Table78[[#This Row],[Item 1]]),0)+IFERROR(FIND("Lower",Table78[[#This Row],[Item 2]]),0)+IFERROR(FIND("Lower",Table78[[#This Row],[Item 3]]),0))&lt;2</f>
        <v>0</v>
      </c>
    </row>
    <row r="292" spans="1:15" x14ac:dyDescent="0.25">
      <c r="A292" s="162">
        <v>6</v>
      </c>
      <c r="B292" s="1">
        <v>9</v>
      </c>
      <c r="C292" s="1">
        <v>13</v>
      </c>
      <c r="E292" s="162" t="str">
        <f>INDEX(Table75[Power_list],Table76[[#This Row],[Item 1]])</f>
        <v>Fire Rush Time +</v>
      </c>
      <c r="F292" s="162" t="str">
        <f>INDEX(Table75[Power_list],Table76[[#This Row],[Item 2]])</f>
        <v>Food +</v>
      </c>
      <c r="G292" s="162" t="str">
        <f>INDEX(Table75[Power_list],Table76[[#This Row],[Item 3]])</f>
        <v xml:space="preserve">Lower damage from arrows </v>
      </c>
      <c r="H292" s="1">
        <f>INDEX($C$31:$C$44,MATCH(Table7678[[#This Row],[Item 2]],Table75[Power_list],0))+INDEX($C$31:$C$44,MATCH(Table7678[[#This Row],[Item 1]],Table75[Power_list],0))+INDEX($C$31:$C$44,MATCH(Table7678[[#This Row],[Item 3]],Table75[Power_list],0))</f>
        <v>14</v>
      </c>
      <c r="J292" s="1">
        <v>245</v>
      </c>
      <c r="K292" s="1" t="s">
        <v>273</v>
      </c>
      <c r="L292" s="1" t="s">
        <v>295</v>
      </c>
      <c r="M292" s="1" t="s">
        <v>296</v>
      </c>
      <c r="N292" s="1">
        <v>10</v>
      </c>
      <c r="O292" s="1" t="b">
        <f>(IFERROR(FIND("Lower",Table78[[#This Row],[Item 1]]),0)+IFERROR(FIND("Lower",Table78[[#This Row],[Item 2]]),0)+IFERROR(FIND("Lower",Table78[[#This Row],[Item 3]]),0))&lt;2</f>
        <v>0</v>
      </c>
    </row>
    <row r="293" spans="1:15" x14ac:dyDescent="0.25">
      <c r="A293" s="162">
        <v>6</v>
      </c>
      <c r="B293" s="1">
        <v>10</v>
      </c>
      <c r="C293" s="1">
        <v>11</v>
      </c>
      <c r="E293" s="162" t="str">
        <f>INDEX(Table75[Power_list],Table76[[#This Row],[Item 1]])</f>
        <v>Fire Rush Time +</v>
      </c>
      <c r="F293" s="162" t="str">
        <f>INDEX(Table75[Power_list],Table76[[#This Row],[Item 2]])</f>
        <v xml:space="preserve">Lower damage from mines </v>
      </c>
      <c r="G293" s="162" t="str">
        <f>INDEX(Table75[Power_list],Table76[[#This Row],[Item 3]])</f>
        <v xml:space="preserve">Lower damage from ghosts </v>
      </c>
      <c r="H293" s="1">
        <f>INDEX($C$31:$C$44,MATCH(Table7678[[#This Row],[Item 2]],Table75[Power_list],0))+INDEX($C$31:$C$44,MATCH(Table7678[[#This Row],[Item 1]],Table75[Power_list],0))+INDEX($C$31:$C$44,MATCH(Table7678[[#This Row],[Item 3]],Table75[Power_list],0))</f>
        <v>15</v>
      </c>
      <c r="J293" s="1">
        <v>246</v>
      </c>
      <c r="K293" s="1" t="s">
        <v>273</v>
      </c>
      <c r="L293" s="1" t="s">
        <v>299</v>
      </c>
      <c r="M293" s="1" t="s">
        <v>296</v>
      </c>
      <c r="N293" s="1">
        <v>12</v>
      </c>
      <c r="O293" s="1" t="b">
        <f>(IFERROR(FIND("Lower",Table78[[#This Row],[Item 1]]),0)+IFERROR(FIND("Lower",Table78[[#This Row],[Item 2]]),0)+IFERROR(FIND("Lower",Table78[[#This Row],[Item 3]]),0))&lt;2</f>
        <v>0</v>
      </c>
    </row>
    <row r="294" spans="1:15" x14ac:dyDescent="0.25">
      <c r="A294" s="162">
        <v>6</v>
      </c>
      <c r="B294" s="1">
        <v>10</v>
      </c>
      <c r="C294" s="1">
        <v>12</v>
      </c>
      <c r="E294" s="162" t="str">
        <f>INDEX(Table75[Power_list],Table76[[#This Row],[Item 1]])</f>
        <v>Fire Rush Time +</v>
      </c>
      <c r="F294" s="162" t="str">
        <f>INDEX(Table75[Power_list],Table76[[#This Row],[Item 2]])</f>
        <v xml:space="preserve">Lower damage from mines </v>
      </c>
      <c r="G294" s="162" t="str">
        <f>INDEX(Table75[Power_list],Table76[[#This Row],[Item 3]])</f>
        <v xml:space="preserve">Lower damage from poison </v>
      </c>
      <c r="H294" s="1">
        <f>INDEX($C$31:$C$44,MATCH(Table7678[[#This Row],[Item 2]],Table75[Power_list],0))+INDEX($C$31:$C$44,MATCH(Table7678[[#This Row],[Item 1]],Table75[Power_list],0))+INDEX($C$31:$C$44,MATCH(Table7678[[#This Row],[Item 3]],Table75[Power_list],0))</f>
        <v>17</v>
      </c>
      <c r="J294" s="1">
        <v>247</v>
      </c>
      <c r="K294" s="1" t="s">
        <v>274</v>
      </c>
      <c r="L294" s="1" t="s">
        <v>294</v>
      </c>
      <c r="M294" s="1" t="s">
        <v>295</v>
      </c>
      <c r="N294" s="1">
        <v>16</v>
      </c>
      <c r="O294" s="1" t="b">
        <f>(IFERROR(FIND("Lower",Table78[[#This Row],[Item 1]]),0)+IFERROR(FIND("Lower",Table78[[#This Row],[Item 2]]),0)+IFERROR(FIND("Lower",Table78[[#This Row],[Item 3]]),0))&lt;2</f>
        <v>0</v>
      </c>
    </row>
    <row r="295" spans="1:15" x14ac:dyDescent="0.25">
      <c r="A295" s="162">
        <v>6</v>
      </c>
      <c r="B295" s="1">
        <v>10</v>
      </c>
      <c r="C295" s="1">
        <v>13</v>
      </c>
      <c r="E295" s="162" t="str">
        <f>INDEX(Table75[Power_list],Table76[[#This Row],[Item 1]])</f>
        <v>Fire Rush Time +</v>
      </c>
      <c r="F295" s="162" t="str">
        <f>INDEX(Table75[Power_list],Table76[[#This Row],[Item 2]])</f>
        <v xml:space="preserve">Lower damage from mines </v>
      </c>
      <c r="G295" s="162" t="str">
        <f>INDEX(Table75[Power_list],Table76[[#This Row],[Item 3]])</f>
        <v xml:space="preserve">Lower damage from arrows </v>
      </c>
      <c r="H295" s="1">
        <f>INDEX($C$31:$C$44,MATCH(Table7678[[#This Row],[Item 2]],Table75[Power_list],0))+INDEX($C$31:$C$44,MATCH(Table7678[[#This Row],[Item 1]],Table75[Power_list],0))+INDEX($C$31:$C$44,MATCH(Table7678[[#This Row],[Item 3]],Table75[Power_list],0))</f>
        <v>16</v>
      </c>
      <c r="J295" s="1">
        <v>248</v>
      </c>
      <c r="K295" s="1" t="s">
        <v>274</v>
      </c>
      <c r="L295" s="1" t="s">
        <v>294</v>
      </c>
      <c r="M295" s="1" t="s">
        <v>299</v>
      </c>
      <c r="N295" s="1">
        <v>18</v>
      </c>
      <c r="O295" s="1" t="b">
        <f>(IFERROR(FIND("Lower",Table78[[#This Row],[Item 1]]),0)+IFERROR(FIND("Lower",Table78[[#This Row],[Item 2]]),0)+IFERROR(FIND("Lower",Table78[[#This Row],[Item 3]]),0))&lt;2</f>
        <v>0</v>
      </c>
    </row>
    <row r="296" spans="1:15" x14ac:dyDescent="0.25">
      <c r="A296" s="162">
        <v>6</v>
      </c>
      <c r="B296" s="1">
        <v>11</v>
      </c>
      <c r="C296" s="1">
        <v>12</v>
      </c>
      <c r="E296" s="162" t="str">
        <f>INDEX(Table75[Power_list],Table76[[#This Row],[Item 1]])</f>
        <v>Fire Rush Time +</v>
      </c>
      <c r="F296" s="162" t="str">
        <f>INDEX(Table75[Power_list],Table76[[#This Row],[Item 2]])</f>
        <v xml:space="preserve">Lower damage from ghosts </v>
      </c>
      <c r="G296" s="162" t="str">
        <f>INDEX(Table75[Power_list],Table76[[#This Row],[Item 3]])</f>
        <v xml:space="preserve">Lower damage from poison </v>
      </c>
      <c r="H296" s="1">
        <f>INDEX($C$31:$C$44,MATCH(Table7678[[#This Row],[Item 2]],Table75[Power_list],0))+INDEX($C$31:$C$44,MATCH(Table7678[[#This Row],[Item 1]],Table75[Power_list],0))+INDEX($C$31:$C$44,MATCH(Table7678[[#This Row],[Item 3]],Table75[Power_list],0))</f>
        <v>12</v>
      </c>
      <c r="J296" s="1">
        <v>249</v>
      </c>
      <c r="K296" s="1" t="s">
        <v>274</v>
      </c>
      <c r="L296" s="1" t="s">
        <v>294</v>
      </c>
      <c r="M296" s="1" t="s">
        <v>296</v>
      </c>
      <c r="N296" s="1">
        <v>17</v>
      </c>
      <c r="O296" s="1" t="b">
        <f>(IFERROR(FIND("Lower",Table78[[#This Row],[Item 1]]),0)+IFERROR(FIND("Lower",Table78[[#This Row],[Item 2]]),0)+IFERROR(FIND("Lower",Table78[[#This Row],[Item 3]]),0))&lt;2</f>
        <v>0</v>
      </c>
    </row>
    <row r="297" spans="1:15" x14ac:dyDescent="0.25">
      <c r="A297" s="162">
        <v>6</v>
      </c>
      <c r="B297" s="1">
        <v>11</v>
      </c>
      <c r="C297" s="1">
        <v>13</v>
      </c>
      <c r="E297" s="162" t="str">
        <f>INDEX(Table75[Power_list],Table76[[#This Row],[Item 1]])</f>
        <v>Fire Rush Time +</v>
      </c>
      <c r="F297" s="162" t="str">
        <f>INDEX(Table75[Power_list],Table76[[#This Row],[Item 2]])</f>
        <v xml:space="preserve">Lower damage from ghosts </v>
      </c>
      <c r="G297" s="162" t="str">
        <f>INDEX(Table75[Power_list],Table76[[#This Row],[Item 3]])</f>
        <v xml:space="preserve">Lower damage from arrows </v>
      </c>
      <c r="H297" s="1">
        <f>INDEX($C$31:$C$44,MATCH(Table7678[[#This Row],[Item 2]],Table75[Power_list],0))+INDEX($C$31:$C$44,MATCH(Table7678[[#This Row],[Item 1]],Table75[Power_list],0))+INDEX($C$31:$C$44,MATCH(Table7678[[#This Row],[Item 3]],Table75[Power_list],0))</f>
        <v>11</v>
      </c>
      <c r="J297" s="1">
        <v>250</v>
      </c>
      <c r="K297" s="1" t="s">
        <v>274</v>
      </c>
      <c r="L297" s="1" t="s">
        <v>295</v>
      </c>
      <c r="M297" s="1" t="s">
        <v>299</v>
      </c>
      <c r="N297" s="1">
        <v>13</v>
      </c>
      <c r="O297" s="1" t="b">
        <f>(IFERROR(FIND("Lower",Table78[[#This Row],[Item 1]]),0)+IFERROR(FIND("Lower",Table78[[#This Row],[Item 2]]),0)+IFERROR(FIND("Lower",Table78[[#This Row],[Item 3]]),0))&lt;2</f>
        <v>0</v>
      </c>
    </row>
    <row r="298" spans="1:15" x14ac:dyDescent="0.25">
      <c r="A298" s="162">
        <v>6</v>
      </c>
      <c r="B298" s="1">
        <v>12</v>
      </c>
      <c r="C298" s="1">
        <v>13</v>
      </c>
      <c r="E298" s="162" t="str">
        <f>INDEX(Table75[Power_list],Table76[[#This Row],[Item 1]])</f>
        <v>Fire Rush Time +</v>
      </c>
      <c r="F298" s="162" t="str">
        <f>INDEX(Table75[Power_list],Table76[[#This Row],[Item 2]])</f>
        <v xml:space="preserve">Lower damage from poison </v>
      </c>
      <c r="G298" s="162" t="str">
        <f>INDEX(Table75[Power_list],Table76[[#This Row],[Item 3]])</f>
        <v xml:space="preserve">Lower damage from arrows </v>
      </c>
      <c r="H298" s="1">
        <f>INDEX($C$31:$C$44,MATCH(Table7678[[#This Row],[Item 2]],Table75[Power_list],0))+INDEX($C$31:$C$44,MATCH(Table7678[[#This Row],[Item 1]],Table75[Power_list],0))+INDEX($C$31:$C$44,MATCH(Table7678[[#This Row],[Item 3]],Table75[Power_list],0))</f>
        <v>13</v>
      </c>
      <c r="J298" s="1">
        <v>251</v>
      </c>
      <c r="K298" s="1" t="s">
        <v>274</v>
      </c>
      <c r="L298" s="1" t="s">
        <v>295</v>
      </c>
      <c r="M298" s="1" t="s">
        <v>296</v>
      </c>
      <c r="N298" s="1">
        <v>12</v>
      </c>
      <c r="O298" s="1" t="b">
        <f>(IFERROR(FIND("Lower",Table78[[#This Row],[Item 1]]),0)+IFERROR(FIND("Lower",Table78[[#This Row],[Item 2]]),0)+IFERROR(FIND("Lower",Table78[[#This Row],[Item 3]]),0))&lt;2</f>
        <v>0</v>
      </c>
    </row>
    <row r="299" spans="1:15" x14ac:dyDescent="0.25">
      <c r="A299" s="162">
        <v>7</v>
      </c>
      <c r="B299" s="1">
        <v>8</v>
      </c>
      <c r="C299" s="1">
        <v>9</v>
      </c>
      <c r="E299" s="162" t="str">
        <f>INDEX(Table75[Power_list],Table76[[#This Row],[Item 1]])</f>
        <v>SC +</v>
      </c>
      <c r="F299" s="162" t="str">
        <f>INDEX(Table75[Power_list],Table76[[#This Row],[Item 2]])</f>
        <v>Score +</v>
      </c>
      <c r="G299" s="162" t="str">
        <f>INDEX(Table75[Power_list],Table76[[#This Row],[Item 3]])</f>
        <v>Food +</v>
      </c>
      <c r="H299" s="1">
        <f>INDEX($C$31:$C$44,MATCH(Table7678[[#This Row],[Item 2]],Table75[Power_list],0))+INDEX($C$31:$C$44,MATCH(Table7678[[#This Row],[Item 1]],Table75[Power_list],0))+INDEX($C$31:$C$44,MATCH(Table7678[[#This Row],[Item 3]],Table75[Power_list],0))</f>
        <v>25</v>
      </c>
      <c r="J299" s="1">
        <v>252</v>
      </c>
      <c r="K299" s="1" t="s">
        <v>274</v>
      </c>
      <c r="L299" s="1" t="s">
        <v>299</v>
      </c>
      <c r="M299" s="1" t="s">
        <v>296</v>
      </c>
      <c r="N299" s="1">
        <v>14</v>
      </c>
      <c r="O299" s="1" t="b">
        <f>(IFERROR(FIND("Lower",Table78[[#This Row],[Item 1]]),0)+IFERROR(FIND("Lower",Table78[[#This Row],[Item 2]]),0)+IFERROR(FIND("Lower",Table78[[#This Row],[Item 3]]),0))&lt;2</f>
        <v>0</v>
      </c>
    </row>
    <row r="300" spans="1:15" x14ac:dyDescent="0.25">
      <c r="A300" s="162">
        <v>7</v>
      </c>
      <c r="B300" s="1">
        <v>8</v>
      </c>
      <c r="C300" s="1">
        <v>10</v>
      </c>
      <c r="E300" s="162" t="str">
        <f>INDEX(Table75[Power_list],Table76[[#This Row],[Item 1]])</f>
        <v>SC +</v>
      </c>
      <c r="F300" s="162" t="str">
        <f>INDEX(Table75[Power_list],Table76[[#This Row],[Item 2]])</f>
        <v>Score +</v>
      </c>
      <c r="G300" s="162" t="str">
        <f>INDEX(Table75[Power_list],Table76[[#This Row],[Item 3]])</f>
        <v xml:space="preserve">Lower damage from mines </v>
      </c>
      <c r="H300" s="1">
        <f>INDEX($C$31:$C$44,MATCH(Table7678[[#This Row],[Item 2]],Table75[Power_list],0))+INDEX($C$31:$C$44,MATCH(Table7678[[#This Row],[Item 1]],Table75[Power_list],0))+INDEX($C$31:$C$44,MATCH(Table7678[[#This Row],[Item 3]],Table75[Power_list],0))</f>
        <v>27</v>
      </c>
      <c r="J300" s="1">
        <v>253</v>
      </c>
      <c r="K300" s="1" t="s">
        <v>275</v>
      </c>
      <c r="L300" s="1" t="s">
        <v>294</v>
      </c>
      <c r="M300" s="1" t="s">
        <v>295</v>
      </c>
      <c r="N300" s="1">
        <v>12</v>
      </c>
      <c r="O300" s="1" t="b">
        <f>(IFERROR(FIND("Lower",Table78[[#This Row],[Item 1]]),0)+IFERROR(FIND("Lower",Table78[[#This Row],[Item 2]]),0)+IFERROR(FIND("Lower",Table78[[#This Row],[Item 3]]),0))&lt;2</f>
        <v>0</v>
      </c>
    </row>
    <row r="301" spans="1:15" x14ac:dyDescent="0.25">
      <c r="A301" s="162">
        <v>7</v>
      </c>
      <c r="B301" s="1">
        <v>8</v>
      </c>
      <c r="C301" s="1">
        <v>11</v>
      </c>
      <c r="E301" s="162" t="str">
        <f>INDEX(Table75[Power_list],Table76[[#This Row],[Item 1]])</f>
        <v>SC +</v>
      </c>
      <c r="F301" s="162" t="str">
        <f>INDEX(Table75[Power_list],Table76[[#This Row],[Item 2]])</f>
        <v>Score +</v>
      </c>
      <c r="G301" s="162" t="str">
        <f>INDEX(Table75[Power_list],Table76[[#This Row],[Item 3]])</f>
        <v xml:space="preserve">Lower damage from ghosts </v>
      </c>
      <c r="H301" s="1">
        <f>INDEX($C$31:$C$44,MATCH(Table7678[[#This Row],[Item 2]],Table75[Power_list],0))+INDEX($C$31:$C$44,MATCH(Table7678[[#This Row],[Item 1]],Table75[Power_list],0))+INDEX($C$31:$C$44,MATCH(Table7678[[#This Row],[Item 3]],Table75[Power_list],0))</f>
        <v>22</v>
      </c>
      <c r="J301" s="1">
        <v>254</v>
      </c>
      <c r="K301" s="1" t="s">
        <v>275</v>
      </c>
      <c r="L301" s="1" t="s">
        <v>294</v>
      </c>
      <c r="M301" s="1" t="s">
        <v>299</v>
      </c>
      <c r="N301" s="1">
        <v>14</v>
      </c>
      <c r="O301" s="1" t="b">
        <f>(IFERROR(FIND("Lower",Table78[[#This Row],[Item 1]]),0)+IFERROR(FIND("Lower",Table78[[#This Row],[Item 2]]),0)+IFERROR(FIND("Lower",Table78[[#This Row],[Item 3]]),0))&lt;2</f>
        <v>0</v>
      </c>
    </row>
    <row r="302" spans="1:15" x14ac:dyDescent="0.25">
      <c r="A302" s="162">
        <v>7</v>
      </c>
      <c r="B302" s="1">
        <v>8</v>
      </c>
      <c r="C302" s="1">
        <v>12</v>
      </c>
      <c r="E302" s="162" t="str">
        <f>INDEX(Table75[Power_list],Table76[[#This Row],[Item 1]])</f>
        <v>SC +</v>
      </c>
      <c r="F302" s="162" t="str">
        <f>INDEX(Table75[Power_list],Table76[[#This Row],[Item 2]])</f>
        <v>Score +</v>
      </c>
      <c r="G302" s="162" t="str">
        <f>INDEX(Table75[Power_list],Table76[[#This Row],[Item 3]])</f>
        <v xml:space="preserve">Lower damage from poison </v>
      </c>
      <c r="H302" s="1">
        <f>INDEX($C$31:$C$44,MATCH(Table7678[[#This Row],[Item 2]],Table75[Power_list],0))+INDEX($C$31:$C$44,MATCH(Table7678[[#This Row],[Item 1]],Table75[Power_list],0))+INDEX($C$31:$C$44,MATCH(Table7678[[#This Row],[Item 3]],Table75[Power_list],0))</f>
        <v>24</v>
      </c>
      <c r="J302" s="1">
        <v>255</v>
      </c>
      <c r="K302" s="1" t="s">
        <v>275</v>
      </c>
      <c r="L302" s="1" t="s">
        <v>294</v>
      </c>
      <c r="M302" s="1" t="s">
        <v>296</v>
      </c>
      <c r="N302" s="1">
        <v>13</v>
      </c>
      <c r="O302" s="1" t="b">
        <f>(IFERROR(FIND("Lower",Table78[[#This Row],[Item 1]]),0)+IFERROR(FIND("Lower",Table78[[#This Row],[Item 2]]),0)+IFERROR(FIND("Lower",Table78[[#This Row],[Item 3]]),0))&lt;2</f>
        <v>0</v>
      </c>
    </row>
    <row r="303" spans="1:15" x14ac:dyDescent="0.25">
      <c r="A303" s="162">
        <v>7</v>
      </c>
      <c r="B303" s="1">
        <v>8</v>
      </c>
      <c r="C303" s="1">
        <v>13</v>
      </c>
      <c r="E303" s="162" t="str">
        <f>INDEX(Table75[Power_list],Table76[[#This Row],[Item 1]])</f>
        <v>SC +</v>
      </c>
      <c r="F303" s="162" t="str">
        <f>INDEX(Table75[Power_list],Table76[[#This Row],[Item 2]])</f>
        <v>Score +</v>
      </c>
      <c r="G303" s="162" t="str">
        <f>INDEX(Table75[Power_list],Table76[[#This Row],[Item 3]])</f>
        <v xml:space="preserve">Lower damage from arrows </v>
      </c>
      <c r="H303" s="1">
        <f>INDEX($C$31:$C$44,MATCH(Table7678[[#This Row],[Item 2]],Table75[Power_list],0))+INDEX($C$31:$C$44,MATCH(Table7678[[#This Row],[Item 1]],Table75[Power_list],0))+INDEX($C$31:$C$44,MATCH(Table7678[[#This Row],[Item 3]],Table75[Power_list],0))</f>
        <v>23</v>
      </c>
      <c r="J303" s="1">
        <v>256</v>
      </c>
      <c r="K303" s="1" t="s">
        <v>275</v>
      </c>
      <c r="L303" s="1" t="s">
        <v>295</v>
      </c>
      <c r="M303" s="1" t="s">
        <v>299</v>
      </c>
      <c r="N303" s="1">
        <v>9</v>
      </c>
      <c r="O303" s="1" t="b">
        <f>(IFERROR(FIND("Lower",Table78[[#This Row],[Item 1]]),0)+IFERROR(FIND("Lower",Table78[[#This Row],[Item 2]]),0)+IFERROR(FIND("Lower",Table78[[#This Row],[Item 3]]),0))&lt;2</f>
        <v>0</v>
      </c>
    </row>
    <row r="304" spans="1:15" x14ac:dyDescent="0.25">
      <c r="A304" s="162">
        <v>7</v>
      </c>
      <c r="B304" s="1">
        <v>9</v>
      </c>
      <c r="C304" s="1">
        <v>10</v>
      </c>
      <c r="E304" s="162" t="str">
        <f>INDEX(Table75[Power_list],Table76[[#This Row],[Item 1]])</f>
        <v>SC +</v>
      </c>
      <c r="F304" s="162" t="str">
        <f>INDEX(Table75[Power_list],Table76[[#This Row],[Item 2]])</f>
        <v>Food +</v>
      </c>
      <c r="G304" s="162" t="str">
        <f>INDEX(Table75[Power_list],Table76[[#This Row],[Item 3]])</f>
        <v xml:space="preserve">Lower damage from mines </v>
      </c>
      <c r="H304" s="1">
        <f>INDEX($C$31:$C$44,MATCH(Table7678[[#This Row],[Item 2]],Table75[Power_list],0))+INDEX($C$31:$C$44,MATCH(Table7678[[#This Row],[Item 1]],Table75[Power_list],0))+INDEX($C$31:$C$44,MATCH(Table7678[[#This Row],[Item 3]],Table75[Power_list],0))</f>
        <v>21</v>
      </c>
      <c r="J304" s="1">
        <v>257</v>
      </c>
      <c r="K304" s="1" t="s">
        <v>275</v>
      </c>
      <c r="L304" s="1" t="s">
        <v>295</v>
      </c>
      <c r="M304" s="1" t="s">
        <v>296</v>
      </c>
      <c r="N304" s="1">
        <v>8</v>
      </c>
      <c r="O304" s="1" t="b">
        <f>(IFERROR(FIND("Lower",Table78[[#This Row],[Item 1]]),0)+IFERROR(FIND("Lower",Table78[[#This Row],[Item 2]]),0)+IFERROR(FIND("Lower",Table78[[#This Row],[Item 3]]),0))&lt;2</f>
        <v>0</v>
      </c>
    </row>
    <row r="305" spans="1:15" x14ac:dyDescent="0.25">
      <c r="A305" s="162">
        <v>7</v>
      </c>
      <c r="B305" s="1">
        <v>9</v>
      </c>
      <c r="C305" s="1">
        <v>11</v>
      </c>
      <c r="E305" s="162" t="str">
        <f>INDEX(Table75[Power_list],Table76[[#This Row],[Item 1]])</f>
        <v>SC +</v>
      </c>
      <c r="F305" s="162" t="str">
        <f>INDEX(Table75[Power_list],Table76[[#This Row],[Item 2]])</f>
        <v>Food +</v>
      </c>
      <c r="G305" s="162" t="str">
        <f>INDEX(Table75[Power_list],Table76[[#This Row],[Item 3]])</f>
        <v xml:space="preserve">Lower damage from ghosts </v>
      </c>
      <c r="H305" s="1">
        <f>INDEX($C$31:$C$44,MATCH(Table7678[[#This Row],[Item 2]],Table75[Power_list],0))+INDEX($C$31:$C$44,MATCH(Table7678[[#This Row],[Item 1]],Table75[Power_list],0))+INDEX($C$31:$C$44,MATCH(Table7678[[#This Row],[Item 3]],Table75[Power_list],0))</f>
        <v>16</v>
      </c>
      <c r="J305" s="1">
        <v>258</v>
      </c>
      <c r="K305" s="1" t="s">
        <v>275</v>
      </c>
      <c r="L305" s="1" t="s">
        <v>299</v>
      </c>
      <c r="M305" s="1" t="s">
        <v>296</v>
      </c>
      <c r="N305" s="1">
        <v>10</v>
      </c>
      <c r="O305" s="1" t="b">
        <f>(IFERROR(FIND("Lower",Table78[[#This Row],[Item 1]]),0)+IFERROR(FIND("Lower",Table78[[#This Row],[Item 2]]),0)+IFERROR(FIND("Lower",Table78[[#This Row],[Item 3]]),0))&lt;2</f>
        <v>0</v>
      </c>
    </row>
    <row r="306" spans="1:15" x14ac:dyDescent="0.25">
      <c r="A306" s="162">
        <v>7</v>
      </c>
      <c r="B306" s="1">
        <v>9</v>
      </c>
      <c r="C306" s="1">
        <v>12</v>
      </c>
      <c r="E306" s="162" t="str">
        <f>INDEX(Table75[Power_list],Table76[[#This Row],[Item 1]])</f>
        <v>SC +</v>
      </c>
      <c r="F306" s="162" t="str">
        <f>INDEX(Table75[Power_list],Table76[[#This Row],[Item 2]])</f>
        <v>Food +</v>
      </c>
      <c r="G306" s="162" t="str">
        <f>INDEX(Table75[Power_list],Table76[[#This Row],[Item 3]])</f>
        <v xml:space="preserve">Lower damage from poison </v>
      </c>
      <c r="H306" s="1">
        <f>INDEX($C$31:$C$44,MATCH(Table7678[[#This Row],[Item 2]],Table75[Power_list],0))+INDEX($C$31:$C$44,MATCH(Table7678[[#This Row],[Item 1]],Table75[Power_list],0))+INDEX($C$31:$C$44,MATCH(Table7678[[#This Row],[Item 3]],Table75[Power_list],0))</f>
        <v>18</v>
      </c>
      <c r="J306" s="1">
        <v>259</v>
      </c>
      <c r="K306" s="1" t="s">
        <v>276</v>
      </c>
      <c r="L306" s="1" t="s">
        <v>294</v>
      </c>
      <c r="M306" s="1" t="s">
        <v>295</v>
      </c>
      <c r="N306" s="1">
        <v>15</v>
      </c>
      <c r="O306" s="1" t="b">
        <f>(IFERROR(FIND("Lower",Table78[[#This Row],[Item 1]]),0)+IFERROR(FIND("Lower",Table78[[#This Row],[Item 2]]),0)+IFERROR(FIND("Lower",Table78[[#This Row],[Item 3]]),0))&lt;2</f>
        <v>0</v>
      </c>
    </row>
    <row r="307" spans="1:15" x14ac:dyDescent="0.25">
      <c r="A307" s="162">
        <v>7</v>
      </c>
      <c r="B307" s="1">
        <v>9</v>
      </c>
      <c r="C307" s="1">
        <v>13</v>
      </c>
      <c r="E307" s="162" t="str">
        <f>INDEX(Table75[Power_list],Table76[[#This Row],[Item 1]])</f>
        <v>SC +</v>
      </c>
      <c r="F307" s="162" t="str">
        <f>INDEX(Table75[Power_list],Table76[[#This Row],[Item 2]])</f>
        <v>Food +</v>
      </c>
      <c r="G307" s="162" t="str">
        <f>INDEX(Table75[Power_list],Table76[[#This Row],[Item 3]])</f>
        <v xml:space="preserve">Lower damage from arrows </v>
      </c>
      <c r="H307" s="1">
        <f>INDEX($C$31:$C$44,MATCH(Table7678[[#This Row],[Item 2]],Table75[Power_list],0))+INDEX($C$31:$C$44,MATCH(Table7678[[#This Row],[Item 1]],Table75[Power_list],0))+INDEX($C$31:$C$44,MATCH(Table7678[[#This Row],[Item 3]],Table75[Power_list],0))</f>
        <v>17</v>
      </c>
      <c r="J307" s="1">
        <v>260</v>
      </c>
      <c r="K307" s="1" t="s">
        <v>276</v>
      </c>
      <c r="L307" s="1" t="s">
        <v>294</v>
      </c>
      <c r="M307" s="1" t="s">
        <v>299</v>
      </c>
      <c r="N307" s="1">
        <v>17</v>
      </c>
      <c r="O307" s="1" t="b">
        <f>(IFERROR(FIND("Lower",Table78[[#This Row],[Item 1]]),0)+IFERROR(FIND("Lower",Table78[[#This Row],[Item 2]]),0)+IFERROR(FIND("Lower",Table78[[#This Row],[Item 3]]),0))&lt;2</f>
        <v>0</v>
      </c>
    </row>
    <row r="308" spans="1:15" x14ac:dyDescent="0.25">
      <c r="A308" s="162">
        <v>7</v>
      </c>
      <c r="B308" s="1">
        <v>10</v>
      </c>
      <c r="C308" s="1">
        <v>11</v>
      </c>
      <c r="E308" s="162" t="str">
        <f>INDEX(Table75[Power_list],Table76[[#This Row],[Item 1]])</f>
        <v>SC +</v>
      </c>
      <c r="F308" s="162" t="str">
        <f>INDEX(Table75[Power_list],Table76[[#This Row],[Item 2]])</f>
        <v xml:space="preserve">Lower damage from mines </v>
      </c>
      <c r="G308" s="162" t="str">
        <f>INDEX(Table75[Power_list],Table76[[#This Row],[Item 3]])</f>
        <v xml:space="preserve">Lower damage from ghosts </v>
      </c>
      <c r="H308" s="1">
        <f>INDEX($C$31:$C$44,MATCH(Table7678[[#This Row],[Item 2]],Table75[Power_list],0))+INDEX($C$31:$C$44,MATCH(Table7678[[#This Row],[Item 1]],Table75[Power_list],0))+INDEX($C$31:$C$44,MATCH(Table7678[[#This Row],[Item 3]],Table75[Power_list],0))</f>
        <v>18</v>
      </c>
      <c r="J308" s="1">
        <v>261</v>
      </c>
      <c r="K308" s="1" t="s">
        <v>276</v>
      </c>
      <c r="L308" s="1" t="s">
        <v>294</v>
      </c>
      <c r="M308" s="1" t="s">
        <v>296</v>
      </c>
      <c r="N308" s="1">
        <v>16</v>
      </c>
      <c r="O308" s="1" t="b">
        <f>(IFERROR(FIND("Lower",Table78[[#This Row],[Item 1]]),0)+IFERROR(FIND("Lower",Table78[[#This Row],[Item 2]]),0)+IFERROR(FIND("Lower",Table78[[#This Row],[Item 3]]),0))&lt;2</f>
        <v>0</v>
      </c>
    </row>
    <row r="309" spans="1:15" x14ac:dyDescent="0.25">
      <c r="A309" s="162">
        <v>7</v>
      </c>
      <c r="B309" s="1">
        <v>10</v>
      </c>
      <c r="C309" s="1">
        <v>12</v>
      </c>
      <c r="E309" s="162" t="str">
        <f>INDEX(Table75[Power_list],Table76[[#This Row],[Item 1]])</f>
        <v>SC +</v>
      </c>
      <c r="F309" s="162" t="str">
        <f>INDEX(Table75[Power_list],Table76[[#This Row],[Item 2]])</f>
        <v xml:space="preserve">Lower damage from mines </v>
      </c>
      <c r="G309" s="162" t="str">
        <f>INDEX(Table75[Power_list],Table76[[#This Row],[Item 3]])</f>
        <v xml:space="preserve">Lower damage from poison </v>
      </c>
      <c r="H309" s="1">
        <f>INDEX($C$31:$C$44,MATCH(Table7678[[#This Row],[Item 2]],Table75[Power_list],0))+INDEX($C$31:$C$44,MATCH(Table7678[[#This Row],[Item 1]],Table75[Power_list],0))+INDEX($C$31:$C$44,MATCH(Table7678[[#This Row],[Item 3]],Table75[Power_list],0))</f>
        <v>20</v>
      </c>
      <c r="J309" s="1">
        <v>262</v>
      </c>
      <c r="K309" s="1" t="s">
        <v>276</v>
      </c>
      <c r="L309" s="1" t="s">
        <v>295</v>
      </c>
      <c r="M309" s="1" t="s">
        <v>299</v>
      </c>
      <c r="N309" s="1">
        <v>12</v>
      </c>
      <c r="O309" s="1" t="b">
        <f>(IFERROR(FIND("Lower",Table78[[#This Row],[Item 1]]),0)+IFERROR(FIND("Lower",Table78[[#This Row],[Item 2]]),0)+IFERROR(FIND("Lower",Table78[[#This Row],[Item 3]]),0))&lt;2</f>
        <v>0</v>
      </c>
    </row>
    <row r="310" spans="1:15" x14ac:dyDescent="0.25">
      <c r="A310" s="162">
        <v>7</v>
      </c>
      <c r="B310" s="1">
        <v>10</v>
      </c>
      <c r="C310" s="1">
        <v>13</v>
      </c>
      <c r="E310" s="162" t="str">
        <f>INDEX(Table75[Power_list],Table76[[#This Row],[Item 1]])</f>
        <v>SC +</v>
      </c>
      <c r="F310" s="162" t="str">
        <f>INDEX(Table75[Power_list],Table76[[#This Row],[Item 2]])</f>
        <v xml:space="preserve">Lower damage from mines </v>
      </c>
      <c r="G310" s="162" t="str">
        <f>INDEX(Table75[Power_list],Table76[[#This Row],[Item 3]])</f>
        <v xml:space="preserve">Lower damage from arrows </v>
      </c>
      <c r="H310" s="1">
        <f>INDEX($C$31:$C$44,MATCH(Table7678[[#This Row],[Item 2]],Table75[Power_list],0))+INDEX($C$31:$C$44,MATCH(Table7678[[#This Row],[Item 1]],Table75[Power_list],0))+INDEX($C$31:$C$44,MATCH(Table7678[[#This Row],[Item 3]],Table75[Power_list],0))</f>
        <v>19</v>
      </c>
      <c r="J310" s="1">
        <v>263</v>
      </c>
      <c r="K310" s="1" t="s">
        <v>276</v>
      </c>
      <c r="L310" s="1" t="s">
        <v>295</v>
      </c>
      <c r="M310" s="1" t="s">
        <v>296</v>
      </c>
      <c r="N310" s="1">
        <v>11</v>
      </c>
      <c r="O310" s="1" t="b">
        <f>(IFERROR(FIND("Lower",Table78[[#This Row],[Item 1]]),0)+IFERROR(FIND("Lower",Table78[[#This Row],[Item 2]]),0)+IFERROR(FIND("Lower",Table78[[#This Row],[Item 3]]),0))&lt;2</f>
        <v>0</v>
      </c>
    </row>
    <row r="311" spans="1:15" x14ac:dyDescent="0.25">
      <c r="A311" s="162">
        <v>7</v>
      </c>
      <c r="B311" s="1">
        <v>11</v>
      </c>
      <c r="C311" s="1">
        <v>12</v>
      </c>
      <c r="E311" s="162" t="str">
        <f>INDEX(Table75[Power_list],Table76[[#This Row],[Item 1]])</f>
        <v>SC +</v>
      </c>
      <c r="F311" s="162" t="str">
        <f>INDEX(Table75[Power_list],Table76[[#This Row],[Item 2]])</f>
        <v xml:space="preserve">Lower damage from ghosts </v>
      </c>
      <c r="G311" s="162" t="str">
        <f>INDEX(Table75[Power_list],Table76[[#This Row],[Item 3]])</f>
        <v xml:space="preserve">Lower damage from poison </v>
      </c>
      <c r="H311" s="1">
        <f>INDEX($C$31:$C$44,MATCH(Table7678[[#This Row],[Item 2]],Table75[Power_list],0))+INDEX($C$31:$C$44,MATCH(Table7678[[#This Row],[Item 1]],Table75[Power_list],0))+INDEX($C$31:$C$44,MATCH(Table7678[[#This Row],[Item 3]],Table75[Power_list],0))</f>
        <v>15</v>
      </c>
      <c r="J311" s="1">
        <v>264</v>
      </c>
      <c r="K311" s="1" t="s">
        <v>276</v>
      </c>
      <c r="L311" s="1" t="s">
        <v>299</v>
      </c>
      <c r="M311" s="1" t="s">
        <v>296</v>
      </c>
      <c r="N311" s="1">
        <v>13</v>
      </c>
      <c r="O311" s="1" t="b">
        <f>(IFERROR(FIND("Lower",Table78[[#This Row],[Item 1]]),0)+IFERROR(FIND("Lower",Table78[[#This Row],[Item 2]]),0)+IFERROR(FIND("Lower",Table78[[#This Row],[Item 3]]),0))&lt;2</f>
        <v>0</v>
      </c>
    </row>
    <row r="312" spans="1:15" x14ac:dyDescent="0.25">
      <c r="A312" s="162">
        <v>7</v>
      </c>
      <c r="B312" s="1">
        <v>11</v>
      </c>
      <c r="C312" s="1">
        <v>13</v>
      </c>
      <c r="E312" s="162" t="str">
        <f>INDEX(Table75[Power_list],Table76[[#This Row],[Item 1]])</f>
        <v>SC +</v>
      </c>
      <c r="F312" s="162" t="str">
        <f>INDEX(Table75[Power_list],Table76[[#This Row],[Item 2]])</f>
        <v xml:space="preserve">Lower damage from ghosts </v>
      </c>
      <c r="G312" s="162" t="str">
        <f>INDEX(Table75[Power_list],Table76[[#This Row],[Item 3]])</f>
        <v xml:space="preserve">Lower damage from arrows </v>
      </c>
      <c r="H312" s="1">
        <f>INDEX($C$31:$C$44,MATCH(Table7678[[#This Row],[Item 2]],Table75[Power_list],0))+INDEX($C$31:$C$44,MATCH(Table7678[[#This Row],[Item 1]],Table75[Power_list],0))+INDEX($C$31:$C$44,MATCH(Table7678[[#This Row],[Item 3]],Table75[Power_list],0))</f>
        <v>14</v>
      </c>
      <c r="J312" s="1">
        <v>265</v>
      </c>
      <c r="K312" s="1" t="s">
        <v>277</v>
      </c>
      <c r="L312" s="1" t="s">
        <v>294</v>
      </c>
      <c r="M312" s="1" t="s">
        <v>295</v>
      </c>
      <c r="N312" s="1">
        <v>18</v>
      </c>
      <c r="O312" s="1" t="b">
        <f>(IFERROR(FIND("Lower",Table78[[#This Row],[Item 1]]),0)+IFERROR(FIND("Lower",Table78[[#This Row],[Item 2]]),0)+IFERROR(FIND("Lower",Table78[[#This Row],[Item 3]]),0))&lt;2</f>
        <v>0</v>
      </c>
    </row>
    <row r="313" spans="1:15" x14ac:dyDescent="0.25">
      <c r="A313" s="162">
        <v>7</v>
      </c>
      <c r="B313" s="1">
        <v>12</v>
      </c>
      <c r="C313" s="1">
        <v>13</v>
      </c>
      <c r="E313" s="162" t="str">
        <f>INDEX(Table75[Power_list],Table76[[#This Row],[Item 1]])</f>
        <v>SC +</v>
      </c>
      <c r="F313" s="162" t="str">
        <f>INDEX(Table75[Power_list],Table76[[#This Row],[Item 2]])</f>
        <v xml:space="preserve">Lower damage from poison </v>
      </c>
      <c r="G313" s="162" t="str">
        <f>INDEX(Table75[Power_list],Table76[[#This Row],[Item 3]])</f>
        <v xml:space="preserve">Lower damage from arrows </v>
      </c>
      <c r="H313" s="1">
        <f>INDEX($C$31:$C$44,MATCH(Table7678[[#This Row],[Item 2]],Table75[Power_list],0))+INDEX($C$31:$C$44,MATCH(Table7678[[#This Row],[Item 1]],Table75[Power_list],0))+INDEX($C$31:$C$44,MATCH(Table7678[[#This Row],[Item 3]],Table75[Power_list],0))</f>
        <v>16</v>
      </c>
      <c r="J313" s="1">
        <v>266</v>
      </c>
      <c r="K313" s="1" t="s">
        <v>277</v>
      </c>
      <c r="L313" s="1" t="s">
        <v>294</v>
      </c>
      <c r="M313" s="1" t="s">
        <v>299</v>
      </c>
      <c r="N313" s="1">
        <v>20</v>
      </c>
      <c r="O313" s="1" t="b">
        <f>(IFERROR(FIND("Lower",Table78[[#This Row],[Item 1]]),0)+IFERROR(FIND("Lower",Table78[[#This Row],[Item 2]]),0)+IFERROR(FIND("Lower",Table78[[#This Row],[Item 3]]),0))&lt;2</f>
        <v>0</v>
      </c>
    </row>
    <row r="314" spans="1:15" x14ac:dyDescent="0.25">
      <c r="A314" s="162">
        <v>8</v>
      </c>
      <c r="B314" s="1">
        <v>9</v>
      </c>
      <c r="C314" s="1">
        <v>10</v>
      </c>
      <c r="E314" s="162" t="str">
        <f>INDEX(Table75[Power_list],Table76[[#This Row],[Item 1]])</f>
        <v>Score +</v>
      </c>
      <c r="F314" s="162" t="str">
        <f>INDEX(Table75[Power_list],Table76[[#This Row],[Item 2]])</f>
        <v>Food +</v>
      </c>
      <c r="G314" s="162" t="str">
        <f>INDEX(Table75[Power_list],Table76[[#This Row],[Item 3]])</f>
        <v xml:space="preserve">Lower damage from mines </v>
      </c>
      <c r="H314" s="1">
        <f>INDEX($C$31:$C$44,MATCH(Table7678[[#This Row],[Item 2]],Table75[Power_list],0))+INDEX($C$31:$C$44,MATCH(Table7678[[#This Row],[Item 1]],Table75[Power_list],0))+INDEX($C$31:$C$44,MATCH(Table7678[[#This Row],[Item 3]],Table75[Power_list],0))</f>
        <v>20</v>
      </c>
      <c r="J314" s="1">
        <v>267</v>
      </c>
      <c r="K314" s="1" t="s">
        <v>277</v>
      </c>
      <c r="L314" s="1" t="s">
        <v>294</v>
      </c>
      <c r="M314" s="1" t="s">
        <v>296</v>
      </c>
      <c r="N314" s="1">
        <v>19</v>
      </c>
      <c r="O314" s="1" t="b">
        <f>(IFERROR(FIND("Lower",Table78[[#This Row],[Item 1]]),0)+IFERROR(FIND("Lower",Table78[[#This Row],[Item 2]]),0)+IFERROR(FIND("Lower",Table78[[#This Row],[Item 3]]),0))&lt;2</f>
        <v>0</v>
      </c>
    </row>
    <row r="315" spans="1:15" x14ac:dyDescent="0.25">
      <c r="A315" s="162">
        <v>8</v>
      </c>
      <c r="B315" s="1">
        <v>9</v>
      </c>
      <c r="C315" s="1">
        <v>11</v>
      </c>
      <c r="E315" s="162" t="str">
        <f>INDEX(Table75[Power_list],Table76[[#This Row],[Item 1]])</f>
        <v>Score +</v>
      </c>
      <c r="F315" s="162" t="str">
        <f>INDEX(Table75[Power_list],Table76[[#This Row],[Item 2]])</f>
        <v>Food +</v>
      </c>
      <c r="G315" s="162" t="str">
        <f>INDEX(Table75[Power_list],Table76[[#This Row],[Item 3]])</f>
        <v xml:space="preserve">Lower damage from ghosts </v>
      </c>
      <c r="H315" s="1">
        <f>INDEX($C$31:$C$44,MATCH(Table7678[[#This Row],[Item 2]],Table75[Power_list],0))+INDEX($C$31:$C$44,MATCH(Table7678[[#This Row],[Item 1]],Table75[Power_list],0))+INDEX($C$31:$C$44,MATCH(Table7678[[#This Row],[Item 3]],Table75[Power_list],0))</f>
        <v>15</v>
      </c>
      <c r="J315" s="1">
        <v>268</v>
      </c>
      <c r="K315" s="1" t="s">
        <v>277</v>
      </c>
      <c r="L315" s="1" t="s">
        <v>295</v>
      </c>
      <c r="M315" s="1" t="s">
        <v>299</v>
      </c>
      <c r="N315" s="1">
        <v>15</v>
      </c>
      <c r="O315" s="1" t="b">
        <f>(IFERROR(FIND("Lower",Table78[[#This Row],[Item 1]]),0)+IFERROR(FIND("Lower",Table78[[#This Row],[Item 2]]),0)+IFERROR(FIND("Lower",Table78[[#This Row],[Item 3]]),0))&lt;2</f>
        <v>0</v>
      </c>
    </row>
    <row r="316" spans="1:15" x14ac:dyDescent="0.25">
      <c r="A316" s="162">
        <v>8</v>
      </c>
      <c r="B316" s="1">
        <v>9</v>
      </c>
      <c r="C316" s="1">
        <v>12</v>
      </c>
      <c r="E316" s="162" t="str">
        <f>INDEX(Table75[Power_list],Table76[[#This Row],[Item 1]])</f>
        <v>Score +</v>
      </c>
      <c r="F316" s="162" t="str">
        <f>INDEX(Table75[Power_list],Table76[[#This Row],[Item 2]])</f>
        <v>Food +</v>
      </c>
      <c r="G316" s="162" t="str">
        <f>INDEX(Table75[Power_list],Table76[[#This Row],[Item 3]])</f>
        <v xml:space="preserve">Lower damage from poison </v>
      </c>
      <c r="H316" s="1">
        <f>INDEX($C$31:$C$44,MATCH(Table7678[[#This Row],[Item 2]],Table75[Power_list],0))+INDEX($C$31:$C$44,MATCH(Table7678[[#This Row],[Item 1]],Table75[Power_list],0))+INDEX($C$31:$C$44,MATCH(Table7678[[#This Row],[Item 3]],Table75[Power_list],0))</f>
        <v>17</v>
      </c>
      <c r="J316" s="1">
        <v>269</v>
      </c>
      <c r="K316" s="1" t="s">
        <v>277</v>
      </c>
      <c r="L316" s="1" t="s">
        <v>295</v>
      </c>
      <c r="M316" s="1" t="s">
        <v>296</v>
      </c>
      <c r="N316" s="1">
        <v>14</v>
      </c>
      <c r="O316" s="1" t="b">
        <f>(IFERROR(FIND("Lower",Table78[[#This Row],[Item 1]]),0)+IFERROR(FIND("Lower",Table78[[#This Row],[Item 2]]),0)+IFERROR(FIND("Lower",Table78[[#This Row],[Item 3]]),0))&lt;2</f>
        <v>0</v>
      </c>
    </row>
    <row r="317" spans="1:15" x14ac:dyDescent="0.25">
      <c r="A317" s="162">
        <v>8</v>
      </c>
      <c r="B317" s="1">
        <v>9</v>
      </c>
      <c r="C317" s="1">
        <v>13</v>
      </c>
      <c r="E317" s="162" t="str">
        <f>INDEX(Table75[Power_list],Table76[[#This Row],[Item 1]])</f>
        <v>Score +</v>
      </c>
      <c r="F317" s="162" t="str">
        <f>INDEX(Table75[Power_list],Table76[[#This Row],[Item 2]])</f>
        <v>Food +</v>
      </c>
      <c r="G317" s="162" t="str">
        <f>INDEX(Table75[Power_list],Table76[[#This Row],[Item 3]])</f>
        <v xml:space="preserve">Lower damage from arrows </v>
      </c>
      <c r="H317" s="1">
        <f>INDEX($C$31:$C$44,MATCH(Table7678[[#This Row],[Item 2]],Table75[Power_list],0))+INDEX($C$31:$C$44,MATCH(Table7678[[#This Row],[Item 1]],Table75[Power_list],0))+INDEX($C$31:$C$44,MATCH(Table7678[[#This Row],[Item 3]],Table75[Power_list],0))</f>
        <v>16</v>
      </c>
      <c r="J317" s="1">
        <v>270</v>
      </c>
      <c r="K317" s="1" t="s">
        <v>277</v>
      </c>
      <c r="L317" s="1" t="s">
        <v>299</v>
      </c>
      <c r="M317" s="1" t="s">
        <v>296</v>
      </c>
      <c r="N317" s="1">
        <v>16</v>
      </c>
      <c r="O317" s="1" t="b">
        <f>(IFERROR(FIND("Lower",Table78[[#This Row],[Item 1]]),0)+IFERROR(FIND("Lower",Table78[[#This Row],[Item 2]]),0)+IFERROR(FIND("Lower",Table78[[#This Row],[Item 3]]),0))&lt;2</f>
        <v>0</v>
      </c>
    </row>
    <row r="318" spans="1:15" x14ac:dyDescent="0.25">
      <c r="A318" s="162">
        <v>8</v>
      </c>
      <c r="B318" s="1">
        <v>10</v>
      </c>
      <c r="C318" s="1">
        <v>11</v>
      </c>
      <c r="E318" s="162" t="str">
        <f>INDEX(Table75[Power_list],Table76[[#This Row],[Item 1]])</f>
        <v>Score +</v>
      </c>
      <c r="F318" s="162" t="str">
        <f>INDEX(Table75[Power_list],Table76[[#This Row],[Item 2]])</f>
        <v xml:space="preserve">Lower damage from mines </v>
      </c>
      <c r="G318" s="162" t="str">
        <f>INDEX(Table75[Power_list],Table76[[#This Row],[Item 3]])</f>
        <v xml:space="preserve">Lower damage from ghosts </v>
      </c>
      <c r="H318" s="1">
        <f>INDEX($C$31:$C$44,MATCH(Table7678[[#This Row],[Item 2]],Table75[Power_list],0))+INDEX($C$31:$C$44,MATCH(Table7678[[#This Row],[Item 1]],Table75[Power_list],0))+INDEX($C$31:$C$44,MATCH(Table7678[[#This Row],[Item 3]],Table75[Power_list],0))</f>
        <v>17</v>
      </c>
      <c r="J318" s="1">
        <v>271</v>
      </c>
      <c r="K318" s="1" t="s">
        <v>278</v>
      </c>
      <c r="L318" s="1" t="s">
        <v>294</v>
      </c>
      <c r="M318" s="1" t="s">
        <v>295</v>
      </c>
      <c r="N318" s="1">
        <v>17</v>
      </c>
      <c r="O318" s="1" t="b">
        <f>(IFERROR(FIND("Lower",Table78[[#This Row],[Item 1]]),0)+IFERROR(FIND("Lower",Table78[[#This Row],[Item 2]]),0)+IFERROR(FIND("Lower",Table78[[#This Row],[Item 3]]),0))&lt;2</f>
        <v>0</v>
      </c>
    </row>
    <row r="319" spans="1:15" x14ac:dyDescent="0.25">
      <c r="A319" s="162">
        <v>8</v>
      </c>
      <c r="B319" s="1">
        <v>10</v>
      </c>
      <c r="C319" s="1">
        <v>12</v>
      </c>
      <c r="E319" s="162" t="str">
        <f>INDEX(Table75[Power_list],Table76[[#This Row],[Item 1]])</f>
        <v>Score +</v>
      </c>
      <c r="F319" s="162" t="str">
        <f>INDEX(Table75[Power_list],Table76[[#This Row],[Item 2]])</f>
        <v xml:space="preserve">Lower damage from mines </v>
      </c>
      <c r="G319" s="162" t="str">
        <f>INDEX(Table75[Power_list],Table76[[#This Row],[Item 3]])</f>
        <v xml:space="preserve">Lower damage from poison </v>
      </c>
      <c r="H319" s="1">
        <f>INDEX($C$31:$C$44,MATCH(Table7678[[#This Row],[Item 2]],Table75[Power_list],0))+INDEX($C$31:$C$44,MATCH(Table7678[[#This Row],[Item 1]],Table75[Power_list],0))+INDEX($C$31:$C$44,MATCH(Table7678[[#This Row],[Item 3]],Table75[Power_list],0))</f>
        <v>19</v>
      </c>
      <c r="J319" s="1">
        <v>272</v>
      </c>
      <c r="K319" s="1" t="s">
        <v>278</v>
      </c>
      <c r="L319" s="1" t="s">
        <v>294</v>
      </c>
      <c r="M319" s="1" t="s">
        <v>299</v>
      </c>
      <c r="N319" s="1">
        <v>19</v>
      </c>
      <c r="O319" s="1" t="b">
        <f>(IFERROR(FIND("Lower",Table78[[#This Row],[Item 1]]),0)+IFERROR(FIND("Lower",Table78[[#This Row],[Item 2]]),0)+IFERROR(FIND("Lower",Table78[[#This Row],[Item 3]]),0))&lt;2</f>
        <v>0</v>
      </c>
    </row>
    <row r="320" spans="1:15" x14ac:dyDescent="0.25">
      <c r="A320" s="162">
        <v>8</v>
      </c>
      <c r="B320" s="1">
        <v>10</v>
      </c>
      <c r="C320" s="1">
        <v>13</v>
      </c>
      <c r="E320" s="162" t="str">
        <f>INDEX(Table75[Power_list],Table76[[#This Row],[Item 1]])</f>
        <v>Score +</v>
      </c>
      <c r="F320" s="162" t="str">
        <f>INDEX(Table75[Power_list],Table76[[#This Row],[Item 2]])</f>
        <v xml:space="preserve">Lower damage from mines </v>
      </c>
      <c r="G320" s="162" t="str">
        <f>INDEX(Table75[Power_list],Table76[[#This Row],[Item 3]])</f>
        <v xml:space="preserve">Lower damage from arrows </v>
      </c>
      <c r="H320" s="1">
        <f>INDEX($C$31:$C$44,MATCH(Table7678[[#This Row],[Item 2]],Table75[Power_list],0))+INDEX($C$31:$C$44,MATCH(Table7678[[#This Row],[Item 1]],Table75[Power_list],0))+INDEX($C$31:$C$44,MATCH(Table7678[[#This Row],[Item 3]],Table75[Power_list],0))</f>
        <v>18</v>
      </c>
      <c r="J320" s="1">
        <v>273</v>
      </c>
      <c r="K320" s="1" t="s">
        <v>278</v>
      </c>
      <c r="L320" s="1" t="s">
        <v>294</v>
      </c>
      <c r="M320" s="1" t="s">
        <v>296</v>
      </c>
      <c r="N320" s="1">
        <v>18</v>
      </c>
      <c r="O320" s="1" t="b">
        <f>(IFERROR(FIND("Lower",Table78[[#This Row],[Item 1]]),0)+IFERROR(FIND("Lower",Table78[[#This Row],[Item 2]]),0)+IFERROR(FIND("Lower",Table78[[#This Row],[Item 3]]),0))&lt;2</f>
        <v>0</v>
      </c>
    </row>
    <row r="321" spans="1:15" x14ac:dyDescent="0.25">
      <c r="A321" s="162">
        <v>8</v>
      </c>
      <c r="B321" s="1">
        <v>11</v>
      </c>
      <c r="C321" s="1">
        <v>12</v>
      </c>
      <c r="E321" s="162" t="str">
        <f>INDEX(Table75[Power_list],Table76[[#This Row],[Item 1]])</f>
        <v>Score +</v>
      </c>
      <c r="F321" s="162" t="str">
        <f>INDEX(Table75[Power_list],Table76[[#This Row],[Item 2]])</f>
        <v xml:space="preserve">Lower damage from ghosts </v>
      </c>
      <c r="G321" s="162" t="str">
        <f>INDEX(Table75[Power_list],Table76[[#This Row],[Item 3]])</f>
        <v xml:space="preserve">Lower damage from poison </v>
      </c>
      <c r="H321" s="1">
        <f>INDEX($C$31:$C$44,MATCH(Table7678[[#This Row],[Item 2]],Table75[Power_list],0))+INDEX($C$31:$C$44,MATCH(Table7678[[#This Row],[Item 1]],Table75[Power_list],0))+INDEX($C$31:$C$44,MATCH(Table7678[[#This Row],[Item 3]],Table75[Power_list],0))</f>
        <v>14</v>
      </c>
      <c r="J321" s="1">
        <v>274</v>
      </c>
      <c r="K321" s="1" t="s">
        <v>278</v>
      </c>
      <c r="L321" s="1" t="s">
        <v>295</v>
      </c>
      <c r="M321" s="1" t="s">
        <v>299</v>
      </c>
      <c r="N321" s="1">
        <v>14</v>
      </c>
      <c r="O321" s="1" t="b">
        <f>(IFERROR(FIND("Lower",Table78[[#This Row],[Item 1]]),0)+IFERROR(FIND("Lower",Table78[[#This Row],[Item 2]]),0)+IFERROR(FIND("Lower",Table78[[#This Row],[Item 3]]),0))&lt;2</f>
        <v>0</v>
      </c>
    </row>
    <row r="322" spans="1:15" x14ac:dyDescent="0.25">
      <c r="A322" s="162">
        <v>8</v>
      </c>
      <c r="B322" s="1">
        <v>11</v>
      </c>
      <c r="C322" s="1">
        <v>13</v>
      </c>
      <c r="E322" s="162" t="str">
        <f>INDEX(Table75[Power_list],Table76[[#This Row],[Item 1]])</f>
        <v>Score +</v>
      </c>
      <c r="F322" s="162" t="str">
        <f>INDEX(Table75[Power_list],Table76[[#This Row],[Item 2]])</f>
        <v xml:space="preserve">Lower damage from ghosts </v>
      </c>
      <c r="G322" s="162" t="str">
        <f>INDEX(Table75[Power_list],Table76[[#This Row],[Item 3]])</f>
        <v xml:space="preserve">Lower damage from arrows </v>
      </c>
      <c r="H322" s="1">
        <f>INDEX($C$31:$C$44,MATCH(Table7678[[#This Row],[Item 2]],Table75[Power_list],0))+INDEX($C$31:$C$44,MATCH(Table7678[[#This Row],[Item 1]],Table75[Power_list],0))+INDEX($C$31:$C$44,MATCH(Table7678[[#This Row],[Item 3]],Table75[Power_list],0))</f>
        <v>13</v>
      </c>
      <c r="J322" s="1">
        <v>275</v>
      </c>
      <c r="K322" s="1" t="s">
        <v>278</v>
      </c>
      <c r="L322" s="1" t="s">
        <v>295</v>
      </c>
      <c r="M322" s="1" t="s">
        <v>296</v>
      </c>
      <c r="N322" s="1">
        <v>13</v>
      </c>
      <c r="O322" s="1" t="b">
        <f>(IFERROR(FIND("Lower",Table78[[#This Row],[Item 1]]),0)+IFERROR(FIND("Lower",Table78[[#This Row],[Item 2]]),0)+IFERROR(FIND("Lower",Table78[[#This Row],[Item 3]]),0))&lt;2</f>
        <v>0</v>
      </c>
    </row>
    <row r="323" spans="1:15" x14ac:dyDescent="0.25">
      <c r="A323" s="162">
        <v>8</v>
      </c>
      <c r="B323" s="1">
        <v>12</v>
      </c>
      <c r="C323" s="1">
        <v>13</v>
      </c>
      <c r="E323" s="162" t="str">
        <f>INDEX(Table75[Power_list],Table76[[#This Row],[Item 1]])</f>
        <v>Score +</v>
      </c>
      <c r="F323" s="162" t="str">
        <f>INDEX(Table75[Power_list],Table76[[#This Row],[Item 2]])</f>
        <v xml:space="preserve">Lower damage from poison </v>
      </c>
      <c r="G323" s="162" t="str">
        <f>INDEX(Table75[Power_list],Table76[[#This Row],[Item 3]])</f>
        <v xml:space="preserve">Lower damage from arrows </v>
      </c>
      <c r="H323" s="1">
        <f>INDEX($C$31:$C$44,MATCH(Table7678[[#This Row],[Item 2]],Table75[Power_list],0))+INDEX($C$31:$C$44,MATCH(Table7678[[#This Row],[Item 1]],Table75[Power_list],0))+INDEX($C$31:$C$44,MATCH(Table7678[[#This Row],[Item 3]],Table75[Power_list],0))</f>
        <v>15</v>
      </c>
      <c r="J323" s="1">
        <v>276</v>
      </c>
      <c r="K323" s="1" t="s">
        <v>278</v>
      </c>
      <c r="L323" s="1" t="s">
        <v>299</v>
      </c>
      <c r="M323" s="1" t="s">
        <v>296</v>
      </c>
      <c r="N323" s="1">
        <v>15</v>
      </c>
      <c r="O323" s="1" t="b">
        <f>(IFERROR(FIND("Lower",Table78[[#This Row],[Item 1]]),0)+IFERROR(FIND("Lower",Table78[[#This Row],[Item 2]]),0)+IFERROR(FIND("Lower",Table78[[#This Row],[Item 3]]),0))&lt;2</f>
        <v>0</v>
      </c>
    </row>
    <row r="324" spans="1:15" x14ac:dyDescent="0.25">
      <c r="A324" s="162">
        <v>9</v>
      </c>
      <c r="B324" s="1">
        <v>10</v>
      </c>
      <c r="C324" s="1">
        <v>11</v>
      </c>
      <c r="E324" s="162" t="str">
        <f>INDEX(Table75[Power_list],Table76[[#This Row],[Item 1]])</f>
        <v>Food +</v>
      </c>
      <c r="F324" s="162" t="str">
        <f>INDEX(Table75[Power_list],Table76[[#This Row],[Item 2]])</f>
        <v xml:space="preserve">Lower damage from mines </v>
      </c>
      <c r="G324" s="162" t="str">
        <f>INDEX(Table75[Power_list],Table76[[#This Row],[Item 3]])</f>
        <v xml:space="preserve">Lower damage from ghosts </v>
      </c>
      <c r="H324" s="1">
        <f>INDEX($C$31:$C$44,MATCH(Table7678[[#This Row],[Item 2]],Table75[Power_list],0))+INDEX($C$31:$C$44,MATCH(Table7678[[#This Row],[Item 1]],Table75[Power_list],0))+INDEX($C$31:$C$44,MATCH(Table7678[[#This Row],[Item 3]],Table75[Power_list],0))</f>
        <v>11</v>
      </c>
      <c r="J324" s="1">
        <v>277</v>
      </c>
      <c r="K324" s="1" t="s">
        <v>288</v>
      </c>
      <c r="L324" s="1" t="s">
        <v>294</v>
      </c>
      <c r="M324" s="1" t="s">
        <v>295</v>
      </c>
      <c r="N324" s="1">
        <v>11</v>
      </c>
      <c r="O324" s="1" t="b">
        <f>(IFERROR(FIND("Lower",Table78[[#This Row],[Item 1]]),0)+IFERROR(FIND("Lower",Table78[[#This Row],[Item 2]]),0)+IFERROR(FIND("Lower",Table78[[#This Row],[Item 3]]),0))&lt;2</f>
        <v>0</v>
      </c>
    </row>
    <row r="325" spans="1:15" x14ac:dyDescent="0.25">
      <c r="A325" s="162">
        <v>9</v>
      </c>
      <c r="B325" s="1">
        <v>10</v>
      </c>
      <c r="C325" s="1">
        <v>12</v>
      </c>
      <c r="E325" s="162" t="str">
        <f>INDEX(Table75[Power_list],Table76[[#This Row],[Item 1]])</f>
        <v>Food +</v>
      </c>
      <c r="F325" s="162" t="str">
        <f>INDEX(Table75[Power_list],Table76[[#This Row],[Item 2]])</f>
        <v xml:space="preserve">Lower damage from mines </v>
      </c>
      <c r="G325" s="162" t="str">
        <f>INDEX(Table75[Power_list],Table76[[#This Row],[Item 3]])</f>
        <v xml:space="preserve">Lower damage from poison </v>
      </c>
      <c r="H325" s="1">
        <f>INDEX($C$31:$C$44,MATCH(Table7678[[#This Row],[Item 2]],Table75[Power_list],0))+INDEX($C$31:$C$44,MATCH(Table7678[[#This Row],[Item 1]],Table75[Power_list],0))+INDEX($C$31:$C$44,MATCH(Table7678[[#This Row],[Item 3]],Table75[Power_list],0))</f>
        <v>13</v>
      </c>
      <c r="J325" s="1">
        <v>278</v>
      </c>
      <c r="K325" s="1" t="s">
        <v>288</v>
      </c>
      <c r="L325" s="1" t="s">
        <v>294</v>
      </c>
      <c r="M325" s="1" t="s">
        <v>299</v>
      </c>
      <c r="N325" s="1">
        <v>13</v>
      </c>
      <c r="O325" s="1" t="b">
        <f>(IFERROR(FIND("Lower",Table78[[#This Row],[Item 1]]),0)+IFERROR(FIND("Lower",Table78[[#This Row],[Item 2]]),0)+IFERROR(FIND("Lower",Table78[[#This Row],[Item 3]]),0))&lt;2</f>
        <v>0</v>
      </c>
    </row>
    <row r="326" spans="1:15" x14ac:dyDescent="0.25">
      <c r="A326" s="162">
        <v>9</v>
      </c>
      <c r="B326" s="1">
        <v>10</v>
      </c>
      <c r="C326" s="1">
        <v>13</v>
      </c>
      <c r="E326" s="162" t="str">
        <f>INDEX(Table75[Power_list],Table76[[#This Row],[Item 1]])</f>
        <v>Food +</v>
      </c>
      <c r="F326" s="162" t="str">
        <f>INDEX(Table75[Power_list],Table76[[#This Row],[Item 2]])</f>
        <v xml:space="preserve">Lower damage from mines </v>
      </c>
      <c r="G326" s="162" t="str">
        <f>INDEX(Table75[Power_list],Table76[[#This Row],[Item 3]])</f>
        <v xml:space="preserve">Lower damage from arrows </v>
      </c>
      <c r="H326" s="1">
        <f>INDEX($C$31:$C$44,MATCH(Table7678[[#This Row],[Item 2]],Table75[Power_list],0))+INDEX($C$31:$C$44,MATCH(Table7678[[#This Row],[Item 1]],Table75[Power_list],0))+INDEX($C$31:$C$44,MATCH(Table7678[[#This Row],[Item 3]],Table75[Power_list],0))</f>
        <v>12</v>
      </c>
      <c r="J326" s="1">
        <v>279</v>
      </c>
      <c r="K326" s="1" t="s">
        <v>288</v>
      </c>
      <c r="L326" s="1" t="s">
        <v>294</v>
      </c>
      <c r="M326" s="1" t="s">
        <v>296</v>
      </c>
      <c r="N326" s="1">
        <v>12</v>
      </c>
      <c r="O326" s="1" t="b">
        <f>(IFERROR(FIND("Lower",Table78[[#This Row],[Item 1]]),0)+IFERROR(FIND("Lower",Table78[[#This Row],[Item 2]]),0)+IFERROR(FIND("Lower",Table78[[#This Row],[Item 3]]),0))&lt;2</f>
        <v>0</v>
      </c>
    </row>
    <row r="327" spans="1:15" x14ac:dyDescent="0.25">
      <c r="A327" s="162">
        <v>9</v>
      </c>
      <c r="B327" s="1">
        <v>11</v>
      </c>
      <c r="C327" s="1">
        <v>12</v>
      </c>
      <c r="E327" s="162" t="str">
        <f>INDEX(Table75[Power_list],Table76[[#This Row],[Item 1]])</f>
        <v>Food +</v>
      </c>
      <c r="F327" s="162" t="str">
        <f>INDEX(Table75[Power_list],Table76[[#This Row],[Item 2]])</f>
        <v xml:space="preserve">Lower damage from ghosts </v>
      </c>
      <c r="G327" s="162" t="str">
        <f>INDEX(Table75[Power_list],Table76[[#This Row],[Item 3]])</f>
        <v xml:space="preserve">Lower damage from poison </v>
      </c>
      <c r="H327" s="1">
        <f>INDEX($C$31:$C$44,MATCH(Table7678[[#This Row],[Item 2]],Table75[Power_list],0))+INDEX($C$31:$C$44,MATCH(Table7678[[#This Row],[Item 1]],Table75[Power_list],0))+INDEX($C$31:$C$44,MATCH(Table7678[[#This Row],[Item 3]],Table75[Power_list],0))</f>
        <v>8</v>
      </c>
      <c r="J327" s="1">
        <v>280</v>
      </c>
      <c r="K327" s="1" t="s">
        <v>288</v>
      </c>
      <c r="L327" s="1" t="s">
        <v>295</v>
      </c>
      <c r="M327" s="1" t="s">
        <v>299</v>
      </c>
      <c r="N327" s="1">
        <v>8</v>
      </c>
      <c r="O327" s="1" t="b">
        <f>(IFERROR(FIND("Lower",Table78[[#This Row],[Item 1]]),0)+IFERROR(FIND("Lower",Table78[[#This Row],[Item 2]]),0)+IFERROR(FIND("Lower",Table78[[#This Row],[Item 3]]),0))&lt;2</f>
        <v>0</v>
      </c>
    </row>
    <row r="328" spans="1:15" x14ac:dyDescent="0.25">
      <c r="A328" s="162">
        <v>9</v>
      </c>
      <c r="B328" s="1">
        <v>11</v>
      </c>
      <c r="C328" s="1">
        <v>13</v>
      </c>
      <c r="E328" s="162" t="str">
        <f>INDEX(Table75[Power_list],Table76[[#This Row],[Item 1]])</f>
        <v>Food +</v>
      </c>
      <c r="F328" s="162" t="str">
        <f>INDEX(Table75[Power_list],Table76[[#This Row],[Item 2]])</f>
        <v xml:space="preserve">Lower damage from ghosts </v>
      </c>
      <c r="G328" s="162" t="str">
        <f>INDEX(Table75[Power_list],Table76[[#This Row],[Item 3]])</f>
        <v xml:space="preserve">Lower damage from arrows </v>
      </c>
      <c r="H328" s="1">
        <f>INDEX($C$31:$C$44,MATCH(Table7678[[#This Row],[Item 2]],Table75[Power_list],0))+INDEX($C$31:$C$44,MATCH(Table7678[[#This Row],[Item 1]],Table75[Power_list],0))+INDEX($C$31:$C$44,MATCH(Table7678[[#This Row],[Item 3]],Table75[Power_list],0))</f>
        <v>7</v>
      </c>
      <c r="J328" s="1">
        <v>281</v>
      </c>
      <c r="K328" s="1" t="s">
        <v>288</v>
      </c>
      <c r="L328" s="1" t="s">
        <v>295</v>
      </c>
      <c r="M328" s="1" t="s">
        <v>296</v>
      </c>
      <c r="N328" s="1">
        <v>7</v>
      </c>
      <c r="O328" s="1" t="b">
        <f>(IFERROR(FIND("Lower",Table78[[#This Row],[Item 1]]),0)+IFERROR(FIND("Lower",Table78[[#This Row],[Item 2]]),0)+IFERROR(FIND("Lower",Table78[[#This Row],[Item 3]]),0))&lt;2</f>
        <v>0</v>
      </c>
    </row>
    <row r="329" spans="1:15" x14ac:dyDescent="0.25">
      <c r="A329" s="162">
        <v>9</v>
      </c>
      <c r="B329" s="1">
        <v>12</v>
      </c>
      <c r="C329" s="1">
        <v>13</v>
      </c>
      <c r="E329" s="162" t="str">
        <f>INDEX(Table75[Power_list],Table76[[#This Row],[Item 1]])</f>
        <v>Food +</v>
      </c>
      <c r="F329" s="162" t="str">
        <f>INDEX(Table75[Power_list],Table76[[#This Row],[Item 2]])</f>
        <v xml:space="preserve">Lower damage from poison </v>
      </c>
      <c r="G329" s="162" t="str">
        <f>INDEX(Table75[Power_list],Table76[[#This Row],[Item 3]])</f>
        <v xml:space="preserve">Lower damage from arrows </v>
      </c>
      <c r="H329" s="1">
        <f>INDEX($C$31:$C$44,MATCH(Table7678[[#This Row],[Item 2]],Table75[Power_list],0))+INDEX($C$31:$C$44,MATCH(Table7678[[#This Row],[Item 1]],Table75[Power_list],0))+INDEX($C$31:$C$44,MATCH(Table7678[[#This Row],[Item 3]],Table75[Power_list],0))</f>
        <v>9</v>
      </c>
      <c r="J329" s="1">
        <v>282</v>
      </c>
      <c r="K329" s="1" t="s">
        <v>288</v>
      </c>
      <c r="L329" s="1" t="s">
        <v>299</v>
      </c>
      <c r="M329" s="1" t="s">
        <v>296</v>
      </c>
      <c r="N329" s="1">
        <v>9</v>
      </c>
      <c r="O329" s="1" t="b">
        <f>(IFERROR(FIND("Lower",Table78[[#This Row],[Item 1]]),0)+IFERROR(FIND("Lower",Table78[[#This Row],[Item 2]]),0)+IFERROR(FIND("Lower",Table78[[#This Row],[Item 3]]),0))&lt;2</f>
        <v>0</v>
      </c>
    </row>
    <row r="330" spans="1:15" x14ac:dyDescent="0.25">
      <c r="A330" s="162">
        <v>10</v>
      </c>
      <c r="B330" s="1">
        <v>11</v>
      </c>
      <c r="C330" s="1">
        <v>12</v>
      </c>
      <c r="E330" s="162" t="str">
        <f>INDEX(Table75[Power_list],Table76[[#This Row],[Item 1]])</f>
        <v xml:space="preserve">Lower damage from mines </v>
      </c>
      <c r="F330" s="162" t="str">
        <f>INDEX(Table75[Power_list],Table76[[#This Row],[Item 2]])</f>
        <v xml:space="preserve">Lower damage from ghosts </v>
      </c>
      <c r="G330" s="162" t="str">
        <f>INDEX(Table75[Power_list],Table76[[#This Row],[Item 3]])</f>
        <v xml:space="preserve">Lower damage from poison </v>
      </c>
      <c r="H330" s="1">
        <f>INDEX($C$31:$C$44,MATCH(Table7678[[#This Row],[Item 2]],Table75[Power_list],0))+INDEX($C$31:$C$44,MATCH(Table7678[[#This Row],[Item 1]],Table75[Power_list],0))+INDEX($C$31:$C$44,MATCH(Table7678[[#This Row],[Item 3]],Table75[Power_list],0))</f>
        <v>10</v>
      </c>
      <c r="J330" s="1">
        <v>283</v>
      </c>
      <c r="K330" s="1" t="s">
        <v>294</v>
      </c>
      <c r="L330" s="1" t="s">
        <v>295</v>
      </c>
      <c r="M330" s="1" t="s">
        <v>299</v>
      </c>
      <c r="N330" s="1">
        <v>10</v>
      </c>
      <c r="O330" s="1" t="b">
        <f>(IFERROR(FIND("Lower",Table78[[#This Row],[Item 1]]),0)+IFERROR(FIND("Lower",Table78[[#This Row],[Item 2]]),0)+IFERROR(FIND("Lower",Table78[[#This Row],[Item 3]]),0))&lt;2</f>
        <v>0</v>
      </c>
    </row>
    <row r="331" spans="1:15" x14ac:dyDescent="0.25">
      <c r="A331" s="162">
        <v>10</v>
      </c>
      <c r="B331" s="1">
        <v>11</v>
      </c>
      <c r="C331" s="1">
        <v>13</v>
      </c>
      <c r="E331" s="162" t="str">
        <f>INDEX(Table75[Power_list],Table76[[#This Row],[Item 1]])</f>
        <v xml:space="preserve">Lower damage from mines </v>
      </c>
      <c r="F331" s="162" t="str">
        <f>INDEX(Table75[Power_list],Table76[[#This Row],[Item 2]])</f>
        <v xml:space="preserve">Lower damage from ghosts </v>
      </c>
      <c r="G331" s="162" t="str">
        <f>INDEX(Table75[Power_list],Table76[[#This Row],[Item 3]])</f>
        <v xml:space="preserve">Lower damage from arrows </v>
      </c>
      <c r="H331" s="1">
        <f>INDEX($C$31:$C$44,MATCH(Table7678[[#This Row],[Item 2]],Table75[Power_list],0))+INDEX($C$31:$C$44,MATCH(Table7678[[#This Row],[Item 1]],Table75[Power_list],0))+INDEX($C$31:$C$44,MATCH(Table7678[[#This Row],[Item 3]],Table75[Power_list],0))</f>
        <v>9</v>
      </c>
      <c r="J331" s="1">
        <v>284</v>
      </c>
      <c r="K331" s="1" t="s">
        <v>294</v>
      </c>
      <c r="L331" s="1" t="s">
        <v>295</v>
      </c>
      <c r="M331" s="1" t="s">
        <v>296</v>
      </c>
      <c r="N331" s="1">
        <v>9</v>
      </c>
      <c r="O331" s="1" t="b">
        <f>(IFERROR(FIND("Lower",Table78[[#This Row],[Item 1]]),0)+IFERROR(FIND("Lower",Table78[[#This Row],[Item 2]]),0)+IFERROR(FIND("Lower",Table78[[#This Row],[Item 3]]),0))&lt;2</f>
        <v>0</v>
      </c>
    </row>
    <row r="332" spans="1:15" x14ac:dyDescent="0.25">
      <c r="A332" s="162">
        <v>10</v>
      </c>
      <c r="B332" s="1">
        <v>12</v>
      </c>
      <c r="C332" s="1">
        <v>13</v>
      </c>
      <c r="E332" s="162" t="str">
        <f>INDEX(Table75[Power_list],Table76[[#This Row],[Item 1]])</f>
        <v xml:space="preserve">Lower damage from mines </v>
      </c>
      <c r="F332" s="162" t="str">
        <f>INDEX(Table75[Power_list],Table76[[#This Row],[Item 2]])</f>
        <v xml:space="preserve">Lower damage from poison </v>
      </c>
      <c r="G332" s="162" t="str">
        <f>INDEX(Table75[Power_list],Table76[[#This Row],[Item 3]])</f>
        <v xml:space="preserve">Lower damage from arrows </v>
      </c>
      <c r="H332" s="1">
        <f>INDEX($C$31:$C$44,MATCH(Table7678[[#This Row],[Item 2]],Table75[Power_list],0))+INDEX($C$31:$C$44,MATCH(Table7678[[#This Row],[Item 1]],Table75[Power_list],0))+INDEX($C$31:$C$44,MATCH(Table7678[[#This Row],[Item 3]],Table75[Power_list],0))</f>
        <v>11</v>
      </c>
      <c r="J332" s="1">
        <v>285</v>
      </c>
      <c r="K332" s="1" t="s">
        <v>294</v>
      </c>
      <c r="L332" s="1" t="s">
        <v>299</v>
      </c>
      <c r="M332" s="1" t="s">
        <v>296</v>
      </c>
      <c r="N332" s="1">
        <v>11</v>
      </c>
      <c r="O332" s="1" t="b">
        <f>(IFERROR(FIND("Lower",Table78[[#This Row],[Item 1]]),0)+IFERROR(FIND("Lower",Table78[[#This Row],[Item 2]]),0)+IFERROR(FIND("Lower",Table78[[#This Row],[Item 3]]),0))&lt;2</f>
        <v>0</v>
      </c>
    </row>
    <row r="333" spans="1:15" x14ac:dyDescent="0.25">
      <c r="A333" s="162">
        <v>11</v>
      </c>
      <c r="B333" s="1">
        <v>12</v>
      </c>
      <c r="C333" s="1">
        <v>13</v>
      </c>
      <c r="E333" s="162" t="str">
        <f>INDEX(Table75[Power_list],Table76[[#This Row],[Item 1]])</f>
        <v xml:space="preserve">Lower damage from ghosts </v>
      </c>
      <c r="F333" s="162" t="str">
        <f>INDEX(Table75[Power_list],Table76[[#This Row],[Item 2]])</f>
        <v xml:space="preserve">Lower damage from poison </v>
      </c>
      <c r="G333" s="162" t="str">
        <f>INDEX(Table75[Power_list],Table76[[#This Row],[Item 3]])</f>
        <v xml:space="preserve">Lower damage from arrows </v>
      </c>
      <c r="H333" s="1">
        <f>INDEX($C$31:$C$44,MATCH(Table7678[[#This Row],[Item 2]],Table75[Power_list],0))+INDEX($C$31:$C$44,MATCH(Table7678[[#This Row],[Item 1]],Table75[Power_list],0))+INDEX($C$31:$C$44,MATCH(Table7678[[#This Row],[Item 3]],Table75[Power_list],0))</f>
        <v>6</v>
      </c>
      <c r="J333" s="1">
        <v>286</v>
      </c>
      <c r="K333" s="1" t="s">
        <v>295</v>
      </c>
      <c r="L333" s="1" t="s">
        <v>299</v>
      </c>
      <c r="M333" s="1" t="s">
        <v>296</v>
      </c>
      <c r="N333" s="1">
        <v>6</v>
      </c>
      <c r="O333" s="1" t="b">
        <f>(IFERROR(FIND("Lower",Table78[[#This Row],[Item 1]]),0)+IFERROR(FIND("Lower",Table78[[#This Row],[Item 2]]),0)+IFERROR(FIND("Lower",Table78[[#This Row],[Item 3]]),0))&lt;2</f>
        <v>0</v>
      </c>
    </row>
  </sheetData>
  <mergeCells count="1">
    <mergeCell ref="J42:M46"/>
  </mergeCells>
  <conditionalFormatting sqref="C9:C26">
    <cfRule type="cellIs" dxfId="79" priority="3" operator="greaterThan">
      <formula>$C$6</formula>
    </cfRule>
  </conditionalFormatting>
  <conditionalFormatting sqref="B9:B26">
    <cfRule type="cellIs" dxfId="78" priority="2" operator="greaterThan">
      <formula>$B$6</formula>
    </cfRule>
    <cfRule type="cellIs" dxfId="77" priority="5" operator="greaterThan">
      <formula>#REF!</formula>
    </cfRule>
  </conditionalFormatting>
  <conditionalFormatting sqref="A9:A26">
    <cfRule type="cellIs" dxfId="76" priority="1" operator="equal">
      <formula>$F$13</formula>
    </cfRule>
  </conditionalFormatting>
  <pageMargins left="0.7" right="0.7" top="0.75" bottom="0.75" header="0.3" footer="0.3"/>
  <pageSetup paperSize="9" orientation="portrait" r:id="rId1"/>
  <drawing r:id="rId2"/>
  <tableParts count="9"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>
    <tabColor theme="9"/>
  </sheetPr>
  <dimension ref="A1:H98"/>
  <sheetViews>
    <sheetView topLeftCell="A22" workbookViewId="0">
      <selection activeCell="I55" sqref="I55"/>
    </sheetView>
  </sheetViews>
  <sheetFormatPr defaultRowHeight="15" x14ac:dyDescent="0.25"/>
  <cols>
    <col min="1" max="1" width="21.42578125" bestFit="1" customWidth="1"/>
    <col min="2" max="2" width="29.5703125" bestFit="1" customWidth="1"/>
    <col min="3" max="3" width="23.85546875" customWidth="1"/>
    <col min="4" max="4" width="15.5703125" bestFit="1" customWidth="1"/>
    <col min="5" max="5" width="6.5703125" bestFit="1" customWidth="1"/>
  </cols>
  <sheetData>
    <row r="1" spans="1:8" ht="21" x14ac:dyDescent="0.35">
      <c r="A1" s="201" t="s">
        <v>109</v>
      </c>
      <c r="B1" s="77"/>
      <c r="C1" s="77"/>
      <c r="D1" s="77"/>
      <c r="F1" s="79" t="s">
        <v>73</v>
      </c>
      <c r="G1" s="80" t="s">
        <v>19</v>
      </c>
      <c r="H1" s="79" t="s">
        <v>20</v>
      </c>
    </row>
    <row r="2" spans="1:8" x14ac:dyDescent="0.25">
      <c r="F2" s="78"/>
      <c r="G2" s="81">
        <v>0.2</v>
      </c>
      <c r="H2" s="82">
        <v>0.8</v>
      </c>
    </row>
    <row r="4" spans="1:8" ht="16.5" thickBot="1" x14ac:dyDescent="0.3">
      <c r="A4" s="28" t="s">
        <v>111</v>
      </c>
      <c r="B4" s="28"/>
    </row>
    <row r="5" spans="1:8" ht="15.75" thickTop="1" x14ac:dyDescent="0.25">
      <c r="A5" s="12" t="s">
        <v>98</v>
      </c>
      <c r="B5" s="1" t="s">
        <v>102</v>
      </c>
      <c r="C5" s="59" t="s">
        <v>471</v>
      </c>
    </row>
    <row r="6" spans="1:8" x14ac:dyDescent="0.25">
      <c r="A6" s="33">
        <v>1</v>
      </c>
      <c r="B6" s="60">
        <f>HLOOKUP(Table1037[[#This Row],[Dragon ID / Level]],Table86[],2,FALSE)</f>
        <v>8</v>
      </c>
      <c r="C6" s="60">
        <f>Table1037[[#This Row],[Dragon ID / Level]]*$G$2+$H$2</f>
        <v>1</v>
      </c>
    </row>
    <row r="7" spans="1:8" x14ac:dyDescent="0.25">
      <c r="A7" s="32">
        <v>2</v>
      </c>
      <c r="B7" s="61">
        <f>HLOOKUP(Table1037[[#This Row],[Dragon ID / Level]],Table86[],2,FALSE)</f>
        <v>10</v>
      </c>
      <c r="C7" s="61">
        <f>Table1037[[#This Row],[Dragon ID / Level]]*$G$2+$H$2</f>
        <v>1.2000000000000002</v>
      </c>
    </row>
    <row r="8" spans="1:8" x14ac:dyDescent="0.25">
      <c r="A8" s="36">
        <v>3</v>
      </c>
      <c r="B8" s="62">
        <f>HLOOKUP(Table1037[[#This Row],[Dragon ID / Level]],Table86[],2,FALSE)</f>
        <v>10</v>
      </c>
      <c r="C8" s="62">
        <f>Table1037[[#This Row],[Dragon ID / Level]]*$G$2+$H$2</f>
        <v>1.4000000000000001</v>
      </c>
    </row>
    <row r="9" spans="1:8" x14ac:dyDescent="0.25">
      <c r="A9" s="36">
        <v>4</v>
      </c>
      <c r="B9" s="62">
        <f>HLOOKUP(Table1037[[#This Row],[Dragon ID / Level]],Table86[],2,FALSE)</f>
        <v>10</v>
      </c>
      <c r="C9" s="62">
        <f>Table1037[[#This Row],[Dragon ID / Level]]*$G$2+$H$2</f>
        <v>1.6</v>
      </c>
    </row>
    <row r="10" spans="1:8" x14ac:dyDescent="0.25">
      <c r="A10" s="40">
        <v>5</v>
      </c>
      <c r="B10" s="63">
        <f>HLOOKUP(Table1037[[#This Row],[Dragon ID / Level]],Table86[],2,FALSE)</f>
        <v>15</v>
      </c>
      <c r="C10" s="63">
        <f>Table1037[[#This Row],[Dragon ID / Level]]*$G$2+$H$2</f>
        <v>1.8</v>
      </c>
    </row>
    <row r="11" spans="1:8" x14ac:dyDescent="0.25">
      <c r="A11" s="40">
        <v>6</v>
      </c>
      <c r="B11" s="63">
        <f>HLOOKUP(Table1037[[#This Row],[Dragon ID / Level]],Table86[],2,FALSE)</f>
        <v>15</v>
      </c>
      <c r="C11" s="63">
        <f>Table1037[[#This Row],[Dragon ID / Level]]*$G$2+$H$2</f>
        <v>2</v>
      </c>
    </row>
    <row r="12" spans="1:8" x14ac:dyDescent="0.25">
      <c r="A12" s="38">
        <v>7</v>
      </c>
      <c r="B12" s="64">
        <f>HLOOKUP(Table1037[[#This Row],[Dragon ID / Level]],Table86[],2,FALSE)</f>
        <v>15</v>
      </c>
      <c r="C12" s="64">
        <f>Table1037[[#This Row],[Dragon ID / Level]]*$G$2+$H$2</f>
        <v>2.2000000000000002</v>
      </c>
    </row>
    <row r="13" spans="1:8" x14ac:dyDescent="0.25">
      <c r="A13" s="38">
        <v>8</v>
      </c>
      <c r="B13" s="64">
        <f>HLOOKUP(Table1037[[#This Row],[Dragon ID / Level]],Table86[],2,FALSE)</f>
        <v>20</v>
      </c>
      <c r="C13" s="64">
        <f>Table1037[[#This Row],[Dragon ID / Level]]*$G$2+$H$2</f>
        <v>2.4000000000000004</v>
      </c>
    </row>
    <row r="14" spans="1:8" x14ac:dyDescent="0.25">
      <c r="A14" s="42">
        <v>9</v>
      </c>
      <c r="B14" s="65">
        <f>HLOOKUP(Table1037[[#This Row],[Dragon ID / Level]],Table86[],2,FALSE)</f>
        <v>20</v>
      </c>
      <c r="C14" s="65">
        <f>Table1037[[#This Row],[Dragon ID / Level]]*$G$2+$H$2</f>
        <v>2.6</v>
      </c>
    </row>
    <row r="15" spans="1:8" x14ac:dyDescent="0.25">
      <c r="A15" s="42">
        <v>10</v>
      </c>
      <c r="B15" s="65">
        <f>HLOOKUP(Table1037[[#This Row],[Dragon ID / Level]],Table86[],2,FALSE)</f>
        <v>20</v>
      </c>
      <c r="C15" s="65">
        <f>Table1037[[#This Row],[Dragon ID / Level]]*$G$2+$H$2</f>
        <v>2.8</v>
      </c>
    </row>
    <row r="34" spans="1:4" ht="18.75" x14ac:dyDescent="0.3">
      <c r="A34" s="73" t="s">
        <v>131</v>
      </c>
      <c r="B34" s="94"/>
      <c r="C34" s="94"/>
    </row>
    <row r="36" spans="1:4" x14ac:dyDescent="0.25">
      <c r="A36" s="12" t="s">
        <v>140</v>
      </c>
      <c r="B36" s="5">
        <v>10</v>
      </c>
      <c r="C36" s="12" t="s">
        <v>142</v>
      </c>
    </row>
    <row r="37" spans="1:4" x14ac:dyDescent="0.25">
      <c r="A37" s="12" t="s">
        <v>141</v>
      </c>
      <c r="B37" s="5">
        <f>B45/A45</f>
        <v>15.001875234404302</v>
      </c>
      <c r="C37" s="12" t="s">
        <v>142</v>
      </c>
    </row>
    <row r="39" spans="1:4" x14ac:dyDescent="0.25">
      <c r="A39" s="1" t="s">
        <v>120</v>
      </c>
      <c r="B39" s="1" t="s">
        <v>132</v>
      </c>
      <c r="C39" s="1" t="s">
        <v>123</v>
      </c>
      <c r="D39" s="1" t="s">
        <v>133</v>
      </c>
    </row>
    <row r="40" spans="1:4" x14ac:dyDescent="0.25">
      <c r="A40" s="96">
        <v>0.99</v>
      </c>
      <c r="B40" s="1">
        <f>ROUND(Table47[[#This Row],[Price]]*$B$36+Table47[[#This Row],[Price]]*$B$36*Table47[[#This Row],[Discount]],0)</f>
        <v>10</v>
      </c>
      <c r="C40" s="3">
        <v>0</v>
      </c>
      <c r="D40" s="1">
        <f>ROUND(Table47[[#This Row],[HC earned]]/AVERAGE('Gacha - Chests &amp; Eggs'!M4:M13),0)</f>
        <v>0</v>
      </c>
    </row>
    <row r="41" spans="1:4" x14ac:dyDescent="0.25">
      <c r="A41" s="96">
        <v>4.99</v>
      </c>
      <c r="B41" s="1">
        <f>ROUND(Table47[[#This Row],[Price]]*$B$36+Table47[[#This Row],[Price]]*$B$36*Table47[[#This Row],[Discount]],0)</f>
        <v>52</v>
      </c>
      <c r="C41" s="3">
        <v>0.05</v>
      </c>
      <c r="D41" s="1">
        <f>ROUND(Table47[[#This Row],[HC earned]]/AVERAGE('Gacha - Chests &amp; Eggs'!M5:M14),0)</f>
        <v>2</v>
      </c>
    </row>
    <row r="42" spans="1:4" x14ac:dyDescent="0.25">
      <c r="A42" s="96">
        <v>9.99</v>
      </c>
      <c r="B42" s="1">
        <f>ROUND(Table47[[#This Row],[Price]]*$B$36+Table47[[#This Row],[Price]]*$B$36*Table47[[#This Row],[Discount]],0)</f>
        <v>110</v>
      </c>
      <c r="C42" s="3">
        <v>0.1</v>
      </c>
      <c r="D42" s="1">
        <f>ROUND(Table47[[#This Row],[HC earned]]/AVERAGE('Gacha - Chests &amp; Eggs'!M6:M15),0)</f>
        <v>4</v>
      </c>
    </row>
    <row r="43" spans="1:4" x14ac:dyDescent="0.25">
      <c r="A43" s="96">
        <v>19.989999999999998</v>
      </c>
      <c r="B43" s="1">
        <f>ROUND(Table47[[#This Row],[Price]]*$B$36+Table47[[#This Row],[Price]]*$B$36*Table47[[#This Row],[Discount]],0)</f>
        <v>250</v>
      </c>
      <c r="C43" s="3">
        <v>0.25</v>
      </c>
      <c r="D43" s="1">
        <f>ROUND(Table47[[#This Row],[HC earned]]/AVERAGE('Gacha - Chests &amp; Eggs'!M7:M16),0)</f>
        <v>10</v>
      </c>
    </row>
    <row r="44" spans="1:4" x14ac:dyDescent="0.25">
      <c r="A44" s="96">
        <v>39.99</v>
      </c>
      <c r="B44" s="1">
        <f>ROUND(Table47[[#This Row],[Price]]*$B$36+Table47[[#This Row],[Price]]*$B$36*Table47[[#This Row],[Discount]],0)</f>
        <v>560</v>
      </c>
      <c r="C44" s="3">
        <v>0.4</v>
      </c>
      <c r="D44" s="1">
        <f>ROUND(Table47[[#This Row],[HC earned]]/AVERAGE('Gacha - Chests &amp; Eggs'!M8:M17),0)</f>
        <v>22</v>
      </c>
    </row>
    <row r="45" spans="1:4" x14ac:dyDescent="0.25">
      <c r="A45" s="96">
        <v>79.989999999999995</v>
      </c>
      <c r="B45" s="1">
        <f>ROUND(Table47[[#This Row],[Price]]*$B$36+Table47[[#This Row],[Price]]*$B$36*Table47[[#This Row],[Discount]],0)</f>
        <v>1200</v>
      </c>
      <c r="C45" s="3">
        <v>0.5</v>
      </c>
      <c r="D45" s="1">
        <f>ROUND(Table47[[#This Row],[HC earned]]/AVERAGE('Gacha - Chests &amp; Eggs'!M9:M18),0)</f>
        <v>48</v>
      </c>
    </row>
    <row r="47" spans="1:4" ht="15.75" x14ac:dyDescent="0.25">
      <c r="A47" s="94" t="s">
        <v>430</v>
      </c>
      <c r="B47" s="94"/>
      <c r="C47" s="94"/>
    </row>
    <row r="48" spans="1:4" x14ac:dyDescent="0.25">
      <c r="A48" s="262" t="s">
        <v>431</v>
      </c>
      <c r="B48" s="262"/>
      <c r="C48" s="262"/>
    </row>
    <row r="49" spans="1:4" x14ac:dyDescent="0.25">
      <c r="A49" s="262"/>
      <c r="B49" s="262"/>
      <c r="C49" s="262"/>
    </row>
    <row r="50" spans="1:4" x14ac:dyDescent="0.25">
      <c r="A50" s="262"/>
      <c r="B50" s="262"/>
      <c r="C50" s="262"/>
    </row>
    <row r="51" spans="1:4" x14ac:dyDescent="0.25">
      <c r="A51" s="262"/>
      <c r="B51" s="262"/>
      <c r="C51" s="262"/>
    </row>
    <row r="52" spans="1:4" x14ac:dyDescent="0.25">
      <c r="C52" s="222" t="s">
        <v>491</v>
      </c>
      <c r="D52" s="217" t="s">
        <v>492</v>
      </c>
    </row>
    <row r="53" spans="1:4" x14ac:dyDescent="0.25">
      <c r="A53" s="222" t="s">
        <v>432</v>
      </c>
      <c r="B53" s="223">
        <v>1</v>
      </c>
      <c r="C53" s="219">
        <v>0.7</v>
      </c>
      <c r="D53" s="218">
        <v>0.95</v>
      </c>
    </row>
    <row r="54" spans="1:4" x14ac:dyDescent="0.25">
      <c r="A54" s="224" t="s">
        <v>137</v>
      </c>
      <c r="B54" s="218">
        <f>ROUND($B$53*'Soft Currency'!$B$8,0)</f>
        <v>600</v>
      </c>
      <c r="C54" s="219">
        <v>4</v>
      </c>
      <c r="D54" s="218">
        <v>1</v>
      </c>
    </row>
    <row r="55" spans="1:4" x14ac:dyDescent="0.25">
      <c r="A55" s="225" t="s">
        <v>435</v>
      </c>
      <c r="B55" s="221">
        <f>1/B54</f>
        <v>1.6666666666666668E-3</v>
      </c>
      <c r="C55" s="220">
        <f t="array" ref="C55:D55">LINEST(C53:D53,C54:D54,TRUE)</f>
        <v>-8.3333333333333356E-2</v>
      </c>
      <c r="D55" s="221">
        <v>1.0333333333333334</v>
      </c>
    </row>
    <row r="57" spans="1:4" x14ac:dyDescent="0.25">
      <c r="A57" s="279" t="s">
        <v>433</v>
      </c>
      <c r="B57" s="279"/>
      <c r="C57" s="279"/>
      <c r="D57" s="279"/>
    </row>
    <row r="58" spans="1:4" x14ac:dyDescent="0.25">
      <c r="A58" s="280" t="s">
        <v>489</v>
      </c>
      <c r="B58" s="280"/>
      <c r="C58" s="280"/>
      <c r="D58" s="280"/>
    </row>
    <row r="60" spans="1:4" x14ac:dyDescent="0.25">
      <c r="A60" s="202" t="s">
        <v>437</v>
      </c>
      <c r="B60" s="202" t="s">
        <v>493</v>
      </c>
      <c r="C60" s="202" t="s">
        <v>137</v>
      </c>
      <c r="D60" s="202" t="s">
        <v>490</v>
      </c>
    </row>
    <row r="61" spans="1:4" x14ac:dyDescent="0.25">
      <c r="A61" s="203">
        <v>1</v>
      </c>
      <c r="B61" s="203">
        <v>0</v>
      </c>
      <c r="C61" s="203">
        <f>ROUND(C$55*A61+$D$55,2)*$B$54</f>
        <v>570</v>
      </c>
      <c r="D61" s="203">
        <f>IF(ROUND(B61/C61,0)=0,1,ROUND(B61/C61,0))</f>
        <v>1</v>
      </c>
    </row>
    <row r="62" spans="1:4" x14ac:dyDescent="0.25">
      <c r="A62" s="204">
        <v>2</v>
      </c>
      <c r="B62" s="204">
        <v>50000</v>
      </c>
      <c r="C62" s="204">
        <f t="shared" ref="C62:C64" si="0">ROUND(C$55*A62+$D$55,2)*$B$54</f>
        <v>522</v>
      </c>
      <c r="D62" s="204">
        <f t="shared" ref="D62:D64" si="1">IF(ROUND(B62/C62,0)=0,1,ROUND(B62/C62,0))</f>
        <v>96</v>
      </c>
    </row>
    <row r="63" spans="1:4" x14ac:dyDescent="0.25">
      <c r="A63" s="203">
        <v>3</v>
      </c>
      <c r="B63" s="203">
        <v>100000</v>
      </c>
      <c r="C63" s="203">
        <f t="shared" si="0"/>
        <v>468</v>
      </c>
      <c r="D63" s="203">
        <f t="shared" si="1"/>
        <v>214</v>
      </c>
    </row>
    <row r="64" spans="1:4" x14ac:dyDescent="0.25">
      <c r="A64" s="204">
        <v>4</v>
      </c>
      <c r="B64" s="204">
        <v>500000</v>
      </c>
      <c r="C64" s="204">
        <f t="shared" si="0"/>
        <v>420</v>
      </c>
      <c r="D64" s="204">
        <f t="shared" si="1"/>
        <v>1190</v>
      </c>
    </row>
    <row r="66" spans="1:3" ht="15.75" x14ac:dyDescent="0.25">
      <c r="A66" s="94" t="s">
        <v>464</v>
      </c>
      <c r="B66" s="94"/>
      <c r="C66" s="94"/>
    </row>
    <row r="67" spans="1:3" x14ac:dyDescent="0.25">
      <c r="A67" s="262" t="s">
        <v>467</v>
      </c>
      <c r="B67" s="262"/>
      <c r="C67" s="262"/>
    </row>
    <row r="68" spans="1:3" x14ac:dyDescent="0.25">
      <c r="A68" s="262"/>
      <c r="B68" s="262"/>
      <c r="C68" s="262"/>
    </row>
    <row r="69" spans="1:3" x14ac:dyDescent="0.25">
      <c r="A69" s="262"/>
      <c r="B69" s="262"/>
      <c r="C69" s="262"/>
    </row>
    <row r="70" spans="1:3" x14ac:dyDescent="0.25">
      <c r="A70" s="262"/>
      <c r="B70" s="262"/>
      <c r="C70" s="262"/>
    </row>
    <row r="72" spans="1:3" x14ac:dyDescent="0.25">
      <c r="B72" s="12" t="s">
        <v>164</v>
      </c>
    </row>
    <row r="73" spans="1:3" x14ac:dyDescent="0.25">
      <c r="B73" s="5">
        <v>1.2</v>
      </c>
    </row>
    <row r="74" spans="1:3" x14ac:dyDescent="0.25">
      <c r="B74" s="5">
        <v>2.5</v>
      </c>
    </row>
    <row r="75" spans="1:3" x14ac:dyDescent="0.25">
      <c r="A75" s="1" t="s">
        <v>465</v>
      </c>
      <c r="B75" s="1" t="s">
        <v>466</v>
      </c>
    </row>
    <row r="76" spans="1:3" x14ac:dyDescent="0.25">
      <c r="A76" s="1">
        <v>1</v>
      </c>
      <c r="B76" s="1">
        <f>$B$73/(Table29[[#This Row],[Pig eaten]]*$B$74)</f>
        <v>0.48</v>
      </c>
    </row>
    <row r="77" spans="1:3" x14ac:dyDescent="0.25">
      <c r="A77" s="1">
        <v>2</v>
      </c>
      <c r="B77" s="1">
        <f>$B$73/(Table29[[#This Row],[Pig eaten]]*$B$74)</f>
        <v>0.24</v>
      </c>
    </row>
    <row r="78" spans="1:3" x14ac:dyDescent="0.25">
      <c r="A78" s="1">
        <v>3</v>
      </c>
      <c r="B78" s="1">
        <f>$B$73/(Table29[[#This Row],[Pig eaten]]*$B$74)</f>
        <v>0.16</v>
      </c>
    </row>
    <row r="79" spans="1:3" x14ac:dyDescent="0.25">
      <c r="A79" s="1">
        <v>4</v>
      </c>
      <c r="B79" s="1">
        <f>$B$73/(Table29[[#This Row],[Pig eaten]]*$B$74)</f>
        <v>0.12</v>
      </c>
    </row>
    <row r="80" spans="1:3" x14ac:dyDescent="0.25">
      <c r="A80" s="1">
        <v>5</v>
      </c>
      <c r="B80" s="1">
        <f>$B$73/(Table29[[#This Row],[Pig eaten]]*$B$74)</f>
        <v>9.6000000000000002E-2</v>
      </c>
    </row>
    <row r="81" spans="1:4" x14ac:dyDescent="0.25">
      <c r="A81" s="1">
        <v>6</v>
      </c>
      <c r="B81" s="1">
        <f>$B$73/(Table29[[#This Row],[Pig eaten]]*$B$74)</f>
        <v>0.08</v>
      </c>
    </row>
    <row r="82" spans="1:4" x14ac:dyDescent="0.25">
      <c r="A82" s="1">
        <v>7</v>
      </c>
      <c r="B82" s="1">
        <f>$B$73/(Table29[[#This Row],[Pig eaten]]*$B$74)</f>
        <v>6.8571428571428575E-2</v>
      </c>
    </row>
    <row r="83" spans="1:4" x14ac:dyDescent="0.25">
      <c r="A83" s="1">
        <v>8</v>
      </c>
      <c r="B83" s="1">
        <f>$B$73/(Table29[[#This Row],[Pig eaten]]*$B$74)</f>
        <v>0.06</v>
      </c>
    </row>
    <row r="84" spans="1:4" x14ac:dyDescent="0.25">
      <c r="A84" s="1">
        <v>9</v>
      </c>
      <c r="B84" s="1">
        <f>$B$73/(Table29[[#This Row],[Pig eaten]]*$B$74)</f>
        <v>5.333333333333333E-2</v>
      </c>
    </row>
    <row r="86" spans="1:4" ht="15.75" x14ac:dyDescent="0.25">
      <c r="A86" s="94" t="s">
        <v>479</v>
      </c>
      <c r="B86" s="94"/>
      <c r="C86" s="94"/>
    </row>
    <row r="88" spans="1:4" x14ac:dyDescent="0.25">
      <c r="A88" s="12" t="s">
        <v>480</v>
      </c>
      <c r="B88" s="12" t="s">
        <v>481</v>
      </c>
      <c r="C88" s="12" t="s">
        <v>482</v>
      </c>
      <c r="D88" s="12" t="s">
        <v>483</v>
      </c>
    </row>
    <row r="89" spans="1:4" x14ac:dyDescent="0.25">
      <c r="A89" s="5" t="s">
        <v>110</v>
      </c>
      <c r="B89" s="5">
        <v>60</v>
      </c>
      <c r="C89" s="89">
        <f>B89/$B$36</f>
        <v>6</v>
      </c>
      <c r="D89" s="89">
        <f>B89/$B$37</f>
        <v>3.9994999999999994</v>
      </c>
    </row>
    <row r="90" spans="1:4" x14ac:dyDescent="0.25">
      <c r="A90" s="13" t="s">
        <v>206</v>
      </c>
      <c r="B90" s="13">
        <v>30000</v>
      </c>
      <c r="C90" s="211">
        <f>(B90/B54)/$B$36</f>
        <v>5</v>
      </c>
      <c r="D90" s="211">
        <f>(B90/B54)/$B$37</f>
        <v>3.3329166666666663</v>
      </c>
    </row>
    <row r="91" spans="1:4" x14ac:dyDescent="0.25">
      <c r="A91" s="5" t="s">
        <v>149</v>
      </c>
      <c r="B91" s="5">
        <v>0</v>
      </c>
      <c r="C91" s="89">
        <f>(B91*'Gacha - Chests &amp; Eggs'!$M$1)/$B$36</f>
        <v>0</v>
      </c>
      <c r="D91" s="89">
        <f>(B91*'Gacha - Chests &amp; Eggs'!$M$1)/$B$37</f>
        <v>0</v>
      </c>
    </row>
    <row r="92" spans="1:4" x14ac:dyDescent="0.25">
      <c r="A92" s="13" t="s">
        <v>484</v>
      </c>
      <c r="B92" s="13">
        <v>0</v>
      </c>
      <c r="C92" s="211">
        <f>B92*'Gatcha - Cost to burn'!C21*$C$91</f>
        <v>0</v>
      </c>
      <c r="D92" s="211">
        <f>B92*'Gatcha - Cost to burn'!C21*$D$91</f>
        <v>0</v>
      </c>
    </row>
    <row r="93" spans="1:4" x14ac:dyDescent="0.25">
      <c r="A93" s="5" t="s">
        <v>485</v>
      </c>
      <c r="B93" s="5">
        <v>0</v>
      </c>
      <c r="C93" s="89">
        <f>B93*'Gatcha - Cost to burn'!C22*$C$91</f>
        <v>0</v>
      </c>
      <c r="D93" s="89">
        <f>B93*'Gatcha - Cost to burn'!C22*$D$91</f>
        <v>0</v>
      </c>
    </row>
    <row r="94" spans="1:4" x14ac:dyDescent="0.25">
      <c r="A94" s="13" t="s">
        <v>486</v>
      </c>
      <c r="B94" s="13">
        <v>0</v>
      </c>
      <c r="C94" s="211">
        <f>B94*'Gatcha - Cost to burn'!C23*$C$91</f>
        <v>0</v>
      </c>
      <c r="D94" s="211">
        <f>B94*'Gatcha - Cost to burn'!C23*$D$91</f>
        <v>0</v>
      </c>
    </row>
    <row r="96" spans="1:4" x14ac:dyDescent="0.25">
      <c r="B96" s="12" t="s">
        <v>487</v>
      </c>
      <c r="C96" s="211">
        <f>ROUND(SUM(C89:C94),1)</f>
        <v>11</v>
      </c>
      <c r="D96" s="211">
        <f>ROUND(SUM(D89:D94),1)</f>
        <v>7.3</v>
      </c>
    </row>
    <row r="97" spans="1:4" x14ac:dyDescent="0.25">
      <c r="A97" s="214" t="s">
        <v>488</v>
      </c>
      <c r="B97" s="215">
        <v>5</v>
      </c>
      <c r="C97" s="216"/>
      <c r="D97" s="216"/>
    </row>
    <row r="98" spans="1:4" x14ac:dyDescent="0.25">
      <c r="A98" s="12" t="s">
        <v>123</v>
      </c>
      <c r="B98" s="213">
        <f>1-(B97/C96)</f>
        <v>0.54545454545454541</v>
      </c>
      <c r="C98" s="212"/>
    </row>
  </sheetData>
  <mergeCells count="4">
    <mergeCell ref="A48:C51"/>
    <mergeCell ref="A67:C70"/>
    <mergeCell ref="A57:D57"/>
    <mergeCell ref="A58:D58"/>
  </mergeCells>
  <pageMargins left="0.7" right="0.7" top="0.75" bottom="0.75" header="0.3" footer="0.3"/>
  <pageSetup paperSize="9" orientation="portrait" r:id="rId1"/>
  <drawing r:id="rId2"/>
  <tableParts count="3">
    <tablePart r:id="rId3"/>
    <tablePart r:id="rId4"/>
    <tablePart r:id="rId5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>
    <tabColor theme="9"/>
  </sheetPr>
  <dimension ref="A1:J16"/>
  <sheetViews>
    <sheetView workbookViewId="0">
      <selection activeCell="L18" sqref="L18"/>
    </sheetView>
  </sheetViews>
  <sheetFormatPr defaultRowHeight="15" x14ac:dyDescent="0.25"/>
  <cols>
    <col min="1" max="1" width="12.5703125" customWidth="1"/>
    <col min="2" max="2" width="14.7109375" bestFit="1" customWidth="1"/>
    <col min="3" max="3" width="13.28515625" bestFit="1" customWidth="1"/>
    <col min="4" max="4" width="19.5703125" customWidth="1"/>
  </cols>
  <sheetData>
    <row r="1" spans="1:10" ht="18.75" x14ac:dyDescent="0.3">
      <c r="A1" s="73" t="s">
        <v>134</v>
      </c>
      <c r="B1" s="73"/>
      <c r="C1" s="73"/>
      <c r="D1" s="73"/>
      <c r="E1" s="73"/>
    </row>
    <row r="2" spans="1:10" x14ac:dyDescent="0.25">
      <c r="A2" s="2"/>
      <c r="B2" s="2"/>
      <c r="C2" s="2"/>
      <c r="D2" s="2"/>
      <c r="E2" s="2"/>
    </row>
    <row r="3" spans="1:10" x14ac:dyDescent="0.25">
      <c r="A3" s="2"/>
      <c r="B3" s="2"/>
      <c r="C3" s="2"/>
      <c r="D3" s="2"/>
      <c r="E3" s="2"/>
    </row>
    <row r="4" spans="1:10" x14ac:dyDescent="0.25">
      <c r="A4" s="2"/>
      <c r="B4" s="2"/>
      <c r="C4" s="2"/>
      <c r="D4" s="2"/>
      <c r="E4" s="2"/>
    </row>
    <row r="5" spans="1:10" x14ac:dyDescent="0.25">
      <c r="A5" s="2"/>
      <c r="B5" s="2"/>
      <c r="C5" s="2"/>
      <c r="D5" s="2"/>
      <c r="E5" s="2"/>
    </row>
    <row r="8" spans="1:10" x14ac:dyDescent="0.25">
      <c r="A8" s="12" t="s">
        <v>126</v>
      </c>
      <c r="B8" s="5">
        <v>600</v>
      </c>
    </row>
    <row r="10" spans="1:10" x14ac:dyDescent="0.25">
      <c r="A10" s="1" t="s">
        <v>120</v>
      </c>
      <c r="B10" s="1" t="s">
        <v>138</v>
      </c>
      <c r="C10" s="1" t="s">
        <v>123</v>
      </c>
      <c r="J10" t="s">
        <v>25</v>
      </c>
    </row>
    <row r="11" spans="1:10" x14ac:dyDescent="0.25">
      <c r="A11" s="1">
        <v>5</v>
      </c>
      <c r="B11" s="1">
        <f>ROUND(Table4755[[#This Row],[Price]]*$B$8+Table4755[[#This Row],[Price]]*$B$8*Table4755[[#This Row],[Discount]],-1)</f>
        <v>3000</v>
      </c>
      <c r="C11" s="3">
        <v>0</v>
      </c>
    </row>
    <row r="12" spans="1:10" x14ac:dyDescent="0.25">
      <c r="A12" s="1">
        <v>20</v>
      </c>
      <c r="B12" s="22">
        <f>ROUND(Table4755[[#This Row],[Price]]*$B$8+Table4755[[#This Row],[Price]]*$B$8*Table4755[[#This Row],[Discount]],-1)</f>
        <v>13200</v>
      </c>
      <c r="C12" s="3">
        <v>0.1</v>
      </c>
    </row>
    <row r="13" spans="1:10" x14ac:dyDescent="0.25">
      <c r="A13" s="1">
        <v>50</v>
      </c>
      <c r="B13" s="22">
        <f>ROUND(Table4755[[#This Row],[Price]]*$B$8+Table4755[[#This Row],[Price]]*$B$8*Table4755[[#This Row],[Discount]],-1)</f>
        <v>36000</v>
      </c>
      <c r="C13" s="3">
        <v>0.2</v>
      </c>
    </row>
    <row r="14" spans="1:10" x14ac:dyDescent="0.25">
      <c r="A14" s="1">
        <v>250</v>
      </c>
      <c r="B14" s="22">
        <f>ROUND(Table4755[[#This Row],[Price]]*$B$8+Table4755[[#This Row],[Price]]*$B$8*Table4755[[#This Row],[Discount]],-1)</f>
        <v>210000</v>
      </c>
      <c r="C14" s="3">
        <v>0.4</v>
      </c>
    </row>
    <row r="15" spans="1:10" x14ac:dyDescent="0.25">
      <c r="A15" s="1">
        <v>400</v>
      </c>
      <c r="B15" s="22">
        <f>ROUND(Table4755[[#This Row],[Price]]*$B$8+Table4755[[#This Row],[Price]]*$B$8*Table4755[[#This Row],[Discount]],-1)</f>
        <v>360000</v>
      </c>
      <c r="C15" s="3">
        <v>0.5</v>
      </c>
    </row>
    <row r="16" spans="1:10" x14ac:dyDescent="0.25">
      <c r="A16" s="1">
        <v>1000</v>
      </c>
      <c r="B16" s="22">
        <f>ROUND(Table4755[[#This Row],[Price]]*$B$8+Table4755[[#This Row],[Price]]*$B$8*Table4755[[#This Row],[Discount]],-1)</f>
        <v>1020000</v>
      </c>
      <c r="C16" s="3">
        <v>0.7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>
    <tabColor theme="9"/>
  </sheetPr>
  <dimension ref="A1:E10"/>
  <sheetViews>
    <sheetView workbookViewId="0">
      <selection activeCell="K15" sqref="K15"/>
    </sheetView>
  </sheetViews>
  <sheetFormatPr defaultRowHeight="15" x14ac:dyDescent="0.25"/>
  <cols>
    <col min="1" max="1" width="10.85546875" customWidth="1"/>
    <col min="2" max="2" width="12.42578125" customWidth="1"/>
    <col min="3" max="3" width="10.5703125" customWidth="1"/>
  </cols>
  <sheetData>
    <row r="1" spans="1:5" ht="18.75" x14ac:dyDescent="0.3">
      <c r="A1" s="73" t="s">
        <v>134</v>
      </c>
      <c r="B1" s="73"/>
      <c r="C1" s="73"/>
      <c r="D1" s="73"/>
      <c r="E1" s="73"/>
    </row>
    <row r="2" spans="1:5" x14ac:dyDescent="0.25">
      <c r="A2" s="2"/>
      <c r="B2" s="2"/>
      <c r="C2" s="2"/>
      <c r="D2" s="2"/>
      <c r="E2" s="2"/>
    </row>
    <row r="3" spans="1:5" x14ac:dyDescent="0.25">
      <c r="A3" s="2"/>
      <c r="B3" s="2"/>
      <c r="C3" s="2"/>
      <c r="D3" s="2"/>
      <c r="E3" s="2"/>
    </row>
    <row r="4" spans="1:5" x14ac:dyDescent="0.25">
      <c r="A4" s="2"/>
      <c r="B4" s="2"/>
      <c r="C4" s="2"/>
      <c r="D4" s="2"/>
      <c r="E4" s="2"/>
    </row>
    <row r="5" spans="1:5" x14ac:dyDescent="0.25">
      <c r="A5" s="2"/>
      <c r="B5" s="2"/>
      <c r="C5" s="2"/>
      <c r="D5" s="2"/>
      <c r="E5" s="2"/>
    </row>
    <row r="7" spans="1:5" x14ac:dyDescent="0.25">
      <c r="A7" t="s">
        <v>468</v>
      </c>
      <c r="B7" t="s">
        <v>469</v>
      </c>
      <c r="C7" t="s">
        <v>470</v>
      </c>
    </row>
    <row r="8" spans="1:5" x14ac:dyDescent="0.25">
      <c r="A8">
        <v>1</v>
      </c>
      <c r="B8">
        <v>1</v>
      </c>
      <c r="C8">
        <v>10</v>
      </c>
    </row>
    <row r="9" spans="1:5" x14ac:dyDescent="0.25">
      <c r="A9">
        <v>2</v>
      </c>
      <c r="B9">
        <v>3</v>
      </c>
      <c r="C9">
        <v>25</v>
      </c>
    </row>
    <row r="10" spans="1:5" x14ac:dyDescent="0.25">
      <c r="A10">
        <v>3</v>
      </c>
      <c r="B10">
        <v>5</v>
      </c>
      <c r="C10">
        <v>40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>
    <tabColor theme="9"/>
  </sheetPr>
  <dimension ref="A1:G12"/>
  <sheetViews>
    <sheetView workbookViewId="0"/>
  </sheetViews>
  <sheetFormatPr defaultRowHeight="15" x14ac:dyDescent="0.25"/>
  <cols>
    <col min="2" max="2" width="19.140625" customWidth="1"/>
    <col min="4" max="4" width="10.42578125" bestFit="1" customWidth="1"/>
    <col min="5" max="5" width="10.7109375" bestFit="1" customWidth="1"/>
  </cols>
  <sheetData>
    <row r="1" spans="1:7" ht="18.75" x14ac:dyDescent="0.3">
      <c r="A1" s="73" t="s">
        <v>156</v>
      </c>
      <c r="B1" s="77"/>
      <c r="C1" s="77"/>
      <c r="D1" s="77"/>
    </row>
    <row r="2" spans="1:7" x14ac:dyDescent="0.25">
      <c r="A2" s="2"/>
      <c r="B2" s="2"/>
      <c r="C2" s="2"/>
      <c r="D2" s="2"/>
      <c r="F2" s="12" t="s">
        <v>160</v>
      </c>
      <c r="G2" s="12" t="s">
        <v>161</v>
      </c>
    </row>
    <row r="3" spans="1:7" x14ac:dyDescent="0.25">
      <c r="A3" s="2"/>
      <c r="B3" s="2"/>
      <c r="C3" s="2"/>
      <c r="D3" s="2"/>
      <c r="F3" s="97">
        <v>0.2</v>
      </c>
      <c r="G3" s="97">
        <v>4.5</v>
      </c>
    </row>
    <row r="4" spans="1:7" x14ac:dyDescent="0.25">
      <c r="A4" s="2"/>
      <c r="B4" s="2"/>
      <c r="C4" s="2"/>
      <c r="D4" s="2"/>
    </row>
    <row r="5" spans="1:7" x14ac:dyDescent="0.25">
      <c r="A5" s="2"/>
      <c r="B5" s="2"/>
      <c r="C5" s="2"/>
      <c r="D5" s="2"/>
    </row>
    <row r="6" spans="1:7" x14ac:dyDescent="0.25">
      <c r="A6" s="2"/>
      <c r="B6" s="2"/>
      <c r="C6" s="2"/>
      <c r="D6" s="2"/>
    </row>
    <row r="8" spans="1:7" x14ac:dyDescent="0.25">
      <c r="B8" s="1" t="s">
        <v>159</v>
      </c>
      <c r="C8" s="1" t="s">
        <v>110</v>
      </c>
      <c r="D8" s="1" t="s">
        <v>157</v>
      </c>
      <c r="E8" s="1" t="s">
        <v>158</v>
      </c>
    </row>
    <row r="9" spans="1:7" x14ac:dyDescent="0.25">
      <c r="B9" s="1">
        <v>1</v>
      </c>
      <c r="C9" s="1">
        <f>IF(ROUND(HCtoSkipTimers[[#This Row],[Equivalence (mn)]]*$F$3+$G$3,0)=0,1,ROUND(HCtoSkipTimers[[#This Row],[Equivalence (mn)]]*$F$3+$G$3,0))</f>
        <v>5</v>
      </c>
      <c r="D9" s="88">
        <f>C9/'Hard currency'!$B$36</f>
        <v>0.5</v>
      </c>
      <c r="E9" s="88">
        <f>C9/'Hard currency'!$B$37</f>
        <v>0.33329166666666665</v>
      </c>
    </row>
    <row r="10" spans="1:7" x14ac:dyDescent="0.25">
      <c r="B10" s="1">
        <v>60</v>
      </c>
      <c r="C10" s="1">
        <f>IF(ROUND(HCtoSkipTimers[[#This Row],[Equivalence (mn)]]*$F$3+$G$3,0)=0,1,ROUND(HCtoSkipTimers[[#This Row],[Equivalence (mn)]]*$F$3+$G$3,0))</f>
        <v>17</v>
      </c>
      <c r="D10" s="88">
        <f>C10/'Hard currency'!$B$36</f>
        <v>1.7</v>
      </c>
      <c r="E10" s="88">
        <f>C10/'Hard currency'!$B$37</f>
        <v>1.1331916666666666</v>
      </c>
    </row>
    <row r="11" spans="1:7" x14ac:dyDescent="0.25">
      <c r="B11" s="1">
        <f>4*60</f>
        <v>240</v>
      </c>
      <c r="C11" s="1">
        <f>IF(ROUND(HCtoSkipTimers[[#This Row],[Equivalence (mn)]]*$F$3+$G$3,0)=0,1,ROUND(HCtoSkipTimers[[#This Row],[Equivalence (mn)]]*$F$3+$G$3,0))</f>
        <v>53</v>
      </c>
      <c r="D11" s="88">
        <f>C11/'Hard currency'!$B$36</f>
        <v>5.3</v>
      </c>
      <c r="E11" s="88">
        <f>C11/'Hard currency'!$B$37</f>
        <v>3.5328916666666661</v>
      </c>
    </row>
    <row r="12" spans="1:7" x14ac:dyDescent="0.25">
      <c r="B12" s="1">
        <v>480</v>
      </c>
      <c r="C12" s="22">
        <f>IF(ROUND(HCtoSkipTimers[[#This Row],[Equivalence (mn)]]*$F$3+$G$3,0)=0,1,ROUND(HCtoSkipTimers[[#This Row],[Equivalence (mn)]]*$F$3+$G$3,0))</f>
        <v>101</v>
      </c>
      <c r="D12" s="88">
        <f>C12/'Hard currency'!$B$36</f>
        <v>10.1</v>
      </c>
      <c r="E12" s="88">
        <f>C12/'Hard currency'!$B$37</f>
        <v>6.7324916666666663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>
    <tabColor theme="9"/>
  </sheetPr>
  <dimension ref="A1:I31"/>
  <sheetViews>
    <sheetView workbookViewId="0">
      <selection activeCell="Q20" sqref="Q20"/>
    </sheetView>
  </sheetViews>
  <sheetFormatPr defaultRowHeight="15" x14ac:dyDescent="0.25"/>
  <cols>
    <col min="1" max="1" width="15.28515625" customWidth="1"/>
    <col min="2" max="2" width="8.7109375" bestFit="1" customWidth="1"/>
    <col min="3" max="3" width="10.85546875" customWidth="1"/>
    <col min="4" max="4" width="13" bestFit="1" customWidth="1"/>
    <col min="6" max="6" width="15" customWidth="1"/>
    <col min="7" max="7" width="11.85546875" customWidth="1"/>
    <col min="8" max="8" width="10.85546875" customWidth="1"/>
    <col min="11" max="11" width="28.7109375" bestFit="1" customWidth="1"/>
    <col min="12" max="12" width="8.7109375" bestFit="1" customWidth="1"/>
    <col min="13" max="13" width="11" bestFit="1" customWidth="1"/>
    <col min="14" max="14" width="13" bestFit="1" customWidth="1"/>
  </cols>
  <sheetData>
    <row r="1" spans="1:9" ht="18.75" x14ac:dyDescent="0.3">
      <c r="A1" s="73" t="s">
        <v>121</v>
      </c>
      <c r="B1" s="77"/>
      <c r="C1" s="77"/>
      <c r="D1" s="77"/>
    </row>
    <row r="4" spans="1:9" ht="15.75" x14ac:dyDescent="0.25">
      <c r="A4" s="72" t="s">
        <v>122</v>
      </c>
      <c r="B4" s="87"/>
      <c r="C4" s="87"/>
      <c r="D4" s="87"/>
      <c r="F4" s="72" t="s">
        <v>135</v>
      </c>
      <c r="G4" s="87"/>
      <c r="H4" s="87"/>
      <c r="I4" s="87"/>
    </row>
    <row r="5" spans="1:9" x14ac:dyDescent="0.25">
      <c r="A5" s="86"/>
      <c r="B5" s="86"/>
      <c r="C5" s="86"/>
      <c r="D5" s="86"/>
      <c r="F5" s="86"/>
      <c r="G5" s="86"/>
      <c r="H5" s="86"/>
      <c r="I5" s="86"/>
    </row>
    <row r="6" spans="1:9" x14ac:dyDescent="0.25">
      <c r="A6" s="86"/>
      <c r="B6" s="86"/>
      <c r="C6" s="86"/>
      <c r="D6" s="86"/>
      <c r="F6" s="86"/>
      <c r="G6" s="86"/>
      <c r="H6" s="86"/>
      <c r="I6" s="86"/>
    </row>
    <row r="7" spans="1:9" x14ac:dyDescent="0.25">
      <c r="A7" s="86"/>
      <c r="B7" s="86"/>
      <c r="C7" s="86"/>
      <c r="D7" s="86"/>
      <c r="F7" s="86"/>
      <c r="G7" s="86"/>
      <c r="H7" s="86"/>
      <c r="I7" s="86"/>
    </row>
    <row r="8" spans="1:9" x14ac:dyDescent="0.25">
      <c r="A8" s="86"/>
      <c r="B8" s="86"/>
      <c r="C8" s="86"/>
      <c r="D8" s="86"/>
      <c r="F8" s="86"/>
      <c r="G8" s="86"/>
      <c r="H8" s="86"/>
      <c r="I8" s="86"/>
    </row>
    <row r="9" spans="1:9" x14ac:dyDescent="0.25">
      <c r="A9" s="86"/>
      <c r="B9" s="86"/>
      <c r="C9" s="86"/>
      <c r="D9" s="86"/>
      <c r="F9" s="86"/>
      <c r="G9" s="86"/>
      <c r="H9" s="86"/>
      <c r="I9" s="86"/>
    </row>
    <row r="10" spans="1:9" x14ac:dyDescent="0.25">
      <c r="A10" s="86"/>
      <c r="B10" s="86"/>
      <c r="C10" s="86"/>
      <c r="D10" s="86"/>
      <c r="F10" s="86"/>
      <c r="G10" s="86"/>
      <c r="H10" s="86"/>
      <c r="I10" s="86"/>
    </row>
    <row r="11" spans="1:9" x14ac:dyDescent="0.25">
      <c r="A11" s="86"/>
      <c r="B11" s="86"/>
      <c r="C11" s="86"/>
      <c r="D11" s="86"/>
      <c r="F11" s="86"/>
      <c r="G11" s="86"/>
      <c r="H11" s="86"/>
      <c r="I11" s="86"/>
    </row>
    <row r="12" spans="1:9" x14ac:dyDescent="0.25">
      <c r="A12" s="86"/>
      <c r="B12" s="86"/>
      <c r="C12" s="86"/>
      <c r="D12" s="86"/>
      <c r="F12" s="86"/>
      <c r="G12" s="86"/>
      <c r="H12" s="86"/>
      <c r="I12" s="86"/>
    </row>
    <row r="13" spans="1:9" x14ac:dyDescent="0.25">
      <c r="A13" s="86"/>
      <c r="B13" s="86"/>
      <c r="C13" s="86"/>
      <c r="D13" s="86"/>
      <c r="F13" s="86"/>
      <c r="G13" s="86"/>
      <c r="H13" s="86"/>
      <c r="I13" s="86"/>
    </row>
    <row r="14" spans="1:9" x14ac:dyDescent="0.25">
      <c r="A14" s="86"/>
      <c r="B14" s="86"/>
      <c r="C14" s="86"/>
      <c r="D14" s="86"/>
      <c r="F14" s="86"/>
      <c r="G14" s="86"/>
      <c r="H14" s="86"/>
      <c r="I14" s="86"/>
    </row>
    <row r="15" spans="1:9" x14ac:dyDescent="0.25">
      <c r="A15" s="86"/>
      <c r="B15" s="86"/>
      <c r="C15" s="86"/>
      <c r="D15" s="86"/>
      <c r="F15" s="86"/>
      <c r="G15" s="86"/>
      <c r="H15" s="86"/>
      <c r="I15" s="86"/>
    </row>
    <row r="16" spans="1:9" x14ac:dyDescent="0.25">
      <c r="A16" s="86"/>
      <c r="B16" s="86"/>
      <c r="C16" s="86"/>
      <c r="D16" s="86"/>
      <c r="F16" s="86"/>
      <c r="G16" s="86"/>
      <c r="H16" s="86"/>
      <c r="I16" s="86"/>
    </row>
    <row r="17" spans="1:9" x14ac:dyDescent="0.25">
      <c r="A17" s="86"/>
      <c r="B17" s="86"/>
      <c r="C17" s="86"/>
      <c r="D17" s="86"/>
      <c r="F17" s="86"/>
      <c r="G17" s="86"/>
      <c r="H17" s="86"/>
      <c r="I17" s="86"/>
    </row>
    <row r="18" spans="1:9" x14ac:dyDescent="0.25">
      <c r="A18" t="s">
        <v>109</v>
      </c>
      <c r="B18" t="s">
        <v>120</v>
      </c>
      <c r="C18" t="s">
        <v>123</v>
      </c>
      <c r="D18" t="s">
        <v>130</v>
      </c>
      <c r="F18" t="s">
        <v>134</v>
      </c>
      <c r="G18" t="s">
        <v>136</v>
      </c>
      <c r="H18" t="s">
        <v>123</v>
      </c>
      <c r="I18" s="86"/>
    </row>
    <row r="19" spans="1:9" x14ac:dyDescent="0.25">
      <c r="A19" s="1">
        <v>10</v>
      </c>
      <c r="B19" s="88">
        <v>2.29</v>
      </c>
      <c r="C19" s="3">
        <v>0</v>
      </c>
      <c r="D19" s="93">
        <f>Table46[[#This Row],[Hard currency]]/$B$29</f>
        <v>0.4</v>
      </c>
      <c r="F19">
        <v>5000</v>
      </c>
      <c r="G19">
        <v>200</v>
      </c>
      <c r="H19" s="8">
        <f>(Table53[[#This Row],[Soft Currency]]-Table53[[#This Row],[Price (HC)]]*$G$26)/Table53[[#This Row],[Soft Currency]]</f>
        <v>0</v>
      </c>
      <c r="I19" s="86"/>
    </row>
    <row r="20" spans="1:9" x14ac:dyDescent="0.25">
      <c r="A20" s="1">
        <v>26</v>
      </c>
      <c r="B20" s="88">
        <v>5.79</v>
      </c>
      <c r="C20" s="3">
        <v>0.05</v>
      </c>
      <c r="D20" s="93">
        <f>Table46[[#This Row],[Hard currency]]/$B$29</f>
        <v>1.04</v>
      </c>
      <c r="F20">
        <v>11000</v>
      </c>
      <c r="G20">
        <v>400</v>
      </c>
      <c r="H20" s="8">
        <f>(Table53[[#This Row],[Soft Currency]]-Table53[[#This Row],[Price (HC)]]*$G$26)/Table53[[#This Row],[Soft Currency]]</f>
        <v>9.0909090909090912E-2</v>
      </c>
      <c r="I20" s="86"/>
    </row>
    <row r="21" spans="1:9" x14ac:dyDescent="0.25">
      <c r="A21" s="1">
        <v>55</v>
      </c>
      <c r="B21" s="88">
        <v>11.99</v>
      </c>
      <c r="C21" s="3">
        <v>0.05</v>
      </c>
      <c r="D21" s="93">
        <f>Table46[[#This Row],[Hard currency]]/$B$29</f>
        <v>2.2000000000000002</v>
      </c>
      <c r="F21">
        <v>30000</v>
      </c>
      <c r="G21">
        <v>1000</v>
      </c>
      <c r="H21" s="8">
        <f>(Table53[[#This Row],[Soft Currency]]-Table53[[#This Row],[Price (HC)]]*$G$26)/Table53[[#This Row],[Soft Currency]]</f>
        <v>0.16666666666666666</v>
      </c>
      <c r="I21" s="86"/>
    </row>
    <row r="22" spans="1:9" x14ac:dyDescent="0.25">
      <c r="A22" s="1">
        <v>130</v>
      </c>
      <c r="B22" s="88">
        <v>22.99</v>
      </c>
      <c r="C22" s="3">
        <v>0.3</v>
      </c>
      <c r="D22" s="93">
        <f>Table46[[#This Row],[Hard currency]]/$B$29</f>
        <v>5.2</v>
      </c>
      <c r="F22">
        <v>65000</v>
      </c>
      <c r="G22">
        <v>2000</v>
      </c>
      <c r="H22" s="8">
        <f>(Table53[[#This Row],[Soft Currency]]-Table53[[#This Row],[Price (HC)]]*$G$26)/Table53[[#This Row],[Soft Currency]]</f>
        <v>0.23076923076923078</v>
      </c>
      <c r="I22" s="86"/>
    </row>
    <row r="23" spans="1:9" x14ac:dyDescent="0.25">
      <c r="A23" s="1">
        <v>350</v>
      </c>
      <c r="B23" s="88">
        <v>57.99</v>
      </c>
      <c r="C23" s="3">
        <v>0.4</v>
      </c>
      <c r="D23" s="93">
        <f>Table46[[#This Row],[Hard currency]]/$B$29</f>
        <v>14</v>
      </c>
      <c r="F23">
        <v>100000</v>
      </c>
      <c r="G23">
        <v>3000</v>
      </c>
      <c r="H23" s="8">
        <f>(Table53[[#This Row],[Soft Currency]]-Table53[[#This Row],[Price (HC)]]*$G$26)/Table53[[#This Row],[Soft Currency]]</f>
        <v>0.25</v>
      </c>
      <c r="I23" s="86"/>
    </row>
    <row r="24" spans="1:9" x14ac:dyDescent="0.25">
      <c r="A24" s="1">
        <v>750</v>
      </c>
      <c r="B24" s="88">
        <v>119.99</v>
      </c>
      <c r="C24" s="3">
        <v>0.45</v>
      </c>
      <c r="D24" s="93">
        <f>Table46[[#This Row],[Hard currency]]/$B$29</f>
        <v>30</v>
      </c>
      <c r="F24">
        <v>220000</v>
      </c>
      <c r="G24">
        <v>6000</v>
      </c>
      <c r="H24" s="8">
        <f>(Table53[[#This Row],[Soft Currency]]-Table53[[#This Row],[Price (HC)]]*$G$26)/Table53[[#This Row],[Soft Currency]]</f>
        <v>0.31818181818181818</v>
      </c>
      <c r="I24" s="86"/>
    </row>
    <row r="25" spans="1:9" x14ac:dyDescent="0.25">
      <c r="A25" s="86"/>
      <c r="B25" s="86"/>
      <c r="C25" s="86"/>
      <c r="D25" s="86"/>
      <c r="F25" s="86"/>
      <c r="G25" s="86"/>
      <c r="H25" s="86"/>
      <c r="I25" s="86"/>
    </row>
    <row r="26" spans="1:9" x14ac:dyDescent="0.25">
      <c r="A26" s="4" t="s">
        <v>126</v>
      </c>
      <c r="B26" s="91">
        <f>A19/B19</f>
        <v>4.3668122270742353</v>
      </c>
      <c r="C26" s="91" t="s">
        <v>127</v>
      </c>
      <c r="D26" s="86"/>
      <c r="F26" s="4" t="s">
        <v>126</v>
      </c>
      <c r="G26" s="91">
        <f>F19/G19</f>
        <v>25</v>
      </c>
      <c r="H26" s="91" t="s">
        <v>137</v>
      </c>
      <c r="I26" s="86"/>
    </row>
    <row r="27" spans="1:9" x14ac:dyDescent="0.25">
      <c r="A27" s="86"/>
      <c r="B27" s="86"/>
      <c r="C27" s="86"/>
      <c r="D27" s="86"/>
      <c r="F27" s="86"/>
      <c r="G27" s="86"/>
      <c r="H27" s="86"/>
      <c r="I27" s="86"/>
    </row>
    <row r="28" spans="1:9" x14ac:dyDescent="0.25">
      <c r="A28" s="90" t="s">
        <v>124</v>
      </c>
      <c r="B28" s="90"/>
      <c r="C28" s="90"/>
      <c r="D28" s="90"/>
    </row>
    <row r="29" spans="1:9" x14ac:dyDescent="0.25">
      <c r="A29" s="4" t="s">
        <v>125</v>
      </c>
      <c r="B29" s="92">
        <v>25</v>
      </c>
      <c r="C29" s="89">
        <f>B29/$B$26</f>
        <v>5.7250000000000005</v>
      </c>
      <c r="D29" s="86"/>
    </row>
    <row r="30" spans="1:9" x14ac:dyDescent="0.25">
      <c r="A30" s="4" t="s">
        <v>128</v>
      </c>
      <c r="B30" s="92">
        <v>30</v>
      </c>
      <c r="C30" s="89">
        <f t="shared" ref="C30:C31" si="0">B30/$B$26</f>
        <v>6.870000000000001</v>
      </c>
      <c r="D30" s="86"/>
    </row>
    <row r="31" spans="1:9" x14ac:dyDescent="0.25">
      <c r="A31" s="4" t="s">
        <v>129</v>
      </c>
      <c r="B31" s="92">
        <v>15</v>
      </c>
      <c r="C31" s="89">
        <f t="shared" si="0"/>
        <v>3.4350000000000005</v>
      </c>
      <c r="D31" s="86"/>
    </row>
  </sheetData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41E92F5896E24F8C76437476C5FF2A" ma:contentTypeVersion="0" ma:contentTypeDescription="Create a new document." ma:contentTypeScope="" ma:versionID="7909bd544798f0da4f7f15b4f7c3fe8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d43da915a44023d50e58628415bfe65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8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Props1.xml><?xml version="1.0" encoding="utf-8"?>
<ds:datastoreItem xmlns:ds="http://schemas.openxmlformats.org/officeDocument/2006/customXml" ds:itemID="{A502F854-1DC8-4930-AC9B-4F60D9DD5EEF}">
  <ds:schemaRefs/>
</ds:datastoreItem>
</file>

<file path=customXml/itemProps2.xml><?xml version="1.0" encoding="utf-8"?>
<ds:datastoreItem xmlns:ds="http://schemas.openxmlformats.org/officeDocument/2006/customXml" ds:itemID="{F92C5DF9-F10E-4F67-A74E-2A3531B26D44}">
  <ds:schemaRefs/>
</ds:datastoreItem>
</file>

<file path=customXml/itemProps3.xml><?xml version="1.0" encoding="utf-8"?>
<ds:datastoreItem xmlns:ds="http://schemas.openxmlformats.org/officeDocument/2006/customXml" ds:itemID="{E4A9B254-DDD8-464F-AF7A-4D112BB6FD8E}">
  <ds:schemaRefs/>
</ds:datastoreItem>
</file>

<file path=customXml/itemProps4.xml><?xml version="1.0" encoding="utf-8"?>
<ds:datastoreItem xmlns:ds="http://schemas.openxmlformats.org/officeDocument/2006/customXml" ds:itemID="{72671333-EA01-4E61-9495-0C521CFF4E42}">
  <ds:schemaRefs/>
</ds:datastoreItem>
</file>

<file path=customXml/itemProps5.xml><?xml version="1.0" encoding="utf-8"?>
<ds:datastoreItem xmlns:ds="http://schemas.openxmlformats.org/officeDocument/2006/customXml" ds:itemID="{27B0BC59-0E6A-4278-957E-2A6158A5EF58}">
  <ds:schemaRefs/>
</ds:datastoreItem>
</file>

<file path=customXml/itemProps6.xml><?xml version="1.0" encoding="utf-8"?>
<ds:datastoreItem xmlns:ds="http://schemas.openxmlformats.org/officeDocument/2006/customXml" ds:itemID="{E68C531D-A362-4FEB-8EB6-C7E4117D7A69}">
  <ds:schemaRefs/>
</ds:datastoreItem>
</file>

<file path=customXml/itemProps7.xml><?xml version="1.0" encoding="utf-8"?>
<ds:datastoreItem xmlns:ds="http://schemas.openxmlformats.org/officeDocument/2006/customXml" ds:itemID="{CCCDC5D3-07B0-445E-B2E2-A4AE0B0B2F7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8.xml><?xml version="1.0" encoding="utf-8"?>
<ds:datastoreItem xmlns:ds="http://schemas.openxmlformats.org/officeDocument/2006/customXml" ds:itemID="{A4A5620A-4296-4C7A-BA8C-7054E1FB2B7E}">
  <ds:schemaRefs>
    <ds:schemaRef ds:uri="http://schemas.microsoft.com/office/2006/documentManagement/types"/>
    <ds:schemaRef ds:uri="http://purl.org/dc/terms/"/>
    <ds:schemaRef ds:uri="http://www.w3.org/XML/1998/namespace"/>
    <ds:schemaRef ds:uri="http://purl.org/dc/dcmitype/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http://schemas.microsoft.com/office/2006/metadata/properties"/>
  </ds:schemaRefs>
</ds:datastoreItem>
</file>

<file path=customXml/itemProps9.xml><?xml version="1.0" encoding="utf-8"?>
<ds:datastoreItem xmlns:ds="http://schemas.openxmlformats.org/officeDocument/2006/customXml" ds:itemID="{B0B7BE38-2889-44EA-9FB0-2D6FF9BB889A}">
  <ds:schemaRefs/>
</ds:datastoreItem>
</file>

<file path=customXml/itemProps10.xml><?xml version="1.0" encoding="utf-8"?>
<ds:datastoreItem xmlns:ds="http://schemas.openxmlformats.org/officeDocument/2006/customXml" ds:itemID="{C5CBC30E-2F3A-4931-BF4A-9F61DD9D84E2}">
  <ds:schemaRefs/>
</ds:datastoreItem>
</file>

<file path=customXml/itemProps11.xml><?xml version="1.0" encoding="utf-8"?>
<ds:datastoreItem xmlns:ds="http://schemas.openxmlformats.org/officeDocument/2006/customXml" ds:itemID="{4B5313D3-99C5-44BD-BE39-5926B1C15ED3}">
  <ds:schemaRefs/>
</ds:datastoreItem>
</file>

<file path=customXml/itemProps12.xml><?xml version="1.0" encoding="utf-8"?>
<ds:datastoreItem xmlns:ds="http://schemas.openxmlformats.org/officeDocument/2006/customXml" ds:itemID="{5C670962-9690-435C-A5BE-6413D7595FD6}">
  <ds:schemaRefs/>
</ds:datastoreItem>
</file>

<file path=customXml/itemProps13.xml><?xml version="1.0" encoding="utf-8"?>
<ds:datastoreItem xmlns:ds="http://schemas.openxmlformats.org/officeDocument/2006/customXml" ds:itemID="{CA5FF991-C66A-4AAF-AC09-3E8322DE2999}">
  <ds:schemaRefs/>
</ds:datastoreItem>
</file>

<file path=customXml/itemProps14.xml><?xml version="1.0" encoding="utf-8"?>
<ds:datastoreItem xmlns:ds="http://schemas.openxmlformats.org/officeDocument/2006/customXml" ds:itemID="{4D599914-1841-4557-992F-9FC790B7361E}">
  <ds:schemaRefs>
    <ds:schemaRef ds:uri="http://schemas.microsoft.com/sharepoint/v3/contenttype/forms"/>
  </ds:schemaRefs>
</ds:datastoreItem>
</file>

<file path=customXml/itemProps15.xml><?xml version="1.0" encoding="utf-8"?>
<ds:datastoreItem xmlns:ds="http://schemas.openxmlformats.org/officeDocument/2006/customXml" ds:itemID="{73EAB481-866B-4C0F-8627-26832E150B4D}">
  <ds:schemaRefs/>
</ds:datastoreItem>
</file>

<file path=customXml/itemProps16.xml><?xml version="1.0" encoding="utf-8"?>
<ds:datastoreItem xmlns:ds="http://schemas.openxmlformats.org/officeDocument/2006/customXml" ds:itemID="{F11733BD-FDAC-45AD-A0CD-7C4B6266E0CC}">
  <ds:schemaRefs/>
</ds:datastoreItem>
</file>

<file path=customXml/itemProps17.xml><?xml version="1.0" encoding="utf-8"?>
<ds:datastoreItem xmlns:ds="http://schemas.openxmlformats.org/officeDocument/2006/customXml" ds:itemID="{14FA3DBF-3D10-4CEC-9C13-2B643DF1E106}">
  <ds:schemaRefs/>
</ds:datastoreItem>
</file>

<file path=customXml/itemProps18.xml><?xml version="1.0" encoding="utf-8"?>
<ds:datastoreItem xmlns:ds="http://schemas.openxmlformats.org/officeDocument/2006/customXml" ds:itemID="{3B5C8196-2348-4D06-B408-7ECE9A09663C}">
  <ds:schemaRefs/>
</ds:datastoreItem>
</file>

<file path=customXml/itemProps19.xml><?xml version="1.0" encoding="utf-8"?>
<ds:datastoreItem xmlns:ds="http://schemas.openxmlformats.org/officeDocument/2006/customXml" ds:itemID="{09DE11B8-3459-491D-8BA8-7D75F0234420}">
  <ds:schemaRefs/>
</ds:datastoreItem>
</file>

<file path=customXml/itemProps20.xml><?xml version="1.0" encoding="utf-8"?>
<ds:datastoreItem xmlns:ds="http://schemas.openxmlformats.org/officeDocument/2006/customXml" ds:itemID="{498F0357-19EF-429B-ABBE-9EE0F18B7652}">
  <ds:schemaRefs/>
</ds:datastoreItem>
</file>

<file path=customXml/itemProps21.xml><?xml version="1.0" encoding="utf-8"?>
<ds:datastoreItem xmlns:ds="http://schemas.openxmlformats.org/officeDocument/2006/customXml" ds:itemID="{F8AB7AAD-CCBA-4D35-9A0D-E4DC6E01A4E1}">
  <ds:schemaRefs/>
</ds:datastoreItem>
</file>

<file path=customXml/itemProps22.xml><?xml version="1.0" encoding="utf-8"?>
<ds:datastoreItem xmlns:ds="http://schemas.openxmlformats.org/officeDocument/2006/customXml" ds:itemID="{8428E760-B837-43D3-BFB6-FA3F00E4351C}">
  <ds:schemaRefs/>
</ds:datastoreItem>
</file>

<file path=customXml/itemProps23.xml><?xml version="1.0" encoding="utf-8"?>
<ds:datastoreItem xmlns:ds="http://schemas.openxmlformats.org/officeDocument/2006/customXml" ds:itemID="{457F4C07-1709-4595-8EC4-6C0DABF04268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27</vt:i4>
      </vt:variant>
    </vt:vector>
  </HeadingPairs>
  <TitlesOfParts>
    <vt:vector size="27" baseType="lpstr">
      <vt:lpstr>BD - Heats Maps (2)</vt:lpstr>
      <vt:lpstr>Dragons - Unlock</vt:lpstr>
      <vt:lpstr>Balance - XP points</vt:lpstr>
      <vt:lpstr>Balance - Global LVL</vt:lpstr>
      <vt:lpstr>Balance - Score</vt:lpstr>
      <vt:lpstr>Missions rewards&amp;quantities</vt:lpstr>
      <vt:lpstr>Run - Duration</vt:lpstr>
      <vt:lpstr>Run - Survival Bonus</vt:lpstr>
      <vt:lpstr>Run - Boosters &amp; Map</vt:lpstr>
      <vt:lpstr>Run - Revives</vt:lpstr>
      <vt:lpstr>Progression - Gold rate</vt:lpstr>
      <vt:lpstr>Progression - Survival Bonus</vt:lpstr>
      <vt:lpstr>Progression - Growth rate</vt:lpstr>
      <vt:lpstr>Link table</vt:lpstr>
      <vt:lpstr>Chests</vt:lpstr>
      <vt:lpstr>Gacha - Chests &amp; Eggs</vt:lpstr>
      <vt:lpstr>Gatcha - Cost to burn</vt:lpstr>
      <vt:lpstr>Gatcha - Pets </vt:lpstr>
      <vt:lpstr>Gacha - Reward</vt:lpstr>
      <vt:lpstr>Gatcha - Skins</vt:lpstr>
      <vt:lpstr>Powerups</vt:lpstr>
      <vt:lpstr>Combination simulator</vt:lpstr>
      <vt:lpstr>Hard currency</vt:lpstr>
      <vt:lpstr>Soft Currency</vt:lpstr>
      <vt:lpstr>Event Keys</vt:lpstr>
      <vt:lpstr>Timers</vt:lpstr>
      <vt:lpstr>Benchmark stores</vt:lpstr>
    </vt:vector>
  </TitlesOfParts>
  <Company>UBISOFT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Hadrian Semroud</dc:creator>
  <cp:lastModifiedBy>Jose Camacho</cp:lastModifiedBy>
  <cp:lastPrinted>2015-11-06T10:49:27Z</cp:lastPrinted>
  <dcterms:created xsi:type="dcterms:W3CDTF">2015-09-17T09:56:12Z</dcterms:created>
  <dcterms:modified xsi:type="dcterms:W3CDTF">2019-05-31T12:42:18Z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9</vt:i4>
  </property>
  <property fmtid="{D5CDD505-2E9C-101B-9397-08002B2CF9AE}" pid="3" name="ContentTypeId">
    <vt:lpwstr>0x0101007841E92F5896E24F8C76437476C5FF2A</vt:lpwstr>
  </property>
</Properties>
</file>