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4" activeTab="8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48" i="57" l="1"/>
  <c r="N147" i="57"/>
  <c r="N146" i="57"/>
  <c r="N145" i="57"/>
  <c r="M148" i="57"/>
  <c r="M147" i="57"/>
  <c r="M146" i="57"/>
  <c r="M145" i="57"/>
  <c r="I148" i="57"/>
  <c r="I147" i="57"/>
  <c r="I146" i="57"/>
  <c r="I145" i="57"/>
  <c r="H148" i="57"/>
  <c r="H147" i="57"/>
  <c r="H146" i="57"/>
  <c r="H145" i="57"/>
  <c r="D148" i="57"/>
  <c r="D147" i="57"/>
  <c r="D146" i="57"/>
  <c r="D145" i="57"/>
  <c r="C148" i="57"/>
  <c r="C147" i="57"/>
  <c r="C146" i="57"/>
  <c r="C145" i="57"/>
  <c r="M31" i="57"/>
  <c r="C85" i="57" l="1"/>
  <c r="H85" i="57"/>
  <c r="M86" i="57"/>
  <c r="M85" i="57"/>
  <c r="B26" i="57"/>
  <c r="S31" i="57"/>
  <c r="P31" i="57"/>
  <c r="G31" i="57"/>
  <c r="J31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L29" i="56" l="1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0" i="57" l="1"/>
  <c r="J29" i="57"/>
  <c r="C163" i="57" l="1"/>
  <c r="P30" i="57" l="1"/>
  <c r="P29" i="57"/>
  <c r="B13" i="58" l="1"/>
  <c r="B15" i="58" s="1"/>
  <c r="B19" i="58" l="1"/>
  <c r="B20" i="58"/>
  <c r="B21" i="58"/>
  <c r="B18" i="58"/>
  <c r="M143" i="57"/>
  <c r="M141" i="57"/>
  <c r="H143" i="57"/>
  <c r="H141" i="57"/>
  <c r="C143" i="57"/>
  <c r="C141" i="57"/>
  <c r="S30" i="57"/>
  <c r="H144" i="57" s="1"/>
  <c r="M30" i="57"/>
  <c r="H142" i="57" s="1"/>
  <c r="G30" i="57"/>
  <c r="C8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42" i="57" l="1"/>
  <c r="C14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44" i="57"/>
  <c r="M144" i="57"/>
  <c r="M84" i="57"/>
  <c r="H8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63" i="57"/>
  <c r="C62" i="57"/>
  <c r="T82" i="55" l="1"/>
  <c r="F82" i="55"/>
  <c r="L82" i="55"/>
  <c r="J82" i="55"/>
  <c r="Q82" i="55"/>
  <c r="N82" i="55"/>
  <c r="O82" i="55"/>
  <c r="M82" i="55"/>
  <c r="I82" i="55"/>
  <c r="Y28" i="57"/>
  <c r="M136" i="57" s="1"/>
  <c r="Y22" i="57"/>
  <c r="C109" i="57" s="1"/>
  <c r="V25" i="57"/>
  <c r="V26" i="57"/>
  <c r="C101" i="55" l="1"/>
  <c r="M109" i="57"/>
  <c r="H109" i="57"/>
  <c r="C136" i="57"/>
  <c r="H13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87" i="57" l="1"/>
  <c r="M83" i="57"/>
  <c r="M63" i="57"/>
  <c r="H63" i="57"/>
  <c r="M62" i="57"/>
  <c r="H62" i="57"/>
  <c r="E38" i="57"/>
  <c r="G36" i="57"/>
  <c r="H90" i="57" s="1"/>
  <c r="G35" i="57"/>
  <c r="H89" i="57" s="1"/>
  <c r="G34" i="57"/>
  <c r="H88" i="57" s="1"/>
  <c r="B34" i="57"/>
  <c r="G33" i="57"/>
  <c r="H87" i="57" s="1"/>
  <c r="G32" i="57"/>
  <c r="S29" i="57"/>
  <c r="H140" i="57" s="1"/>
  <c r="H139" i="57"/>
  <c r="M29" i="57"/>
  <c r="M138" i="57" s="1"/>
  <c r="H137" i="57"/>
  <c r="G29" i="57"/>
  <c r="H83" i="57" s="1"/>
  <c r="S28" i="57"/>
  <c r="P28" i="57"/>
  <c r="H134" i="57" s="1"/>
  <c r="M28" i="57"/>
  <c r="H133" i="57" s="1"/>
  <c r="J28" i="57"/>
  <c r="H132" i="57" s="1"/>
  <c r="G28" i="57"/>
  <c r="H82" i="57" s="1"/>
  <c r="S27" i="57"/>
  <c r="M131" i="57" s="1"/>
  <c r="P27" i="57"/>
  <c r="M27" i="57"/>
  <c r="H129" i="57" s="1"/>
  <c r="J27" i="57"/>
  <c r="H128" i="57" s="1"/>
  <c r="G27" i="57"/>
  <c r="H81" i="57" s="1"/>
  <c r="H127" i="57"/>
  <c r="S26" i="57"/>
  <c r="H126" i="57" s="1"/>
  <c r="P26" i="57"/>
  <c r="M26" i="57"/>
  <c r="H124" i="57" s="1"/>
  <c r="J26" i="57"/>
  <c r="H123" i="57" s="1"/>
  <c r="G26" i="57"/>
  <c r="M80" i="57" s="1"/>
  <c r="H122" i="57"/>
  <c r="S25" i="57"/>
  <c r="P25" i="57"/>
  <c r="H120" i="57" s="1"/>
  <c r="M25" i="57"/>
  <c r="H119" i="57" s="1"/>
  <c r="J25" i="57"/>
  <c r="H118" i="57" s="1"/>
  <c r="G25" i="57"/>
  <c r="H79" i="57" s="1"/>
  <c r="B25" i="57"/>
  <c r="S24" i="57"/>
  <c r="M117" i="57" s="1"/>
  <c r="P24" i="57"/>
  <c r="M24" i="57"/>
  <c r="H115" i="57" s="1"/>
  <c r="J24" i="57"/>
  <c r="H114" i="57" s="1"/>
  <c r="G24" i="57"/>
  <c r="M78" i="57" s="1"/>
  <c r="B24" i="57"/>
  <c r="S23" i="57"/>
  <c r="M113" i="57" s="1"/>
  <c r="P23" i="57"/>
  <c r="M23" i="57"/>
  <c r="H111" i="57" s="1"/>
  <c r="J23" i="57"/>
  <c r="H110" i="57" s="1"/>
  <c r="G23" i="57"/>
  <c r="H77" i="57" s="1"/>
  <c r="B23" i="57"/>
  <c r="V22" i="57"/>
  <c r="S22" i="57"/>
  <c r="H107" i="57" s="1"/>
  <c r="P22" i="57"/>
  <c r="M22" i="57"/>
  <c r="H105" i="57" s="1"/>
  <c r="J22" i="57"/>
  <c r="H104" i="57" s="1"/>
  <c r="G22" i="57"/>
  <c r="M76" i="57" s="1"/>
  <c r="B22" i="57"/>
  <c r="P21" i="57"/>
  <c r="H103" i="57" s="1"/>
  <c r="M21" i="57"/>
  <c r="J21" i="57"/>
  <c r="H101" i="57" s="1"/>
  <c r="G21" i="57"/>
  <c r="H75" i="57" s="1"/>
  <c r="B21" i="57"/>
  <c r="P20" i="57"/>
  <c r="M100" i="57" s="1"/>
  <c r="M20" i="57"/>
  <c r="H99" i="57" s="1"/>
  <c r="J20" i="57"/>
  <c r="M98" i="57" s="1"/>
  <c r="G20" i="57"/>
  <c r="P19" i="57"/>
  <c r="H97" i="57" s="1"/>
  <c r="M19" i="57"/>
  <c r="H96" i="57" s="1"/>
  <c r="J19" i="57"/>
  <c r="H95" i="57" s="1"/>
  <c r="G19" i="57"/>
  <c r="H73" i="57" s="1"/>
  <c r="M18" i="57"/>
  <c r="M94" i="57" s="1"/>
  <c r="J18" i="57"/>
  <c r="M93" i="57" s="1"/>
  <c r="G18" i="57"/>
  <c r="H72" i="57" s="1"/>
  <c r="M17" i="57"/>
  <c r="M92" i="57" s="1"/>
  <c r="J17" i="57"/>
  <c r="H91" i="57" s="1"/>
  <c r="G17" i="57"/>
  <c r="H71" i="57" s="1"/>
  <c r="F13" i="57"/>
  <c r="B13" i="57"/>
  <c r="B4" i="57" s="1"/>
  <c r="N31" i="57" s="1"/>
  <c r="F12" i="57"/>
  <c r="J43" i="57" s="1"/>
  <c r="B12" i="57"/>
  <c r="B11" i="57"/>
  <c r="B10" i="57"/>
  <c r="F9" i="57"/>
  <c r="H70" i="57" s="1"/>
  <c r="B9" i="57"/>
  <c r="F8" i="57"/>
  <c r="H69" i="57" s="1"/>
  <c r="B8" i="57"/>
  <c r="F7" i="57"/>
  <c r="G7" i="57" s="1"/>
  <c r="M68" i="57" s="1"/>
  <c r="B7" i="57"/>
  <c r="F4" i="57"/>
  <c r="G4" i="57" s="1"/>
  <c r="F3" i="57"/>
  <c r="B38" i="57" s="1"/>
  <c r="C64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T31" i="57" l="1"/>
  <c r="Q31" i="57"/>
  <c r="T30" i="57"/>
  <c r="N144" i="57" s="1"/>
  <c r="Q12" i="54"/>
  <c r="H31" i="57"/>
  <c r="Q30" i="57"/>
  <c r="H65" i="57"/>
  <c r="F43" i="57"/>
  <c r="C65" i="57" s="1"/>
  <c r="K20" i="56"/>
  <c r="M16" i="56"/>
  <c r="M17" i="56"/>
  <c r="D58" i="55" a="1"/>
  <c r="D56" i="55" a="1"/>
  <c r="C72" i="57"/>
  <c r="M79" i="57"/>
  <c r="M81" i="57"/>
  <c r="H30" i="57"/>
  <c r="P12" i="54"/>
  <c r="D62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64" i="57" s="1"/>
  <c r="H108" i="57"/>
  <c r="C108" i="57"/>
  <c r="M101" i="57"/>
  <c r="M110" i="57"/>
  <c r="M139" i="57"/>
  <c r="W25" i="57"/>
  <c r="Z22" i="57"/>
  <c r="W26" i="57"/>
  <c r="Z28" i="57"/>
  <c r="C104" i="57"/>
  <c r="C111" i="57"/>
  <c r="C119" i="57"/>
  <c r="M124" i="57"/>
  <c r="M128" i="57"/>
  <c r="M13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2" i="57"/>
  <c r="N86" i="57" s="1"/>
  <c r="H3" i="57"/>
  <c r="N64" i="57" s="1"/>
  <c r="I69" i="57"/>
  <c r="M99" i="57"/>
  <c r="C115" i="57"/>
  <c r="M127" i="57"/>
  <c r="M115" i="57"/>
  <c r="C88" i="57"/>
  <c r="M103" i="57"/>
  <c r="M118" i="57"/>
  <c r="C129" i="57"/>
  <c r="M88" i="57"/>
  <c r="M129" i="57"/>
  <c r="G8" i="57"/>
  <c r="M69" i="57" s="1"/>
  <c r="M72" i="57"/>
  <c r="M89" i="57"/>
  <c r="M104" i="57"/>
  <c r="M119" i="57"/>
  <c r="M132" i="57"/>
  <c r="B53" i="57"/>
  <c r="C70" i="57" s="1"/>
  <c r="M73" i="57"/>
  <c r="C90" i="57"/>
  <c r="M105" i="57"/>
  <c r="M120" i="57"/>
  <c r="C133" i="57"/>
  <c r="M75" i="57"/>
  <c r="M90" i="57"/>
  <c r="M107" i="57"/>
  <c r="M122" i="57"/>
  <c r="M133" i="57"/>
  <c r="M77" i="57"/>
  <c r="M91" i="57"/>
  <c r="M108" i="57"/>
  <c r="C123" i="57"/>
  <c r="M134" i="57"/>
  <c r="M95" i="57"/>
  <c r="M123" i="57"/>
  <c r="C96" i="57"/>
  <c r="H12" i="57"/>
  <c r="N66" i="57" s="1"/>
  <c r="C82" i="57"/>
  <c r="M96" i="57"/>
  <c r="M111" i="57"/>
  <c r="M126" i="57"/>
  <c r="C140" i="57"/>
  <c r="B18" i="57"/>
  <c r="M82" i="57"/>
  <c r="M97" i="57"/>
  <c r="M114" i="57"/>
  <c r="C127" i="57"/>
  <c r="M140" i="57"/>
  <c r="M71" i="57"/>
  <c r="T29" i="57"/>
  <c r="Q19" i="57"/>
  <c r="H18" i="57"/>
  <c r="H22" i="57"/>
  <c r="I66" i="57"/>
  <c r="H34" i="57"/>
  <c r="N44" i="57"/>
  <c r="D67" i="57" s="1"/>
  <c r="H36" i="57"/>
  <c r="H21" i="57"/>
  <c r="H27" i="57"/>
  <c r="I64" i="57"/>
  <c r="J44" i="57"/>
  <c r="D66" i="57" s="1"/>
  <c r="Q29" i="57"/>
  <c r="B44" i="57"/>
  <c r="D68" i="57" s="1"/>
  <c r="H26" i="57"/>
  <c r="I68" i="57"/>
  <c r="H25" i="57"/>
  <c r="N62" i="57"/>
  <c r="F44" i="57"/>
  <c r="D65" i="57" s="1"/>
  <c r="H35" i="57"/>
  <c r="H23" i="57"/>
  <c r="N17" i="57"/>
  <c r="H24" i="57"/>
  <c r="Q20" i="57"/>
  <c r="I70" i="57"/>
  <c r="I62" i="57"/>
  <c r="H28" i="57"/>
  <c r="W22" i="57"/>
  <c r="H19" i="57"/>
  <c r="H33" i="57"/>
  <c r="T26" i="57"/>
  <c r="T24" i="57"/>
  <c r="B54" i="57"/>
  <c r="D70" i="57" s="1"/>
  <c r="T23" i="57"/>
  <c r="Q21" i="57"/>
  <c r="H17" i="57"/>
  <c r="H29" i="57"/>
  <c r="T27" i="57"/>
  <c r="T22" i="57"/>
  <c r="N18" i="57"/>
  <c r="T25" i="57"/>
  <c r="H67" i="57"/>
  <c r="N43" i="57"/>
  <c r="C67" i="57" s="1"/>
  <c r="H13" i="57"/>
  <c r="N67" i="57" s="1"/>
  <c r="M135" i="57"/>
  <c r="H135" i="57"/>
  <c r="C135" i="57"/>
  <c r="G13" i="57"/>
  <c r="M67" i="57" s="1"/>
  <c r="M74" i="57"/>
  <c r="H74" i="57"/>
  <c r="C74" i="57"/>
  <c r="H112" i="57"/>
  <c r="C112" i="57"/>
  <c r="T28" i="57"/>
  <c r="H20" i="57"/>
  <c r="I65" i="57"/>
  <c r="M112" i="57"/>
  <c r="H93" i="57"/>
  <c r="C93" i="57"/>
  <c r="H86" i="57"/>
  <c r="C86" i="57"/>
  <c r="M125" i="57"/>
  <c r="H125" i="57"/>
  <c r="C125" i="57"/>
  <c r="B39" i="57"/>
  <c r="D64" i="57" s="1"/>
  <c r="H130" i="57"/>
  <c r="C130" i="57"/>
  <c r="M130" i="57"/>
  <c r="H116" i="57"/>
  <c r="C116" i="57"/>
  <c r="M116" i="57"/>
  <c r="M102" i="57"/>
  <c r="H102" i="57"/>
  <c r="C102" i="57"/>
  <c r="H8" i="57"/>
  <c r="N69" i="57" s="1"/>
  <c r="M106" i="57"/>
  <c r="H106" i="57"/>
  <c r="C106" i="57"/>
  <c r="M121" i="57"/>
  <c r="H121" i="57"/>
  <c r="C121" i="57"/>
  <c r="B49" i="57"/>
  <c r="D69" i="57" s="1"/>
  <c r="I67" i="57"/>
  <c r="G9" i="57"/>
  <c r="M70" i="57" s="1"/>
  <c r="B43" i="57"/>
  <c r="C68" i="57" s="1"/>
  <c r="C78" i="57"/>
  <c r="C94" i="57"/>
  <c r="C98" i="57"/>
  <c r="H4" i="57"/>
  <c r="N65" i="57" s="1"/>
  <c r="H9" i="57"/>
  <c r="N70" i="57" s="1"/>
  <c r="M65" i="57"/>
  <c r="C76" i="57"/>
  <c r="C80" i="57"/>
  <c r="C92" i="57"/>
  <c r="C100" i="57"/>
  <c r="C113" i="57"/>
  <c r="C117" i="57"/>
  <c r="C131" i="57"/>
  <c r="C138" i="57"/>
  <c r="C66" i="57"/>
  <c r="H64" i="57"/>
  <c r="H66" i="57"/>
  <c r="H68" i="57"/>
  <c r="H76" i="57"/>
  <c r="H78" i="57"/>
  <c r="H80" i="57"/>
  <c r="H92" i="57"/>
  <c r="H94" i="57"/>
  <c r="H98" i="57"/>
  <c r="H100" i="57"/>
  <c r="H113" i="57"/>
  <c r="H117" i="57"/>
  <c r="H131" i="57"/>
  <c r="H138" i="57"/>
  <c r="H7" i="57"/>
  <c r="N68" i="57" s="1"/>
  <c r="G12" i="57"/>
  <c r="M66" i="57" s="1"/>
  <c r="C71" i="57"/>
  <c r="C73" i="57"/>
  <c r="C75" i="57"/>
  <c r="C77" i="57"/>
  <c r="C79" i="57"/>
  <c r="C81" i="57"/>
  <c r="C83" i="57"/>
  <c r="C87" i="57"/>
  <c r="C89" i="57"/>
  <c r="C91" i="57"/>
  <c r="C95" i="57"/>
  <c r="C97" i="57"/>
  <c r="C99" i="57"/>
  <c r="C101" i="57"/>
  <c r="C103" i="57"/>
  <c r="C105" i="57"/>
  <c r="C107" i="57"/>
  <c r="C110" i="57"/>
  <c r="C114" i="57"/>
  <c r="C118" i="57"/>
  <c r="C120" i="57"/>
  <c r="C122" i="57"/>
  <c r="C124" i="57"/>
  <c r="C126" i="57"/>
  <c r="C128" i="57"/>
  <c r="C132" i="57"/>
  <c r="C134" i="57"/>
  <c r="C137" i="57"/>
  <c r="C139" i="57"/>
  <c r="B48" i="57"/>
  <c r="C69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I144" i="57" l="1"/>
  <c r="C151" i="57"/>
  <c r="B153" i="57" s="1"/>
  <c r="D85" i="57"/>
  <c r="I85" i="57"/>
  <c r="N85" i="57"/>
  <c r="D144" i="57"/>
  <c r="N20" i="57"/>
  <c r="N63" i="57"/>
  <c r="Q27" i="57"/>
  <c r="D130" i="57" s="1"/>
  <c r="Q23" i="57"/>
  <c r="N112" i="57" s="1"/>
  <c r="K24" i="57"/>
  <c r="I114" i="57" s="1"/>
  <c r="K31" i="57"/>
  <c r="K29" i="57"/>
  <c r="D137" i="57" s="1"/>
  <c r="K22" i="57"/>
  <c r="I104" i="57" s="1"/>
  <c r="K21" i="57"/>
  <c r="D101" i="57" s="1"/>
  <c r="Q25" i="57"/>
  <c r="N120" i="57" s="1"/>
  <c r="K26" i="57"/>
  <c r="N123" i="57" s="1"/>
  <c r="K23" i="57"/>
  <c r="D11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84" i="57"/>
  <c r="I84" i="57"/>
  <c r="N84" i="57"/>
  <c r="N30" i="57"/>
  <c r="K17" i="57"/>
  <c r="D91" i="57" s="1"/>
  <c r="N27" i="57"/>
  <c r="I129" i="57" s="1"/>
  <c r="Q28" i="57"/>
  <c r="I134" i="57" s="1"/>
  <c r="N21" i="57"/>
  <c r="N102" i="57" s="1"/>
  <c r="N136" i="57"/>
  <c r="I136" i="57"/>
  <c r="D136" i="57"/>
  <c r="I109" i="57"/>
  <c r="D109" i="57"/>
  <c r="N109" i="57"/>
  <c r="N26" i="57"/>
  <c r="N124" i="57" s="1"/>
  <c r="K30" i="57"/>
  <c r="D63" i="57"/>
  <c r="I86" i="57"/>
  <c r="D86" i="57"/>
  <c r="K20" i="57"/>
  <c r="I98" i="57" s="1"/>
  <c r="K27" i="57"/>
  <c r="N128" i="57" s="1"/>
  <c r="E39" i="57"/>
  <c r="N28" i="57"/>
  <c r="D133" i="57" s="1"/>
  <c r="K28" i="57"/>
  <c r="I132" i="57" s="1"/>
  <c r="N25" i="57"/>
  <c r="I119" i="57" s="1"/>
  <c r="Q26" i="57"/>
  <c r="N125" i="57" s="1"/>
  <c r="N23" i="57"/>
  <c r="N111" i="57" s="1"/>
  <c r="K25" i="57"/>
  <c r="D118" i="57" s="1"/>
  <c r="K18" i="57"/>
  <c r="D93" i="57" s="1"/>
  <c r="N29" i="57"/>
  <c r="I138" i="57" s="1"/>
  <c r="N24" i="57"/>
  <c r="I115" i="57" s="1"/>
  <c r="K19" i="57"/>
  <c r="D95" i="57" s="1"/>
  <c r="N22" i="57"/>
  <c r="D105" i="57" s="1"/>
  <c r="N19" i="57"/>
  <c r="D96" i="57" s="1"/>
  <c r="I63" i="57"/>
  <c r="Q22" i="57"/>
  <c r="Q24" i="57"/>
  <c r="D116" i="57" s="1"/>
  <c r="D99" i="57"/>
  <c r="N99" i="57"/>
  <c r="I99" i="57"/>
  <c r="D73" i="57"/>
  <c r="N73" i="57"/>
  <c r="I73" i="57"/>
  <c r="N88" i="57"/>
  <c r="I88" i="57"/>
  <c r="D88" i="57"/>
  <c r="I74" i="57"/>
  <c r="N74" i="57"/>
  <c r="D74" i="57"/>
  <c r="N131" i="57"/>
  <c r="I131" i="57"/>
  <c r="D131" i="57"/>
  <c r="D79" i="57"/>
  <c r="N79" i="57"/>
  <c r="I79" i="57"/>
  <c r="D83" i="57"/>
  <c r="N83" i="57"/>
  <c r="I83" i="57"/>
  <c r="N127" i="57"/>
  <c r="I127" i="57"/>
  <c r="D127" i="57"/>
  <c r="I76" i="57"/>
  <c r="N76" i="57"/>
  <c r="D76" i="57"/>
  <c r="D107" i="57"/>
  <c r="N107" i="57"/>
  <c r="I107" i="57"/>
  <c r="I108" i="57"/>
  <c r="N108" i="57"/>
  <c r="D108" i="57"/>
  <c r="D71" i="57"/>
  <c r="N71" i="57"/>
  <c r="I71" i="57"/>
  <c r="I82" i="57"/>
  <c r="N82" i="57"/>
  <c r="D82" i="57"/>
  <c r="I80" i="57"/>
  <c r="N80" i="57"/>
  <c r="D80" i="57"/>
  <c r="I72" i="57"/>
  <c r="N72" i="57"/>
  <c r="D72" i="57"/>
  <c r="I94" i="57"/>
  <c r="N94" i="57"/>
  <c r="D94" i="57"/>
  <c r="D139" i="57"/>
  <c r="N139" i="57"/>
  <c r="I139" i="57"/>
  <c r="D122" i="57"/>
  <c r="N122" i="57"/>
  <c r="I122" i="57"/>
  <c r="N104" i="57"/>
  <c r="D104" i="57"/>
  <c r="N78" i="57"/>
  <c r="I78" i="57"/>
  <c r="D78" i="57"/>
  <c r="I135" i="57"/>
  <c r="N135" i="57"/>
  <c r="D135" i="57"/>
  <c r="N140" i="57"/>
  <c r="I140" i="57"/>
  <c r="D140" i="57"/>
  <c r="I100" i="57"/>
  <c r="N100" i="57"/>
  <c r="D100" i="57"/>
  <c r="I92" i="57"/>
  <c r="N92" i="57"/>
  <c r="D92" i="57"/>
  <c r="D81" i="57"/>
  <c r="N81" i="57"/>
  <c r="I81" i="57"/>
  <c r="D87" i="57"/>
  <c r="N87" i="57"/>
  <c r="I87" i="57"/>
  <c r="D97" i="57"/>
  <c r="N97" i="57"/>
  <c r="I97" i="57"/>
  <c r="N117" i="57"/>
  <c r="I117" i="57"/>
  <c r="D117" i="57"/>
  <c r="D77" i="57"/>
  <c r="N77" i="57"/>
  <c r="I77" i="57"/>
  <c r="D75" i="57"/>
  <c r="N75" i="57"/>
  <c r="I75" i="57"/>
  <c r="D103" i="57"/>
  <c r="N103" i="57"/>
  <c r="I103" i="57"/>
  <c r="I113" i="57"/>
  <c r="N113" i="57"/>
  <c r="D113" i="57"/>
  <c r="D124" i="57"/>
  <c r="I124" i="57"/>
  <c r="I121" i="57"/>
  <c r="N121" i="57"/>
  <c r="D121" i="57"/>
  <c r="D126" i="57"/>
  <c r="N126" i="57"/>
  <c r="I126" i="57"/>
  <c r="D89" i="57"/>
  <c r="N89" i="57"/>
  <c r="I89" i="57"/>
  <c r="I90" i="57"/>
  <c r="N90" i="57"/>
  <c r="D9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N91" i="57" l="1"/>
  <c r="N110" i="57"/>
  <c r="I112" i="57"/>
  <c r="D112" i="57"/>
  <c r="N132" i="57"/>
  <c r="I91" i="57"/>
  <c r="I130" i="57"/>
  <c r="N130" i="57"/>
  <c r="N134" i="57"/>
  <c r="N114" i="57"/>
  <c r="D114" i="57"/>
  <c r="D123" i="57"/>
  <c r="D134" i="57"/>
  <c r="I120" i="57"/>
  <c r="D120" i="57"/>
  <c r="I137" i="57"/>
  <c r="N137" i="57"/>
  <c r="I101" i="57"/>
  <c r="D129" i="57"/>
  <c r="N101" i="57"/>
  <c r="N129" i="57"/>
  <c r="I110" i="57"/>
  <c r="D132" i="57"/>
  <c r="I128" i="57"/>
  <c r="I123" i="57"/>
  <c r="D128" i="57"/>
  <c r="D141" i="57"/>
  <c r="I141" i="57"/>
  <c r="N141" i="57"/>
  <c r="D142" i="57"/>
  <c r="N142" i="57"/>
  <c r="I142" i="57"/>
  <c r="H79" i="55"/>
  <c r="R80" i="55"/>
  <c r="E79" i="55"/>
  <c r="D81" i="55"/>
  <c r="I79" i="55"/>
  <c r="I81" i="55"/>
  <c r="N143" i="57"/>
  <c r="I143" i="57"/>
  <c r="D143" i="57"/>
  <c r="I95" i="57"/>
  <c r="N95" i="57"/>
  <c r="D102" i="57"/>
  <c r="I102" i="57"/>
  <c r="I105" i="57"/>
  <c r="I116" i="57"/>
  <c r="N105" i="57"/>
  <c r="I93" i="57"/>
  <c r="N116" i="57"/>
  <c r="N96" i="57"/>
  <c r="I133" i="57"/>
  <c r="D119" i="57"/>
  <c r="I96" i="57"/>
  <c r="N133" i="57"/>
  <c r="D115" i="57"/>
  <c r="N115" i="57"/>
  <c r="D125" i="57"/>
  <c r="I125" i="57"/>
  <c r="N81" i="55"/>
  <c r="C81" i="55"/>
  <c r="G81" i="55"/>
  <c r="I118" i="57"/>
  <c r="N118" i="57"/>
  <c r="N93" i="57"/>
  <c r="N119" i="57"/>
  <c r="D98" i="57"/>
  <c r="D138" i="57"/>
  <c r="D111" i="57"/>
  <c r="N98" i="57"/>
  <c r="N138" i="57"/>
  <c r="I111" i="57"/>
  <c r="I106" i="57"/>
  <c r="N106" i="57"/>
  <c r="D10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5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0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0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2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2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4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<sst xmlns="http://schemas.openxmlformats.org/spreadsheetml/2006/main" count="1636" uniqueCount="798">
  <si>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</si>
  <si>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</si>
  <si>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</si>
  <si>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</si>
  <si>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</si>
  <si>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</si>
  <si>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</si>
  <si>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</si>
  <si>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</si>
  <si>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</si>
  <si>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</si>
  <si>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</si>
  <si>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</si>
  <si>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</si>
  <si>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</si>
  <si>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</si>
  <si>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</si>
  <si>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</si>
  <si>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</si>
  <si>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</si>
  <si>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</si>
  <si>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</si>
  <si>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</si>
  <si>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</si>
  <si>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</si>
  <si>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</si>
  <si>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</si>
  <si>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</si>
  <si>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</si>
  <si>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</si>
  <si>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</si>
  <si>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</si>
  <si>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</si>
  <si>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</si>
  <si>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</si>
  <si>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</si>
  <si>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</si>
  <si>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</si>
  <si>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</si>
  <si>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</si>
  <si>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</si>
  <si>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</si>
  <si>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</si>
  <si>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</si>
  <si>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</si>
  <si>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</si>
  <si>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</si>
  <si>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</si>
  <si>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</si>
  <si>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</si>
  <si>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</si>
  <si>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</si>
  <si>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</si>
  <si>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</si>
  <si>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</si>
  <si>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</si>
  <si>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</si>
  <si>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</si>
  <si>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</si>
  <si>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</si>
  <si>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</si>
  <si>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</si>
  <si>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</si>
  <si>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</si>
  <si>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</si>
  <si>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</si>
  <si>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</si>
  <si>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</si>
  <si>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</si>
  <si>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</si>
  <si>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</si>
  <si>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</si>
  <si>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</si>
  <si>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</si>
  <si>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</si>
  <si>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</si>
  <si>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</si>
  <si>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</si>
  <si>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</si>
  <si>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</si>
  <si>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</si>
  <si>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</si>
  <si>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</si>
  <si>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</si>
  <si>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</si>
  <si>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</si>
  <si>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</si>
  <si>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</si>
  <si>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</si>
  <si>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</si>
  <si>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</si>
  <si>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</si>
  <si>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</si>
  <si>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</si>
  <si>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</si>
  <si>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</si>
  <si>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</si>
  <si>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</si>
  <si>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</si>
  <si>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</si>
  <si>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</si>
  <si>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</si>
  <si>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</si>
  <si>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</si>
  <si>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</si>
  <si>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</si>
  <si>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</si>
  <si>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</si>
  <si>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</si>
  <si>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</si>
  <si>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</si>
  <si>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</si>
  <si>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</si>
  <si>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</si>
  <si>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</si>
  <si>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</si>
  <si>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</si>
  <si>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</si>
  <si>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</si>
  <si>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</si>
  <si>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</si>
  <si>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</si>
  <si>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</si>
  <si>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</si>
  <si>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</si>
  <si>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</si>
  <si>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</si>
  <si>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</si>
  <si>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</si>
  <si>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</si>
  <si>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</si>
  <si>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</si>
  <si>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</si>
  <si>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</si>
  <si>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</si>
  <si>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</si>
  <si>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</si>
  <si>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</si>
  <si>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</si>
  <si>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</si>
  <si>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</si>
  <si>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</si>
  <si>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</si>
  <si>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</si>
  <si>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</si>
  <si>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</si>
  <si>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</si>
  <si>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</si>
  <si>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</si>
  <si>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</si>
  <si>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</si>
  <si>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</si>
  <si>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</si>
  <si>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</si>
  <si>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</si>
  <si>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</si>
  <si>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</si>
  <si>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</si>
  <si>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</si>
  <si>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</si>
  <si>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</si>
  <si>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</si>
  <si>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</si>
  <si>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</si>
  <si>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</si>
  <si>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</si>
  <si>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</si>
  <si>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</si>
  <si>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</si>
  <si>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</si>
  <si>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</si>
  <si>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</si>
  <si>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</si>
  <si>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</si>
  <si>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</si>
  <si>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</si>
  <si>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</si>
  <si>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</si>
  <si>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</si>
  <si>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</si>
  <si>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</si>
  <si>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</si>
  <si>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</si>
  <si>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</si>
  <si>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</si>
  <si>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</si>
  <si>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</si>
  <si>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</si>
  <si>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</si>
  <si>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</si>
  <si>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</si>
  <si>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</si>
  <si>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</si>
  <si>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</si>
  <si>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</si>
  <si>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</si>
  <si>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</si>
  <si>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</si>
  <si>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</si>
  <si>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</si>
  <si>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</si>
  <si>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</si>
  <si>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</si>
  <si>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</si>
  <si>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</si>
  <si>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</si>
  <si>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</si>
  <si>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</si>
  <si>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</si>
  <si>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</si>
  <si>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</si>
  <si>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</si>
  <si>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</si>
  <si>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</si>
  <si>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</si>
  <si>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</si>
  <si>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</si>
  <si>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</si>
  <si>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</si>
  <si>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</si>
  <si>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</si>
  <si>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</si>
  <si>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</si>
  <si>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</si>
  <si>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</si>
  <si>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</si>
  <si>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</si>
  <si>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</si>
  <si>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</si>
  <si>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</si>
  <si>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</si>
  <si>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</si>
  <si>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</si>
  <si>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</si>
  <si>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</si>
  <si>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</si>
  <si>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</si>
  <si>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</si>
  <si>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</si>
  <si>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</si>
  <si>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</si>
  <si>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</si>
  <si>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</si>
  <si>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</si>
  <si>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</si>
  <si>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</si>
  <si>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</si>
  <si>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</si>
  <si>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</si>
  <si>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</si>
  <si>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</si>
  <si>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</si>
  <si>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</si>
  <si>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</si>
  <si>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</si>
  <si>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</si>
  <si>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</si>
  <si>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</si>
  <si>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</si>
  <si>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</si>
  <si>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</si>
  <si>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</si>
  <si>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</si>
  <si>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</si>
  <si>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</si>
  <si>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</si>
  <si>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</si>
  <si>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</si>
  <si>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</si>
  <si>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</si>
  <si>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</si>
  <si>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</si>
  <si>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</si>
  <si>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</si>
  <si>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</si>
  <si>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</si>
  <si>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</si>
  <si>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</si>
  <si>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</si>
  <si>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</si>
  <si>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</si>
  <si>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</si>
  <si>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</si>
  <si>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</si>
  <si>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</si>
  <si>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</si>
  <si>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</si>
  <si>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</si>
  <si>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</si>
  <si>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</si>
  <si>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</si>
  <si>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</si>
  <si>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</si>
  <si>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</si>
  <si>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</si>
  <si>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</si>
  <si>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</si>
  <si>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</si>
  <si>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</si>
  <si>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</si>
  <si>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</si>
  <si>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</si>
  <si>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</si>
  <si>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</si>
  <si>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</si>
  <si>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</si>
  <si>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</si>
  <si>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</si>
  <si>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</si>
  <si>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</si>
  <si>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</si>
  <si>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</si>
  <si>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</si>
  <si>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</si>
  <si>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</si>
  <si>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</si>
  <si>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</si>
  <si>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</si>
  <si>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</si>
  <si>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</si>
  <si>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</si>
  <si>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</si>
  <si>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</si>
  <si>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</si>
  <si>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</si>
  <si>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</si>
  <si>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</si>
  <si>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</si>
  <si>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</si>
  <si>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</si>
  <si>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</si>
  <si>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</si>
  <si>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</si>
  <si>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</si>
  <si>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</si>
  <si>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</si>
  <si>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</si>
  <si>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</si>
  <si>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</si>
  <si>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</si>
  <si>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</si>
  <si>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</si>
  <si>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</si>
  <si>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</si>
  <si>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</si>
  <si>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</si>
  <si>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</si>
  <si>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</si>
  <si>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</si>
  <si>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</si>
  <si>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</si>
  <si>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</si>
  <si>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</si>
  <si>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</si>
  <si>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</si>
  <si>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</si>
  <si>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</si>
  <si>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</si>
  <si>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</si>
  <si>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</si>
  <si>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</si>
  <si>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</si>
  <si>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</si>
  <si>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</si>
  <si>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</si>
  <si>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</si>
  <si>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</si>
  <si>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</si>
  <si>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</si>
  <si>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</si>
  <si>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</si>
  <si>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</si>
  <si>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</si>
  <si>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</si>
  <si>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</si>
  <si>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</si>
  <si>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</si>
  <si>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</si>
  <si>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</si>
  <si>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</si>
  <si>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</si>
  <si>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</si>
  <si>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</si>
  <si>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</si>
  <si>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</si>
  <si>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</si>
  <si>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</si>
  <si>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</si>
  <si>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</si>
  <si>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</si>
  <si>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</si>
  <si>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</si>
  <si>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</si>
  <si>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</si>
  <si>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</si>
  <si>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</si>
  <si>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</si>
  <si>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</si>
  <si>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</si>
  <si>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</si>
  <si>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</si>
  <si>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</si>
  <si>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</si>
  <si>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</si>
  <si>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</si>
  <si>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</si>
  <si>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</si>
  <si>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</si>
  <si>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</si>
  <si>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</si>
  <si>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</si>
  <si>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</si>
  <si>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</si>
  <si>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</si>
  <si>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</si>
  <si>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</si>
  <si>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</si>
  <si>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</si>
  <si>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</si>
  <si>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</si>
  <si>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</si>
  <si>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</si>
  <si>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</si>
  <si>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</si>
  <si>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</si>
  <si>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</si>
  <si>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</si>
  <si>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</si>
  <si>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</si>
  <si>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</si>
  <si>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</si>
  <si>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</si>
  <si>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</si>
  <si>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</si>
  <si>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</si>
  <si>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</si>
  <si>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</si>
  <si>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</si>
  <si>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</si>
  <si>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</si>
  <si>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</si>
  <si>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</si>
  <si>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</si>
  <si>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</si>
  <si>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</si>
  <si>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</si>
  <si>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</si>
  <si>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</si>
  <si>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</si>
  <si>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</si>
  <si>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</si>
  <si>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</si>
  <si>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</si>
  <si>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</si>
  <si>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</si>
  <si>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</si>
  <si>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</si>
  <si>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</si>
  <si>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</si>
  <si>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</si>
  <si>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</si>
  <si>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</si>
  <si>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</si>
  <si>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</si>
  <si>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</si>
  <si>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</si>
  <si>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</si>
  <si>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</si>
  <si>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</si>
  <si>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</si>
  <si>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</si>
  <si>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</si>
  <si>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</si>
  <si>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</si>
  <si>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</si>
  <si>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</si>
  <si>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</si>
  <si>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</si>
  <si>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</si>
  <si>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</si>
  <si>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</si>
  <si>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</si>
  <si>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</si>
  <si>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</si>
  <si>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</si>
  <si>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</si>
  <si>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</si>
  <si>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</si>
  <si>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</si>
  <si>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</si>
  <si>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</si>
  <si>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</si>
  <si>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</si>
  <si>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</si>
  <si>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</si>
  <si>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</si>
  <si>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</si>
  <si>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</si>
  <si>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</si>
  <si>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</si>
  <si>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</si>
  <si>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</si>
  <si>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</si>
  <si>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</si>
  <si>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</si>
  <si>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</si>
  <si>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</si>
  <si>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</si>
  <si>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</si>
  <si>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</si>
  <si>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</si>
  <si>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</si>
  <si>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</si>
  <si>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</si>
  <si>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</si>
  <si>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</si>
  <si>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</si>
  <si>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</si>
  <si>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</si>
  <si>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</si>
  <si>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</si>
  <si>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</si>
  <si>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</si>
  <si>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</si>
  <si>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</si>
  <si>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</si>
  <si>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</si>
  <si>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</si>
  <si>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</si>
  <si>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</si>
  <si>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</si>
  <si>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</si>
  <si>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</si>
  <si>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</si>
  <si>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</si>
  <si>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</si>
  <si>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</si>
  <si>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</si>
  <si>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</si>
  <si>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</si>
  <si>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</si>
  <si>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</si>
  <si>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</si>
  <si>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</si>
  <si>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</si>
  <si>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</si>
  <si>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</si>
  <si>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</si>
  <si>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</si>
  <si>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</si>
  <si>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</si>
  <si>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</si>
  <si>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</si>
  <si>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</si>
  <si>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</si>
  <si>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</si>
  <si>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</si>
  <si>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</si>
  <si>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</si>
  <si>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</si>
  <si>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</si>
  <si>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</si>
  <si>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</si>
  <si>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</si>
  <si>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</si>
  <si>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</si>
  <si>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</si>
  <si>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</si>
  <si>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</si>
  <si>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</si>
  <si>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</si>
  <si>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</si>
  <si>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</si>
  <si>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</si>
  <si>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</si>
  <si>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79.99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</si>
  <si>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</si>
  <si>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</si>
  <si>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</si>
  <si>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</si>
  <si>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</si>
  <si>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</si>
  <si>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</si>
  <si>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</si>
  <si>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</si>
  <si>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</si>
  <si>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</si>
  <si>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</si>
  <si>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</si>
  <si>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</si>
  <si>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</si>
  <si>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</si>
  <si>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</si>
  <si>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</si>
  <si>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</si>
  <si>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</si>
  <si>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</si>
  <si>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</si>
  <si>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</si>
  <si>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</si>
  <si>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</si>
  <si>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</si>
  <si>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</si>
  <si>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</si>
  <si>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</si>
  <si>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</si>
  <si>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</si>
  <si>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</si>
  <si>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</si>
  <si>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</si>
  <si>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</si>
  <si>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</si>
  <si>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</si>
  <si>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</si>
  <si>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</si>
  <si>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</si>
  <si>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</si>
  <si>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</si>
  <si>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</si>
  <si>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</si>
  <si>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</si>
  <si>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</si>
  <si>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</si>
  <si>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</si>
  <si>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</si>
  <si>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</si>
  <si>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</si>
  <si>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</si>
  <si>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</si>
  <si>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</si>
  <si>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</si>
  <si>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</si>
  <si>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</si>
  <si>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</si>
  <si>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</si>
  <si>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</si>
  <si>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</si>
  <si>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</si>
  <si>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</si>
  <si>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</si>
  <si>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</si>
  <si>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</si>
  <si>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</si>
  <si>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</si>
  <si>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</si>
  <si>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</si>
  <si>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</si>
  <si>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</si>
  <si>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</si>
  <si>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</si>
  <si>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</si>
  <si>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</si>
  <si>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</si>
  <si>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</si>
  <si>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</si>
  <si>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</si>
  <si>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</si>
  <si>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</si>
  <si>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</si>
  <si>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</si>
  <si>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</si>
  <si>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</si>
  <si>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</si>
  <si>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</si>
  <si>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</si>
  <si>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</si>
  <si>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</si>
  <si>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</si>
  <si>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</si>
  <si>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</si>
  <si>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</si>
  <si>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</si>
  <si>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</si>
  <si>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</si>
  <si>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</si>
  <si>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</si>
  <si>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</si>
  <si>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</si>
  <si>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</si>
  <si>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</si>
  <si>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</si>
  <si>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</si>
  <si>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Value 1</t>
  </si>
  <si>
    <t>Value 2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</si>
  <si>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</si>
  <si>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</si>
  <si>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</si>
  <si>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</si>
  <si>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</si>
  <si>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</si>
  <si>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</si>
  <si>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</si>
  <si>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</si>
  <si>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</si>
  <si>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</si>
  <si>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</si>
  <si>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</si>
  <si>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</si>
  <si>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</si>
  <si>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</si>
  <si>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</si>
  <si>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</si>
  <si>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</si>
  <si>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</si>
  <si>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</si>
  <si>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</si>
  <si>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</si>
  <si>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</si>
  <si>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</si>
  <si>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</si>
  <si>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</si>
  <si>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</si>
  <si>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</si>
  <si>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</si>
  <si>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</si>
  <si>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</si>
  <si>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</si>
  <si>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</si>
  <si>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</si>
  <si>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</si>
  <si>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</si>
  <si>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</si>
  <si>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</si>
  <si>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</si>
  <si>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</si>
  <si>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</si>
  <si>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</si>
  <si>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</si>
  <si>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</si>
  <si>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</si>
  <si>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</si>
  <si>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</si>
  <si>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</si>
  <si>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</si>
  <si>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</si>
  <si>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</si>
  <si>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</si>
  <si>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</si>
  <si>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</si>
  <si>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</si>
  <si>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</si>
  <si>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</si>
  <si>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</si>
  <si>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</si>
  <si>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</si>
  <si>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</si>
  <si>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</si>
  <si>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</si>
  <si>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</si>
  <si>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</si>
  <si>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</si>
  <si>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</si>
  <si>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</si>
  <si>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</si>
  <si>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</si>
  <si>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</si>
  <si>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</si>
  <si>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</si>
  <si>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</si>
  <si>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</si>
  <si>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</si>
  <si>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</si>
  <si>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</si>
  <si>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</si>
  <si>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</si>
  <si>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</si>
  <si>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</si>
  <si>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</si>
  <si>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</si>
  <si>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</si>
  <si>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</si>
  <si>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</si>
  <si>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</si>
  <si>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</si>
  <si>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</si>
  <si>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</si>
  <si>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</si>
  <si>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</si>
  <si>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 152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</si>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</sst>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6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02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22" xfId="0" applyFill="1" applyBorder="1"/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5" borderId="48" xfId="0" applyFont="1" applyFill="1" applyBorder="1" applyAlignment="1">
      <alignment horizontal="left" vertical="center"/>
    </xf>
    <xf numFmtId="0" fontId="0" fillId="4" borderId="48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6" fillId="38" borderId="21" xfId="0" applyNumberFormat="1" applyFont="1" applyFill="1" applyBorder="1" applyAlignment="1"/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8" borderId="9" xfId="0" applyFont="1" applyFill="1" applyBorder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152</xdr:row>
          <xdr:rowOff>76200</xdr:rowOff>
        </xdr:from>
        <xdr:to>
          <xdr:col>3</xdr:col>
          <xdr:colOff>647700</xdr:colOff>
          <xdr:row>154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152</xdr:row>
          <xdr:rowOff>76200</xdr:rowOff>
        </xdr:from>
        <xdr:to>
          <xdr:col>6</xdr:col>
          <xdr:colOff>1390650</xdr:colOff>
          <xdr:row>154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52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30" dataDxfId="229">
  <autoFilter ref="A6:C22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25" dataDxfId="224">
  <autoFilter ref="A3:U19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196" dataDxfId="195">
  <autoFilter ref="A67:T83"/>
  <tableColumns count="20">
    <tableColumn id="1" name="Dragon ID / Step XP per Level" dataDxfId="194"/>
    <tableColumn id="2" name="1" dataDxfId="193">
      <calculatedColumnFormula>IF(OFFSET(F33,$A68,0)="","",ROUND(SUM(OFFSET($F33:F33,$A68,0)),0))</calculatedColumnFormula>
    </tableColumn>
    <tableColumn id="3" name="2" dataDxfId="192">
      <calculatedColumnFormula>IF(OFFSET(G33,$A68,0)="","",ROUND(SUM(OFFSET($F33:G33,$A68,0)),0))</calculatedColumnFormula>
    </tableColumn>
    <tableColumn id="4" name="3" dataDxfId="191">
      <calculatedColumnFormula>IF(OFFSET(H33,$A68,0)="","",ROUND(SUM(OFFSET($F33:H33,$A68,0)),0))</calculatedColumnFormula>
    </tableColumn>
    <tableColumn id="5" name="4" dataDxfId="190">
      <calculatedColumnFormula>IF(OFFSET(I33,$A68,0)="","",ROUND(SUM(OFFSET($F33:I33,$A68,0)),0))</calculatedColumnFormula>
    </tableColumn>
    <tableColumn id="6" name="5" dataDxfId="189">
      <calculatedColumnFormula>IF(OFFSET(J33,$A68,0)="","",ROUND(SUM(OFFSET($F33:J33,$A68,0)),0))</calculatedColumnFormula>
    </tableColumn>
    <tableColumn id="7" name="6" dataDxfId="188">
      <calculatedColumnFormula>IF(OFFSET(K33,$A68,0)="","",ROUND(SUM(OFFSET($F33:K33,$A68,0)),0))</calculatedColumnFormula>
    </tableColumn>
    <tableColumn id="8" name="7" dataDxfId="187">
      <calculatedColumnFormula>IF(OFFSET(L33,$A68,0)="","",ROUND(SUM(OFFSET($F33:L33,$A68,0)),0))</calculatedColumnFormula>
    </tableColumn>
    <tableColumn id="9" name="8" dataDxfId="186">
      <calculatedColumnFormula>IF(OFFSET(M33,$A68,0)="","",ROUND(SUM(OFFSET($F33:M33,$A68,0)),0))</calculatedColumnFormula>
    </tableColumn>
    <tableColumn id="10" name="9" dataDxfId="185">
      <calculatedColumnFormula>IF(OFFSET(N33,$A68,0)="","",ROUND(SUM(OFFSET($F33:N33,$A68,0)),0))</calculatedColumnFormula>
    </tableColumn>
    <tableColumn id="11" name="10" dataDxfId="184">
      <calculatedColumnFormula>IF(OFFSET(O33,$A68,0)="","",ROUND(SUM(OFFSET($F33:O33,$A68,0)),0))</calculatedColumnFormula>
    </tableColumn>
    <tableColumn id="12" name="11" dataDxfId="183">
      <calculatedColumnFormula>IF(OFFSET(P33,$A68,0)="","",ROUND(SUM(OFFSET($F33:P33,$A68,0)),0))</calculatedColumnFormula>
    </tableColumn>
    <tableColumn id="13" name="12" dataDxfId="182">
      <calculatedColumnFormula>IF(OFFSET(Q33,$A68,0)="","",ROUND(SUM(OFFSET($F33:Q33,$A68,0)),0))</calculatedColumnFormula>
    </tableColumn>
    <tableColumn id="14" name="13" dataDxfId="181">
      <calculatedColumnFormula>IF(OFFSET(R33,$A68,0)="","",ROUND(SUM(OFFSET($F33:R33,$A68,0)),0))</calculatedColumnFormula>
    </tableColumn>
    <tableColumn id="15" name="14" dataDxfId="180">
      <calculatedColumnFormula>IF(OFFSET(S33,$A68,0)="","",ROUND(SUM(OFFSET($F33:S33,$A68,0)),0))</calculatedColumnFormula>
    </tableColumn>
    <tableColumn id="16" name="15" dataDxfId="179">
      <calculatedColumnFormula>IF(OFFSET(T33,$A68,0)="","",ROUND(SUM(OFFSET($F33:T33,$A68,0)),0))</calculatedColumnFormula>
    </tableColumn>
    <tableColumn id="17" name="16" dataDxfId="178">
      <calculatedColumnFormula>IF(OFFSET(U33,$A68,0)="","",ROUND(SUM(OFFSET($F33:U33,$A68,0)),0))</calculatedColumnFormula>
    </tableColumn>
    <tableColumn id="18" name="17" dataDxfId="177">
      <calculatedColumnFormula>IF(OFFSET(V33,$A68,0)="","",ROUND(SUM(OFFSET($F33:V33,$A68,0)),0))</calculatedColumnFormula>
    </tableColumn>
    <tableColumn id="19" name="18" dataDxfId="176">
      <calculatedColumnFormula>IF(OFFSET(W33,$A68,0)="","",ROUND(SUM(OFFSET($F33:W33,$A68,0)),0))</calculatedColumnFormula>
    </tableColumn>
    <tableColumn id="20" name="19" dataDxfId="175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174" dataDxfId="173">
  <autoFilter ref="A86:C102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169" dataDxfId="167" headerRowBorderDxfId="168">
  <autoFilter ref="E12:N33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49" dataDxfId="147" headerRowBorderDxfId="148" tableBorderDxfId="146">
  <autoFilter ref="A12:C33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42" headerRowBorderDxfId="141" tableBorderDxfId="140">
  <autoFilter ref="B47:Q128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35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34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24" headerRowBorderDxfId="123" tableBorderDxfId="122">
  <autoFilter ref="G13:AL34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46" dataDxfId="45" tableBorderDxfId="44">
  <autoFilter ref="A20:C26"/>
  <tableColumns count="3">
    <tableColumn id="1" name="Price HC" dataDxfId="43"/>
    <tableColumn id="2" name="SC earned" dataDxfId="42">
      <calculatedColumnFormula>ROUND((($B$17/$B$3)*Table479[[#This Row],[Price HC]])+((($B$17/$B$3)*Table479[[#This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6" totalsRowShown="0" headerRowDxfId="40" tableBorderDxfId="39">
  <autoFilter ref="E16:Z36"/>
  <tableColumns count="22">
    <tableColumn id="1" name="Dragon" dataDxfId="38"/>
    <tableColumn id="2" name="pricing (HC)" dataDxfId="37"/>
    <tableColumn id="3" name="Equivalence Base" dataDxfId="36">
      <calculatedColumnFormula>F17/$B$3</calculatedColumnFormula>
    </tableColumn>
    <tableColumn id="4" name="Equivalence better" dataDxfId="35">
      <calculatedColumnFormula>ROUND(F17/$B$4,2)</calculatedColumnFormula>
    </tableColumn>
    <tableColumn id="5" name="Dis. 1 price (SC or HC)" dataDxfId="34"/>
    <tableColumn id="6" name="Dis. 1 Eq. Base" dataDxfId="33">
      <calculatedColumnFormula>(Table9[[#This Row],[Dis. 1 price (SC or HC)]]/($B$17/$B$3))/$B$3</calculatedColumnFormula>
    </tableColumn>
    <tableColumn id="7" name="Dis 1 Eq. better" dataDxfId="32">
      <calculatedColumnFormula>Table9[[#This Row],[Dis. 1 price (SC or HC)]]/$B$18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3:B34" totalsRowShown="0" headerRowDxfId="16" tableBorderDxfId="15">
  <autoFilter ref="A33:B34"/>
  <tableColumns count="2">
    <tableColumn id="1" name="price HC" dataDxfId="14"/>
    <tableColumn id="2" name="Price $" dataDxfId="13">
      <calculatedColumnFormula>A34/B3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2" totalsRowShown="0" headerRowDxfId="6" headerRowBorderDxfId="5" tableBorderDxfId="4" totalsRowBorderDxfId="3">
  <autoFilter ref="J4:L52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M2" sqref="M2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520</v>
      </c>
      <c r="P5" t="s">
        <v>543</v>
      </c>
      <c r="Q5" t="s">
        <v>778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workbookViewId="0">
      <selection activeCell="H22" sqref="H22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50">
        <v>16</v>
      </c>
      <c r="B19" s="350">
        <v>244</v>
      </c>
      <c r="C19" s="350">
        <v>245</v>
      </c>
      <c r="D19" s="350">
        <v>246</v>
      </c>
      <c r="E19" s="350">
        <v>247</v>
      </c>
      <c r="F19" s="350">
        <v>248</v>
      </c>
      <c r="G19" s="350">
        <v>249</v>
      </c>
      <c r="H19" s="350">
        <v>250</v>
      </c>
      <c r="I19" s="350">
        <v>251</v>
      </c>
      <c r="J19" s="350">
        <v>252</v>
      </c>
      <c r="K19" s="350">
        <v>253</v>
      </c>
      <c r="L19" s="350">
        <v>254</v>
      </c>
      <c r="M19" s="350">
        <v>255</v>
      </c>
      <c r="N19" s="350">
        <v>256</v>
      </c>
      <c r="O19" s="350">
        <v>257</v>
      </c>
      <c r="P19" s="350">
        <v>258</v>
      </c>
      <c r="Q19" s="350">
        <v>259</v>
      </c>
      <c r="R19" s="350">
        <v>260</v>
      </c>
      <c r="S19" s="350">
        <v>261</v>
      </c>
      <c r="T19" s="350">
        <v>262</v>
      </c>
      <c r="U19" s="350">
        <v>263</v>
      </c>
    </row>
    <row r="22" spans="1:21">
      <c r="B22" s="100" t="s">
        <v>324</v>
      </c>
    </row>
    <row r="23" spans="1:21">
      <c r="B23" t="s">
        <v>325</v>
      </c>
    </row>
    <row r="24" spans="1:21">
      <c r="B24" t="s">
        <v>326</v>
      </c>
    </row>
    <row r="25" spans="1:21">
      <c r="B25" t="s">
        <v>327</v>
      </c>
    </row>
    <row r="26" spans="1:21">
      <c r="B26" t="s">
        <v>328</v>
      </c>
    </row>
    <row r="27" spans="1:21">
      <c r="B27" t="s">
        <v>329</v>
      </c>
    </row>
    <row r="28" spans="1:21">
      <c r="B28" t="s">
        <v>330</v>
      </c>
    </row>
    <row r="29" spans="1:21">
      <c r="B29" t="s">
        <v>331</v>
      </c>
    </row>
    <row r="30" spans="1:21">
      <c r="B30" t="s">
        <v>332</v>
      </c>
    </row>
    <row r="31" spans="1:21">
      <c r="B31" t="s">
        <v>333</v>
      </c>
    </row>
    <row r="32" spans="1:21">
      <c r="B32" t="s">
        <v>334</v>
      </c>
    </row>
    <row r="33" spans="2:2">
      <c r="B33" t="s">
        <v>335</v>
      </c>
    </row>
    <row r="34" spans="2:2">
      <c r="B34" t="s">
        <v>336</v>
      </c>
    </row>
    <row r="35" spans="2:2">
      <c r="B35" t="s">
        <v>337</v>
      </c>
    </row>
    <row r="36" spans="2:2">
      <c r="B36" t="s">
        <v>338</v>
      </c>
    </row>
    <row r="37" spans="2:2">
      <c r="B37" t="s">
        <v>339</v>
      </c>
    </row>
    <row r="38" spans="2:2">
      <c r="B38" t="s">
        <v>340</v>
      </c>
    </row>
    <row r="39" spans="2:2">
      <c r="B39" t="s">
        <v>341</v>
      </c>
    </row>
    <row r="40" spans="2:2">
      <c r="B40" t="s">
        <v>342</v>
      </c>
    </row>
    <row r="41" spans="2:2">
      <c r="B41" t="s">
        <v>343</v>
      </c>
    </row>
    <row r="42" spans="2:2">
      <c r="B42" t="s">
        <v>344</v>
      </c>
    </row>
    <row r="43" spans="2:2">
      <c r="B43" t="s">
        <v>345</v>
      </c>
    </row>
    <row r="44" spans="2:2">
      <c r="B44" t="s">
        <v>346</v>
      </c>
    </row>
    <row r="45" spans="2:2">
      <c r="B45" t="s">
        <v>347</v>
      </c>
    </row>
    <row r="46" spans="2:2">
      <c r="B46" t="s">
        <v>348</v>
      </c>
    </row>
    <row r="47" spans="2:2">
      <c r="B47" t="s">
        <v>349</v>
      </c>
    </row>
    <row r="48" spans="2:2">
      <c r="B48" t="s">
        <v>350</v>
      </c>
    </row>
    <row r="49" spans="2:2">
      <c r="B49" t="s">
        <v>351</v>
      </c>
    </row>
    <row r="50" spans="2:2">
      <c r="B50" t="s">
        <v>352</v>
      </c>
    </row>
    <row r="51" spans="2:2">
      <c r="B51" t="s">
        <v>353</v>
      </c>
    </row>
    <row r="52" spans="2:2">
      <c r="B52" t="s">
        <v>354</v>
      </c>
    </row>
    <row r="53" spans="2:2">
      <c r="B53" t="s">
        <v>355</v>
      </c>
    </row>
    <row r="54" spans="2:2">
      <c r="B54" t="s">
        <v>356</v>
      </c>
    </row>
    <row r="55" spans="2:2">
      <c r="B55" t="s">
        <v>357</v>
      </c>
    </row>
    <row r="56" spans="2:2">
      <c r="B56" t="s">
        <v>358</v>
      </c>
    </row>
    <row r="57" spans="2:2">
      <c r="B57" t="s">
        <v>359</v>
      </c>
    </row>
    <row r="58" spans="2:2">
      <c r="B58" t="s">
        <v>360</v>
      </c>
    </row>
    <row r="59" spans="2:2">
      <c r="B59" t="s">
        <v>361</v>
      </c>
    </row>
    <row r="60" spans="2:2">
      <c r="B60" t="s">
        <v>362</v>
      </c>
    </row>
    <row r="61" spans="2:2">
      <c r="B61" t="s">
        <v>363</v>
      </c>
    </row>
    <row r="62" spans="2:2">
      <c r="B62" t="s">
        <v>364</v>
      </c>
    </row>
    <row r="63" spans="2:2">
      <c r="B63" t="s">
        <v>365</v>
      </c>
    </row>
    <row r="64" spans="2:2">
      <c r="B64" t="s">
        <v>366</v>
      </c>
    </row>
    <row r="65" spans="2:2">
      <c r="B65" t="s">
        <v>367</v>
      </c>
    </row>
    <row r="66" spans="2:2">
      <c r="B66" t="s">
        <v>368</v>
      </c>
    </row>
    <row r="67" spans="2:2">
      <c r="B67" t="s">
        <v>369</v>
      </c>
    </row>
    <row r="68" spans="2:2">
      <c r="B68" t="s">
        <v>370</v>
      </c>
    </row>
    <row r="69" spans="2:2">
      <c r="B69" t="s">
        <v>371</v>
      </c>
    </row>
    <row r="70" spans="2:2">
      <c r="B70" t="s">
        <v>372</v>
      </c>
    </row>
    <row r="71" spans="2:2">
      <c r="B71" t="s">
        <v>373</v>
      </c>
    </row>
    <row r="72" spans="2:2">
      <c r="B72" t="s">
        <v>374</v>
      </c>
    </row>
    <row r="73" spans="2:2">
      <c r="B73" t="s">
        <v>375</v>
      </c>
    </row>
    <row r="74" spans="2:2">
      <c r="B74" t="s">
        <v>376</v>
      </c>
    </row>
    <row r="75" spans="2:2">
      <c r="B75" t="s">
        <v>377</v>
      </c>
    </row>
    <row r="76" spans="2:2">
      <c r="B76" t="s">
        <v>378</v>
      </c>
    </row>
    <row r="77" spans="2:2">
      <c r="B77" t="s">
        <v>379</v>
      </c>
    </row>
    <row r="78" spans="2:2">
      <c r="B78" t="s">
        <v>380</v>
      </c>
    </row>
    <row r="79" spans="2:2">
      <c r="B79" t="s">
        <v>381</v>
      </c>
    </row>
    <row r="80" spans="2:2">
      <c r="B80" t="s">
        <v>382</v>
      </c>
    </row>
    <row r="81" spans="2:2">
      <c r="B81" t="s">
        <v>383</v>
      </c>
    </row>
    <row r="82" spans="2:2">
      <c r="B82" t="s">
        <v>384</v>
      </c>
    </row>
    <row r="83" spans="2:2">
      <c r="B83" t="s">
        <v>385</v>
      </c>
    </row>
    <row r="84" spans="2:2">
      <c r="B84" t="s">
        <v>386</v>
      </c>
    </row>
    <row r="85" spans="2:2">
      <c r="B85" t="s">
        <v>387</v>
      </c>
    </row>
    <row r="86" spans="2:2">
      <c r="B86" t="s">
        <v>388</v>
      </c>
    </row>
    <row r="87" spans="2:2">
      <c r="B87" t="s">
        <v>389</v>
      </c>
    </row>
    <row r="88" spans="2:2">
      <c r="B88" t="s">
        <v>390</v>
      </c>
    </row>
    <row r="89" spans="2:2">
      <c r="B89" t="s">
        <v>391</v>
      </c>
    </row>
    <row r="90" spans="2:2">
      <c r="B90" t="s">
        <v>392</v>
      </c>
    </row>
    <row r="91" spans="2:2">
      <c r="B91" t="s">
        <v>393</v>
      </c>
    </row>
    <row r="92" spans="2:2">
      <c r="B92" t="s">
        <v>394</v>
      </c>
    </row>
    <row r="93" spans="2:2">
      <c r="B93" t="s">
        <v>395</v>
      </c>
    </row>
    <row r="94" spans="2:2">
      <c r="B94" t="s">
        <v>396</v>
      </c>
    </row>
    <row r="95" spans="2:2">
      <c r="B95" t="s">
        <v>397</v>
      </c>
    </row>
    <row r="96" spans="2:2">
      <c r="B96" t="s">
        <v>398</v>
      </c>
    </row>
    <row r="97" spans="2:2">
      <c r="B97" t="s">
        <v>399</v>
      </c>
    </row>
    <row r="98" spans="2:2">
      <c r="B98" t="s">
        <v>545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74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78" t="s">
        <v>221</v>
      </c>
      <c r="I9" s="478"/>
      <c r="J9" s="478"/>
      <c r="L9" s="478" t="s">
        <v>224</v>
      </c>
      <c r="M9" s="478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51">
        <v>14</v>
      </c>
      <c r="B59" s="351">
        <v>0</v>
      </c>
      <c r="C59" s="351">
        <f t="shared" si="28"/>
        <v>0</v>
      </c>
      <c r="D59" s="351"/>
      <c r="E59" s="351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51">
        <v>15</v>
      </c>
      <c r="B61" s="351">
        <v>0</v>
      </c>
      <c r="C61" s="351">
        <f t="shared" si="28"/>
        <v>0</v>
      </c>
      <c r="D61" s="351"/>
      <c r="E61" s="351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51">
        <v>16</v>
      </c>
      <c r="B63" s="351">
        <v>0</v>
      </c>
      <c r="C63" s="351">
        <f t="shared" si="28"/>
        <v>0</v>
      </c>
      <c r="D63" s="351"/>
      <c r="E63" s="351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440</v>
      </c>
    </row>
    <row r="3" spans="1:14">
      <c r="G3" s="104" t="s">
        <v>441</v>
      </c>
    </row>
    <row r="4" spans="1:14">
      <c r="A4" s="273" t="s">
        <v>74</v>
      </c>
      <c r="B4" s="273" t="s">
        <v>3</v>
      </c>
      <c r="C4" s="273" t="s">
        <v>45</v>
      </c>
      <c r="G4" s="288" t="s">
        <v>442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517</v>
      </c>
      <c r="L12" s="339" t="s">
        <v>534</v>
      </c>
      <c r="M12" s="339" t="s">
        <v>533</v>
      </c>
      <c r="N12" s="389" t="s">
        <v>518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521</v>
      </c>
      <c r="B26" s="293">
        <v>8</v>
      </c>
      <c r="C26" s="293">
        <v>5</v>
      </c>
      <c r="E26" s="384" t="s">
        <v>521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779</v>
      </c>
      <c r="B27" s="293">
        <v>8</v>
      </c>
      <c r="C27" s="293">
        <v>5</v>
      </c>
      <c r="E27" s="384" t="s">
        <v>779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457" t="s">
        <v>780</v>
      </c>
      <c r="B28" s="458">
        <v>8</v>
      </c>
      <c r="C28" s="458">
        <v>5</v>
      </c>
      <c r="E28" s="459" t="s">
        <v>780</v>
      </c>
      <c r="F28" s="293">
        <v>70</v>
      </c>
      <c r="G28" s="292">
        <f>missionsDragonRelativeMetrics[[#This Row],[Reward Multiplier]]*$C$5</f>
        <v>14000</v>
      </c>
      <c r="H28" s="292">
        <f>missionsDragonRelativeMetrics[[#This Row],[Reward Multiplier]]*$C$6</f>
        <v>21000</v>
      </c>
      <c r="I28" s="292">
        <f>missionsDragonRelativeMetrics[[#This Row],[Reward Multiplier]]*$C$7</f>
        <v>42000</v>
      </c>
      <c r="J28" s="461">
        <v>3</v>
      </c>
      <c r="K28" s="293">
        <v>5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8">
        <f>missionsDragonRelativeMetrics[[#This Row],[General Missions]]+missionsDragonRelativeMetrics[[#This Row],[Dedicated Missions]]</f>
        <v>34</v>
      </c>
    </row>
    <row r="29" spans="1:14">
      <c r="A29" s="457" t="s">
        <v>402</v>
      </c>
      <c r="B29" s="458">
        <v>8.5</v>
      </c>
      <c r="C29" s="458">
        <v>6</v>
      </c>
      <c r="E29" s="259" t="s">
        <v>402</v>
      </c>
      <c r="F29" s="293">
        <v>75</v>
      </c>
      <c r="G29" s="463">
        <f>missionsDragonRelativeMetrics[[#This Row],[Reward Multiplier]]*$C$5</f>
        <v>15000</v>
      </c>
      <c r="H29" s="463">
        <f>missionsDragonRelativeMetrics[[#This Row],[Reward Multiplier]]*$C$6</f>
        <v>22500</v>
      </c>
      <c r="I29" s="387">
        <f>missionsDragonRelativeMetrics[[#This Row],[Reward Multiplier]]*$C$7</f>
        <v>45000</v>
      </c>
      <c r="J29" s="461">
        <v>3</v>
      </c>
      <c r="K29" s="293">
        <v>6</v>
      </c>
      <c r="L29" s="462">
        <f>COUNTIFS(Table8[MIN TIER],"&lt;="&amp;missionsDragonRelativeMetrics[[#This Row],[Tier]],Table8[MAX TIER],"&gt;="&amp;missionsDragonRelativeMetrics[[#This Row],[Tier]],Table8[DRAGON],"="&amp;"")</f>
        <v>34</v>
      </c>
      <c r="M29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60">
        <f>missionsDragonRelativeMetrics[[#This Row],[General Missions]]+missionsDragonRelativeMetrics[[#This Row],[Dedicated Missions]]</f>
        <v>42</v>
      </c>
    </row>
    <row r="30" spans="1:14">
      <c r="A30" s="457" t="s">
        <v>403</v>
      </c>
      <c r="B30" s="458">
        <v>8.5</v>
      </c>
      <c r="C30" s="458">
        <v>6</v>
      </c>
      <c r="E30" s="384" t="s">
        <v>403</v>
      </c>
      <c r="F30" s="293">
        <v>75</v>
      </c>
      <c r="G30" s="463">
        <f>missionsDragonRelativeMetrics[[#This Row],[Reward Multiplier]]*$C$5</f>
        <v>15000</v>
      </c>
      <c r="H30" s="463">
        <f>missionsDragonRelativeMetrics[[#This Row],[Reward Multiplier]]*$C$6</f>
        <v>22500</v>
      </c>
      <c r="I30" s="387">
        <f>missionsDragonRelativeMetrics[[#This Row],[Reward Multiplier]]*$C$7</f>
        <v>45000</v>
      </c>
      <c r="J30" s="461">
        <v>3</v>
      </c>
      <c r="K30" s="293">
        <v>6</v>
      </c>
      <c r="L30" s="462">
        <f>COUNTIFS(Table8[MIN TIER],"&lt;="&amp;missionsDragonRelativeMetrics[[#This Row],[Tier]],Table8[MAX TIER],"&gt;="&amp;missionsDragonRelativeMetrics[[#This Row],[Tier]],Table8[DRAGON],"="&amp;"")</f>
        <v>34</v>
      </c>
      <c r="M30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60">
        <f>missionsDragonRelativeMetrics[[#This Row],[General Missions]]+missionsDragonRelativeMetrics[[#This Row],[Dedicated Missions]]</f>
        <v>42</v>
      </c>
    </row>
    <row r="31" spans="1:14">
      <c r="A31" s="457" t="s">
        <v>404</v>
      </c>
      <c r="B31" s="458">
        <v>8.5</v>
      </c>
      <c r="C31" s="458">
        <v>6</v>
      </c>
      <c r="E31" s="384" t="s">
        <v>404</v>
      </c>
      <c r="F31" s="293">
        <v>75</v>
      </c>
      <c r="G31" s="463">
        <f>missionsDragonRelativeMetrics[[#This Row],[Reward Multiplier]]*$C$5</f>
        <v>15000</v>
      </c>
      <c r="H31" s="463">
        <f>missionsDragonRelativeMetrics[[#This Row],[Reward Multiplier]]*$C$6</f>
        <v>22500</v>
      </c>
      <c r="I31" s="387">
        <f>missionsDragonRelativeMetrics[[#This Row],[Reward Multiplier]]*$C$7</f>
        <v>45000</v>
      </c>
      <c r="J31" s="461">
        <v>3</v>
      </c>
      <c r="K31" s="293">
        <v>6</v>
      </c>
      <c r="L31" s="462">
        <f>COUNTIFS(Table8[MIN TIER],"&lt;="&amp;missionsDragonRelativeMetrics[[#This Row],[Tier]],Table8[MAX TIER],"&gt;="&amp;missionsDragonRelativeMetrics[[#This Row],[Tier]],Table8[DRAGON],"="&amp;"")</f>
        <v>34</v>
      </c>
      <c r="M31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60">
        <f>missionsDragonRelativeMetrics[[#This Row],[General Missions]]+missionsDragonRelativeMetrics[[#This Row],[Dedicated Missions]]</f>
        <v>42</v>
      </c>
    </row>
    <row r="32" spans="1:14">
      <c r="A32" s="457" t="s">
        <v>405</v>
      </c>
      <c r="B32" s="458">
        <v>8.5</v>
      </c>
      <c r="C32" s="458">
        <v>6</v>
      </c>
      <c r="E32" s="384" t="s">
        <v>405</v>
      </c>
      <c r="F32" s="293">
        <v>75</v>
      </c>
      <c r="G32" s="463">
        <f>missionsDragonRelativeMetrics[[#This Row],[Reward Multiplier]]*$C$5</f>
        <v>15000</v>
      </c>
      <c r="H32" s="463">
        <f>missionsDragonRelativeMetrics[[#This Row],[Reward Multiplier]]*$C$6</f>
        <v>22500</v>
      </c>
      <c r="I32" s="387">
        <f>missionsDragonRelativeMetrics[[#This Row],[Reward Multiplier]]*$C$7</f>
        <v>45000</v>
      </c>
      <c r="J32" s="461">
        <v>3</v>
      </c>
      <c r="K32" s="293">
        <v>6</v>
      </c>
      <c r="L32" s="462">
        <f>COUNTIFS(Table8[MIN TIER],"&lt;="&amp;missionsDragonRelativeMetrics[[#This Row],[Tier]],Table8[MAX TIER],"&gt;="&amp;missionsDragonRelativeMetrics[[#This Row],[Tier]],Table8[DRAGON],"="&amp;"")</f>
        <v>34</v>
      </c>
      <c r="M32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60">
        <f>missionsDragonRelativeMetrics[[#This Row],[General Missions]]+missionsDragonRelativeMetrics[[#This Row],[Dedicated Missions]]</f>
        <v>42</v>
      </c>
    </row>
    <row r="33" spans="1:17">
      <c r="A33" s="259" t="s">
        <v>406</v>
      </c>
      <c r="B33" s="293">
        <v>8.5</v>
      </c>
      <c r="C33" s="293">
        <v>6</v>
      </c>
      <c r="E33" s="260" t="s">
        <v>406</v>
      </c>
      <c r="F33" s="293">
        <v>75</v>
      </c>
      <c r="G33" s="463">
        <f>missionsDragonRelativeMetrics[[#This Row],[Reward Multiplier]]*$C$5</f>
        <v>15000</v>
      </c>
      <c r="H33" s="463">
        <f>missionsDragonRelativeMetrics[[#This Row],[Reward Multiplier]]*$C$6</f>
        <v>22500</v>
      </c>
      <c r="I33" s="387">
        <f>missionsDragonRelativeMetrics[[#This Row],[Reward Multiplier]]*$C$7</f>
        <v>45000</v>
      </c>
      <c r="J33" s="461">
        <v>3</v>
      </c>
      <c r="K33" s="293">
        <v>6</v>
      </c>
      <c r="L33" s="462">
        <f>COUNTIFS(Table8[MIN TIER],"&lt;="&amp;missionsDragonRelativeMetrics[[#This Row],[Tier]],Table8[MAX TIER],"&gt;="&amp;missionsDragonRelativeMetrics[[#This Row],[Tier]],Table8[DRAGON],"="&amp;"")</f>
        <v>34</v>
      </c>
      <c r="M33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60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407</v>
      </c>
    </row>
    <row r="36" spans="1:17">
      <c r="D36" s="1"/>
    </row>
    <row r="37" spans="1:17">
      <c r="A37" s="299" t="s">
        <v>139</v>
      </c>
      <c r="B37" s="339" t="s">
        <v>138</v>
      </c>
      <c r="E37" s="339" t="s">
        <v>102</v>
      </c>
      <c r="F37" s="339" t="s">
        <v>91</v>
      </c>
      <c r="G37" s="339" t="s">
        <v>91</v>
      </c>
      <c r="H37" s="339" t="s">
        <v>91</v>
      </c>
      <c r="I37" s="339" t="s">
        <v>103</v>
      </c>
    </row>
    <row r="38" spans="1:17">
      <c r="A38" s="343" t="b">
        <v>1</v>
      </c>
      <c r="B38" s="342">
        <v>0.7</v>
      </c>
      <c r="E38" s="239" t="s">
        <v>402</v>
      </c>
      <c r="F38" s="341" t="s">
        <v>115</v>
      </c>
      <c r="G38" s="341" t="s">
        <v>116</v>
      </c>
      <c r="H38" s="341" t="s">
        <v>117</v>
      </c>
      <c r="I38" s="239" t="b">
        <v>0</v>
      </c>
    </row>
    <row r="39" spans="1:17">
      <c r="D39" s="339" t="s">
        <v>495</v>
      </c>
      <c r="E39" s="339" t="s">
        <v>104</v>
      </c>
      <c r="F39" s="339" t="s">
        <v>105</v>
      </c>
      <c r="G39" s="339" t="s">
        <v>105</v>
      </c>
      <c r="H39" s="339" t="s">
        <v>105</v>
      </c>
      <c r="I39" s="339" t="s">
        <v>106</v>
      </c>
    </row>
    <row r="40" spans="1:17">
      <c r="D40" s="340">
        <f>INDEX(Table1[Dragon Tier],MATCH(E38,Table1[Dragon],0))</f>
        <v>6</v>
      </c>
      <c r="E40" s="340">
        <f>INDEX(Table1[QuantityModifier],MATCH(E38,Table1[Dragon],0))</f>
        <v>8.5</v>
      </c>
      <c r="F40" s="342">
        <v>0.05</v>
      </c>
      <c r="G40" s="342">
        <v>0.1</v>
      </c>
      <c r="H40" s="342">
        <v>0.2</v>
      </c>
      <c r="I40" s="340">
        <f>IF(I38,B38,0)</f>
        <v>0</v>
      </c>
    </row>
    <row r="43" spans="1:17">
      <c r="E43" s="339" t="s">
        <v>107</v>
      </c>
      <c r="F43" s="340">
        <f>$E$40+F40</f>
        <v>8.5500000000000007</v>
      </c>
      <c r="G43" s="340">
        <f>$E$40+G40</f>
        <v>8.6</v>
      </c>
      <c r="H43" s="340">
        <f>$E$40+H40</f>
        <v>8.6999999999999993</v>
      </c>
      <c r="I43" t="s">
        <v>407</v>
      </c>
    </row>
    <row r="46" spans="1:17">
      <c r="G46" s="479" t="s">
        <v>135</v>
      </c>
      <c r="H46" s="479"/>
      <c r="I46" s="480" t="s">
        <v>136</v>
      </c>
      <c r="J46" s="481"/>
      <c r="K46" s="482" t="s">
        <v>137</v>
      </c>
      <c r="L46" s="483"/>
    </row>
    <row r="47" spans="1:17">
      <c r="B47" s="114" t="s">
        <v>532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8" t="s">
        <v>493</v>
      </c>
      <c r="O47" s="346" t="s">
        <v>494</v>
      </c>
      <c r="P47" s="385" t="s">
        <v>416</v>
      </c>
      <c r="Q47" s="114" t="s">
        <v>516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7">
        <v>3</v>
      </c>
      <c r="P48" s="386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7">
        <v>4</v>
      </c>
      <c r="P49" s="264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7">
        <v>7</v>
      </c>
      <c r="P50" s="264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7">
        <v>7</v>
      </c>
      <c r="P51" s="264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7">
        <v>7</v>
      </c>
      <c r="P52" s="264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7">
        <v>7</v>
      </c>
      <c r="P53" s="264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7">
        <v>7</v>
      </c>
      <c r="P55" s="264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7">
        <v>3</v>
      </c>
      <c r="P56" s="264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7">
        <v>7</v>
      </c>
      <c r="P57" s="264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7">
        <v>3</v>
      </c>
      <c r="P58" s="264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7">
        <v>4</v>
      </c>
      <c r="P59" s="264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7">
        <v>7</v>
      </c>
      <c r="P61" s="264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7">
        <v>7</v>
      </c>
      <c r="P62" s="264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7">
        <v>7</v>
      </c>
      <c r="P63" s="264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7">
        <v>7</v>
      </c>
      <c r="P64" s="264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7">
        <v>7</v>
      </c>
      <c r="P66" s="264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7">
        <v>7</v>
      </c>
      <c r="P68" s="264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7">
        <v>7</v>
      </c>
      <c r="P69" s="264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7">
        <v>3</v>
      </c>
      <c r="P70" s="264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7">
        <v>3</v>
      </c>
      <c r="P71" s="264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7">
        <v>3</v>
      </c>
      <c r="P72" s="264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7">
        <v>2</v>
      </c>
      <c r="P73" s="264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7">
        <v>2</v>
      </c>
      <c r="P74" s="264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7">
        <v>1</v>
      </c>
      <c r="P76" s="264"/>
      <c r="Q76" t="b">
        <f t="shared" si="3"/>
        <v>0</v>
      </c>
    </row>
    <row r="77" spans="2:17">
      <c r="B77" s="102">
        <v>30</v>
      </c>
      <c r="C77" t="s">
        <v>0</v>
      </c>
      <c r="D77" t="s">
        <v>496</v>
      </c>
      <c r="E77" t="s">
        <v>132</v>
      </c>
      <c r="F77" s="345">
        <v>45</v>
      </c>
      <c r="G77" s="345">
        <v>60</v>
      </c>
      <c r="H77" s="344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4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4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8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497</v>
      </c>
      <c r="E78" t="s">
        <v>132</v>
      </c>
      <c r="F78" s="345">
        <v>2</v>
      </c>
      <c r="G78" s="345">
        <v>4</v>
      </c>
      <c r="H78" s="344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4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4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8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498</v>
      </c>
      <c r="E79" t="s">
        <v>132</v>
      </c>
      <c r="F79" s="345">
        <v>25</v>
      </c>
      <c r="G79" s="345">
        <v>30</v>
      </c>
      <c r="H79" s="344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4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4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8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499</v>
      </c>
      <c r="E80" t="s">
        <v>132</v>
      </c>
      <c r="F80" s="345">
        <v>3</v>
      </c>
      <c r="G80" s="345">
        <v>5</v>
      </c>
      <c r="H80" s="344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4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4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8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500</v>
      </c>
      <c r="E81" t="s">
        <v>132</v>
      </c>
      <c r="F81" s="345">
        <v>5</v>
      </c>
      <c r="G81" s="345">
        <v>10</v>
      </c>
      <c r="H81" s="344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4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4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8">
        <v>7</v>
      </c>
      <c r="P81" s="120"/>
      <c r="Q81" t="b">
        <f t="shared" si="7"/>
        <v>1</v>
      </c>
    </row>
    <row r="82" spans="2:17">
      <c r="B82" s="102">
        <v>35</v>
      </c>
      <c r="C82" t="s">
        <v>501</v>
      </c>
      <c r="D82" s="110" t="s">
        <v>151</v>
      </c>
      <c r="E82" t="s">
        <v>149</v>
      </c>
      <c r="F82" s="345">
        <v>350</v>
      </c>
      <c r="G82" s="345">
        <v>500</v>
      </c>
      <c r="H82" s="344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4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4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36</v>
      </c>
      <c r="C83" t="s">
        <v>502</v>
      </c>
      <c r="D83" s="110" t="s">
        <v>151</v>
      </c>
      <c r="E83" t="s">
        <v>149</v>
      </c>
      <c r="F83" s="345">
        <v>300</v>
      </c>
      <c r="G83" s="345">
        <v>400</v>
      </c>
      <c r="H83" s="344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4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4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8">
        <v>3</v>
      </c>
      <c r="P83" s="120"/>
      <c r="Q83" t="b">
        <f t="shared" si="7"/>
        <v>0</v>
      </c>
    </row>
    <row r="84" spans="2:17">
      <c r="B84" s="102">
        <v>37</v>
      </c>
      <c r="C84" t="s">
        <v>503</v>
      </c>
      <c r="D84" t="s">
        <v>154</v>
      </c>
      <c r="E84" t="s">
        <v>132</v>
      </c>
      <c r="F84" s="345">
        <v>13</v>
      </c>
      <c r="G84" s="345">
        <v>15</v>
      </c>
      <c r="H84" s="344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4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4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8">
        <v>7</v>
      </c>
      <c r="P84" s="120"/>
      <c r="Q84" t="b">
        <f t="shared" si="7"/>
        <v>1</v>
      </c>
    </row>
    <row r="85" spans="2:17">
      <c r="B85" s="102">
        <v>38</v>
      </c>
      <c r="C85" t="s">
        <v>504</v>
      </c>
      <c r="D85" t="s">
        <v>169</v>
      </c>
      <c r="E85" t="s">
        <v>132</v>
      </c>
      <c r="F85" s="345">
        <v>5</v>
      </c>
      <c r="G85" s="345">
        <v>10</v>
      </c>
      <c r="H85" s="344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4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4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39</v>
      </c>
      <c r="C86" t="s">
        <v>505</v>
      </c>
      <c r="D86" t="s">
        <v>5</v>
      </c>
      <c r="E86" t="s">
        <v>149</v>
      </c>
      <c r="F86" s="345">
        <v>10</v>
      </c>
      <c r="G86" s="345">
        <v>15</v>
      </c>
      <c r="H86" s="344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4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4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40</v>
      </c>
      <c r="C87" t="s">
        <v>506</v>
      </c>
      <c r="D87" t="s">
        <v>161</v>
      </c>
      <c r="E87" t="s">
        <v>149</v>
      </c>
      <c r="F87" s="345">
        <v>10</v>
      </c>
      <c r="G87" s="345">
        <v>15</v>
      </c>
      <c r="H87" s="344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4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4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8">
        <v>7</v>
      </c>
      <c r="P87" s="120"/>
      <c r="Q87" t="b">
        <f t="shared" si="7"/>
        <v>1</v>
      </c>
    </row>
    <row r="88" spans="2:17">
      <c r="B88" s="102">
        <v>41</v>
      </c>
      <c r="C88" t="s">
        <v>507</v>
      </c>
      <c r="D88" t="s">
        <v>155</v>
      </c>
      <c r="E88" t="s">
        <v>132</v>
      </c>
      <c r="F88" s="345">
        <v>30</v>
      </c>
      <c r="G88" s="345">
        <v>40</v>
      </c>
      <c r="H88" s="344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4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4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8">
        <v>7</v>
      </c>
      <c r="P88" s="120"/>
      <c r="Q88" t="b">
        <f t="shared" si="7"/>
        <v>1</v>
      </c>
    </row>
    <row r="89" spans="2:17">
      <c r="B89" s="102">
        <v>42</v>
      </c>
      <c r="C89" t="s">
        <v>508</v>
      </c>
      <c r="D89" t="s">
        <v>168</v>
      </c>
      <c r="E89" t="s">
        <v>149</v>
      </c>
      <c r="F89" s="345">
        <v>15</v>
      </c>
      <c r="G89" s="345">
        <v>20</v>
      </c>
      <c r="H89" s="344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4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4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8">
        <v>7</v>
      </c>
      <c r="P89" s="120"/>
      <c r="Q89" t="b">
        <f t="shared" si="7"/>
        <v>1</v>
      </c>
    </row>
    <row r="90" spans="2:17">
      <c r="B90" s="102">
        <v>43</v>
      </c>
      <c r="C90" t="s">
        <v>509</v>
      </c>
      <c r="D90" t="s">
        <v>496</v>
      </c>
      <c r="E90" t="s">
        <v>149</v>
      </c>
      <c r="F90" s="345">
        <v>30</v>
      </c>
      <c r="G90" s="345">
        <v>40</v>
      </c>
      <c r="H90" s="344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4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4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8">
        <v>7</v>
      </c>
      <c r="P90" s="120"/>
      <c r="Q90" t="b">
        <f t="shared" si="7"/>
        <v>1</v>
      </c>
    </row>
    <row r="91" spans="2:17">
      <c r="B91" s="102">
        <v>44</v>
      </c>
      <c r="C91" t="s">
        <v>510</v>
      </c>
      <c r="D91" t="s">
        <v>155</v>
      </c>
      <c r="E91" t="s">
        <v>132</v>
      </c>
      <c r="F91" s="345">
        <v>25</v>
      </c>
      <c r="G91" s="345">
        <v>32</v>
      </c>
      <c r="H91" s="344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4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4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8">
        <v>7</v>
      </c>
      <c r="P91" s="120"/>
      <c r="Q91" t="b">
        <f t="shared" si="7"/>
        <v>1</v>
      </c>
    </row>
    <row r="92" spans="2:17">
      <c r="B92" s="102">
        <v>45</v>
      </c>
      <c r="C92" t="s">
        <v>503</v>
      </c>
      <c r="D92" t="s">
        <v>156</v>
      </c>
      <c r="E92" t="s">
        <v>132</v>
      </c>
      <c r="F92" s="345">
        <v>20</v>
      </c>
      <c r="G92" s="345">
        <v>30</v>
      </c>
      <c r="H92" s="344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4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4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8">
        <v>7</v>
      </c>
      <c r="P92" s="120"/>
      <c r="Q92" t="b">
        <f t="shared" si="7"/>
        <v>1</v>
      </c>
    </row>
    <row r="93" spans="2:17">
      <c r="B93" s="102">
        <v>46</v>
      </c>
      <c r="C93" t="s">
        <v>512</v>
      </c>
      <c r="D93" t="s">
        <v>511</v>
      </c>
      <c r="E93" t="s">
        <v>132</v>
      </c>
      <c r="F93" s="345">
        <v>2</v>
      </c>
      <c r="G93" s="345">
        <v>3</v>
      </c>
      <c r="H93" s="344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4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4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8">
        <v>7</v>
      </c>
      <c r="P93" s="120"/>
      <c r="Q93" t="b">
        <f t="shared" si="7"/>
        <v>1</v>
      </c>
    </row>
    <row r="94" spans="2:17">
      <c r="B94" s="102">
        <v>47</v>
      </c>
      <c r="C94" t="s">
        <v>513</v>
      </c>
      <c r="D94" t="s">
        <v>155</v>
      </c>
      <c r="E94" t="s">
        <v>149</v>
      </c>
      <c r="F94" s="345">
        <v>30</v>
      </c>
      <c r="G94" s="345">
        <v>40</v>
      </c>
      <c r="H94" s="344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4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4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8">
        <v>7</v>
      </c>
      <c r="P94" s="120"/>
      <c r="Q94" t="b">
        <f t="shared" si="7"/>
        <v>1</v>
      </c>
    </row>
    <row r="95" spans="2:17">
      <c r="B95" s="102">
        <v>48</v>
      </c>
      <c r="C95" t="s">
        <v>514</v>
      </c>
      <c r="D95" t="s">
        <v>515</v>
      </c>
      <c r="E95" t="s">
        <v>149</v>
      </c>
      <c r="F95" s="345">
        <v>1</v>
      </c>
      <c r="G95" s="345">
        <v>1</v>
      </c>
      <c r="H95" s="344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4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4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8">
        <v>7</v>
      </c>
      <c r="P95" s="120"/>
      <c r="Q95" t="b">
        <f t="shared" si="7"/>
        <v>1</v>
      </c>
    </row>
    <row r="96" spans="2:17">
      <c r="B96" s="102">
        <v>49</v>
      </c>
      <c r="C96" s="264" t="s">
        <v>504</v>
      </c>
      <c r="D96" s="264" t="s">
        <v>519</v>
      </c>
      <c r="E96" s="264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4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4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4" t="str">
        <f>CONCATENATE(INDEX(missionsDragonRelativeMetrics[Hard Mission Reward],MATCH($E$38,missionsDragonRelativeMetrics[Dragon],0)), " coins")</f>
        <v>45000 coins</v>
      </c>
      <c r="N96" s="264">
        <v>1</v>
      </c>
      <c r="O96" s="347">
        <v>7</v>
      </c>
      <c r="P96" s="264"/>
      <c r="Q96" s="349" t="b">
        <f t="shared" si="7"/>
        <v>1</v>
      </c>
    </row>
    <row r="97" spans="2:17">
      <c r="B97" s="102">
        <v>50</v>
      </c>
      <c r="C97" s="264" t="s">
        <v>528</v>
      </c>
      <c r="D97" s="264" t="s">
        <v>146</v>
      </c>
      <c r="E97" s="264" t="s">
        <v>149</v>
      </c>
      <c r="F97" s="109">
        <v>3</v>
      </c>
      <c r="G97" s="109">
        <v>4</v>
      </c>
      <c r="H97" s="111" t="str">
        <f t="shared" si="8"/>
        <v>26 to 34</v>
      </c>
      <c r="I97" s="264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4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4" t="str">
        <f>CONCATENATE(INDEX(missionsDragonRelativeMetrics[Hard Mission Reward],MATCH($E$38,missionsDragonRelativeMetrics[Dragon],0)), " coins")</f>
        <v>45000 coins</v>
      </c>
      <c r="N97" s="264">
        <v>6</v>
      </c>
      <c r="O97" s="347">
        <v>6</v>
      </c>
      <c r="P97" s="264" t="s">
        <v>405</v>
      </c>
      <c r="Q97" s="349" t="b">
        <f t="shared" si="7"/>
        <v>0</v>
      </c>
    </row>
    <row r="98" spans="2:17">
      <c r="B98" s="102">
        <v>51</v>
      </c>
      <c r="C98" s="264" t="s">
        <v>529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86 to 171</v>
      </c>
      <c r="I98" s="264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4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4" t="str">
        <f>CONCATENATE(INDEX(missionsDragonRelativeMetrics[Hard Mission Reward],MATCH($E$38,missionsDragonRelativeMetrics[Dragon],0)), " coins")</f>
        <v>45000 coins</v>
      </c>
      <c r="N98" s="264">
        <v>6</v>
      </c>
      <c r="O98" s="347">
        <v>6</v>
      </c>
      <c r="P98" s="264" t="s">
        <v>403</v>
      </c>
      <c r="Q98" s="349" t="b">
        <f t="shared" si="7"/>
        <v>0</v>
      </c>
    </row>
    <row r="99" spans="2:17">
      <c r="B99" s="102">
        <v>52</v>
      </c>
      <c r="C99" s="264" t="s">
        <v>530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86 to 171</v>
      </c>
      <c r="I99" s="264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4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4" t="str">
        <f>CONCATENATE(INDEX(missionsDragonRelativeMetrics[Hard Mission Reward],MATCH($E$38,missionsDragonRelativeMetrics[Dragon],0)), " coins")</f>
        <v>45000 coins</v>
      </c>
      <c r="N99" s="264">
        <v>6</v>
      </c>
      <c r="O99" s="347">
        <v>6</v>
      </c>
      <c r="P99" s="264" t="s">
        <v>404</v>
      </c>
      <c r="Q99" s="349" t="b">
        <f t="shared" si="7"/>
        <v>0</v>
      </c>
    </row>
    <row r="100" spans="2:17">
      <c r="B100" s="102">
        <v>53</v>
      </c>
      <c r="C100" s="264" t="s">
        <v>531</v>
      </c>
      <c r="D100" s="264" t="s">
        <v>146</v>
      </c>
      <c r="E100" s="264" t="s">
        <v>132</v>
      </c>
      <c r="F100" s="109">
        <v>10</v>
      </c>
      <c r="G100" s="109">
        <v>20</v>
      </c>
      <c r="H100" s="111" t="str">
        <f t="shared" si="8"/>
        <v>86 to 171</v>
      </c>
      <c r="I100" s="264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4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4" t="str">
        <f>CONCATENATE(INDEX(missionsDragonRelativeMetrics[Hard Mission Reward],MATCH($E$38,missionsDragonRelativeMetrics[Dragon],0)), " coins")</f>
        <v>45000 coins</v>
      </c>
      <c r="N100" s="264">
        <v>6</v>
      </c>
      <c r="O100" s="347">
        <v>6</v>
      </c>
      <c r="P100" s="264" t="s">
        <v>402</v>
      </c>
      <c r="Q100" s="349" t="b">
        <f t="shared" si="7"/>
        <v>1</v>
      </c>
    </row>
    <row r="101" spans="2:17">
      <c r="B101" s="102">
        <v>54</v>
      </c>
      <c r="C101" s="264" t="s">
        <v>528</v>
      </c>
      <c r="D101" s="264" t="s">
        <v>5</v>
      </c>
      <c r="E101" s="264" t="s">
        <v>149</v>
      </c>
      <c r="F101" s="109">
        <v>3</v>
      </c>
      <c r="G101" s="109">
        <v>4</v>
      </c>
      <c r="H101" s="111" t="str">
        <f t="shared" si="8"/>
        <v>26 to 34</v>
      </c>
      <c r="I101" s="264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4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4" t="str">
        <f>CONCATENATE(INDEX(missionsDragonRelativeMetrics[Hard Mission Reward],MATCH($E$38,missionsDragonRelativeMetrics[Dragon],0)), " coins")</f>
        <v>45000 coins</v>
      </c>
      <c r="N101" s="264">
        <v>6</v>
      </c>
      <c r="O101" s="347">
        <v>6</v>
      </c>
      <c r="P101" s="264" t="s">
        <v>405</v>
      </c>
      <c r="Q101" s="349" t="b">
        <f t="shared" si="7"/>
        <v>0</v>
      </c>
    </row>
    <row r="102" spans="2:17">
      <c r="B102" s="102">
        <v>55</v>
      </c>
      <c r="C102" s="264" t="s">
        <v>529</v>
      </c>
      <c r="D102" s="264" t="s">
        <v>5</v>
      </c>
      <c r="E102" s="264" t="s">
        <v>132</v>
      </c>
      <c r="F102" s="109">
        <v>10</v>
      </c>
      <c r="G102" s="109">
        <v>12</v>
      </c>
      <c r="H102" s="111" t="str">
        <f t="shared" si="8"/>
        <v>86 to 103</v>
      </c>
      <c r="I102" s="264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4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4" t="str">
        <f>CONCATENATE(INDEX(missionsDragonRelativeMetrics[Hard Mission Reward],MATCH($E$38,missionsDragonRelativeMetrics[Dragon],0)), " coins")</f>
        <v>45000 coins</v>
      </c>
      <c r="N102" s="264">
        <v>6</v>
      </c>
      <c r="O102" s="347">
        <v>6</v>
      </c>
      <c r="P102" s="264" t="s">
        <v>403</v>
      </c>
      <c r="Q102" s="349" t="b">
        <f t="shared" si="7"/>
        <v>0</v>
      </c>
    </row>
    <row r="103" spans="2:17">
      <c r="B103" s="102">
        <v>56</v>
      </c>
      <c r="C103" s="264" t="s">
        <v>530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86 to 94</v>
      </c>
      <c r="I103" s="264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4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4" t="str">
        <f>CONCATENATE(INDEX(missionsDragonRelativeMetrics[Hard Mission Reward],MATCH($E$38,missionsDragonRelativeMetrics[Dragon],0)), " coins")</f>
        <v>45000 coins</v>
      </c>
      <c r="N103" s="264">
        <v>6</v>
      </c>
      <c r="O103" s="347">
        <v>6</v>
      </c>
      <c r="P103" s="264" t="s">
        <v>404</v>
      </c>
      <c r="Q103" s="349" t="b">
        <f t="shared" si="7"/>
        <v>0</v>
      </c>
    </row>
    <row r="104" spans="2:17">
      <c r="B104" s="102">
        <v>57</v>
      </c>
      <c r="C104" s="264" t="s">
        <v>531</v>
      </c>
      <c r="D104" s="264" t="s">
        <v>5</v>
      </c>
      <c r="E104" s="264" t="s">
        <v>132</v>
      </c>
      <c r="F104" s="109">
        <v>10</v>
      </c>
      <c r="G104" s="109">
        <v>11</v>
      </c>
      <c r="H104" s="111" t="str">
        <f t="shared" si="8"/>
        <v>86 to 94</v>
      </c>
      <c r="I104" s="264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4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4" t="str">
        <f>CONCATENATE(INDEX(missionsDragonRelativeMetrics[Hard Mission Reward],MATCH($E$38,missionsDragonRelativeMetrics[Dragon],0)), " coins")</f>
        <v>45000 coins</v>
      </c>
      <c r="N104" s="264">
        <v>6</v>
      </c>
      <c r="O104" s="347">
        <v>6</v>
      </c>
      <c r="P104" s="264" t="s">
        <v>402</v>
      </c>
      <c r="Q104" s="349" t="b">
        <f t="shared" si="7"/>
        <v>1</v>
      </c>
    </row>
    <row r="105" spans="2:17">
      <c r="B105" s="102">
        <v>58</v>
      </c>
      <c r="C105" s="264" t="s">
        <v>528</v>
      </c>
      <c r="D105" s="264" t="s">
        <v>154</v>
      </c>
      <c r="E105" s="264" t="s">
        <v>149</v>
      </c>
      <c r="F105" s="109">
        <v>4</v>
      </c>
      <c r="G105" s="109">
        <v>6</v>
      </c>
      <c r="H105" s="111" t="str">
        <f t="shared" si="8"/>
        <v>34 to 51</v>
      </c>
      <c r="I105" s="264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4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4" t="str">
        <f>CONCATENATE(INDEX(missionsDragonRelativeMetrics[Hard Mission Reward],MATCH($E$38,missionsDragonRelativeMetrics[Dragon],0)), " coins")</f>
        <v>45000 coins</v>
      </c>
      <c r="N105" s="264">
        <v>6</v>
      </c>
      <c r="O105" s="347">
        <v>6</v>
      </c>
      <c r="P105" s="264" t="s">
        <v>405</v>
      </c>
      <c r="Q105" s="349" t="b">
        <f t="shared" si="7"/>
        <v>0</v>
      </c>
    </row>
    <row r="106" spans="2:17">
      <c r="B106" s="102">
        <v>59</v>
      </c>
      <c r="C106" s="264" t="s">
        <v>529</v>
      </c>
      <c r="D106" s="264" t="s">
        <v>154</v>
      </c>
      <c r="E106" s="264" t="s">
        <v>132</v>
      </c>
      <c r="F106" s="109">
        <v>20</v>
      </c>
      <c r="G106" s="109">
        <v>30</v>
      </c>
      <c r="H106" s="111" t="str">
        <f t="shared" si="8"/>
        <v>171 to 257</v>
      </c>
      <c r="I106" s="264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4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4" t="str">
        <f>CONCATENATE(INDEX(missionsDragonRelativeMetrics[Hard Mission Reward],MATCH($E$38,missionsDragonRelativeMetrics[Dragon],0)), " coins")</f>
        <v>45000 coins</v>
      </c>
      <c r="N106" s="264">
        <v>6</v>
      </c>
      <c r="O106" s="347">
        <v>6</v>
      </c>
      <c r="P106" s="264" t="s">
        <v>403</v>
      </c>
      <c r="Q106" s="349" t="b">
        <f t="shared" si="7"/>
        <v>0</v>
      </c>
    </row>
    <row r="107" spans="2:17">
      <c r="B107" s="102">
        <v>60</v>
      </c>
      <c r="C107" s="264" t="s">
        <v>530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385 to 470</v>
      </c>
      <c r="I107" s="264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4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4" t="str">
        <f>CONCATENATE(INDEX(missionsDragonRelativeMetrics[Hard Mission Reward],MATCH($E$38,missionsDragonRelativeMetrics[Dragon],0)), " coins")</f>
        <v>45000 coins</v>
      </c>
      <c r="N107" s="264">
        <v>6</v>
      </c>
      <c r="O107" s="347">
        <v>6</v>
      </c>
      <c r="P107" s="264" t="s">
        <v>404</v>
      </c>
      <c r="Q107" s="349" t="b">
        <f t="shared" si="7"/>
        <v>0</v>
      </c>
    </row>
    <row r="108" spans="2:17">
      <c r="B108" s="102">
        <v>61</v>
      </c>
      <c r="C108" s="264" t="s">
        <v>531</v>
      </c>
      <c r="D108" s="264" t="s">
        <v>154</v>
      </c>
      <c r="E108" s="264" t="s">
        <v>132</v>
      </c>
      <c r="F108" s="109">
        <v>45</v>
      </c>
      <c r="G108" s="109">
        <v>55</v>
      </c>
      <c r="H108" s="111" t="str">
        <f t="shared" si="8"/>
        <v>385 to 470</v>
      </c>
      <c r="I108" s="264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4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4" t="str">
        <f>CONCATENATE(INDEX(missionsDragonRelativeMetrics[Hard Mission Reward],MATCH($E$38,missionsDragonRelativeMetrics[Dragon],0)), " coins")</f>
        <v>45000 coins</v>
      </c>
      <c r="N108" s="264">
        <v>6</v>
      </c>
      <c r="O108" s="347">
        <v>6</v>
      </c>
      <c r="P108" s="264" t="s">
        <v>402</v>
      </c>
      <c r="Q108" s="349" t="b">
        <f t="shared" si="7"/>
        <v>1</v>
      </c>
    </row>
    <row r="109" spans="2:17">
      <c r="B109" s="102">
        <v>62</v>
      </c>
      <c r="C109" s="264" t="s">
        <v>528</v>
      </c>
      <c r="D109" s="264" t="s">
        <v>155</v>
      </c>
      <c r="E109" s="264" t="s">
        <v>149</v>
      </c>
      <c r="F109" s="109">
        <v>4</v>
      </c>
      <c r="G109" s="109">
        <v>6</v>
      </c>
      <c r="H109" s="111" t="str">
        <f t="shared" si="8"/>
        <v>34 to 51</v>
      </c>
      <c r="I109" s="264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4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4" t="str">
        <f>CONCATENATE(INDEX(missionsDragonRelativeMetrics[Hard Mission Reward],MATCH($E$38,missionsDragonRelativeMetrics[Dragon],0)), " coins")</f>
        <v>45000 coins</v>
      </c>
      <c r="N109" s="264">
        <v>6</v>
      </c>
      <c r="O109" s="347">
        <v>6</v>
      </c>
      <c r="P109" s="264" t="s">
        <v>405</v>
      </c>
      <c r="Q109" s="349" t="b">
        <f t="shared" si="7"/>
        <v>0</v>
      </c>
    </row>
    <row r="110" spans="2:17">
      <c r="B110" s="102">
        <v>63</v>
      </c>
      <c r="C110" s="264" t="s">
        <v>529</v>
      </c>
      <c r="D110" s="264" t="s">
        <v>155</v>
      </c>
      <c r="E110" s="264" t="s">
        <v>132</v>
      </c>
      <c r="F110" s="109">
        <v>25</v>
      </c>
      <c r="G110" s="109">
        <v>35</v>
      </c>
      <c r="H110" s="111" t="str">
        <f t="shared" si="8"/>
        <v>214 to 299</v>
      </c>
      <c r="I110" s="264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4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4" t="str">
        <f>CONCATENATE(INDEX(missionsDragonRelativeMetrics[Hard Mission Reward],MATCH($E$38,missionsDragonRelativeMetrics[Dragon],0)), " coins")</f>
        <v>45000 coins</v>
      </c>
      <c r="N110" s="264">
        <v>6</v>
      </c>
      <c r="O110" s="347">
        <v>6</v>
      </c>
      <c r="P110" s="264" t="s">
        <v>403</v>
      </c>
      <c r="Q110" s="349" t="b">
        <f t="shared" si="7"/>
        <v>0</v>
      </c>
    </row>
    <row r="111" spans="2:17">
      <c r="B111" s="102">
        <v>64</v>
      </c>
      <c r="C111" s="264" t="s">
        <v>530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342 to 385</v>
      </c>
      <c r="I111" s="264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4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4" t="str">
        <f>CONCATENATE(INDEX(missionsDragonRelativeMetrics[Hard Mission Reward],MATCH($E$38,missionsDragonRelativeMetrics[Dragon],0)), " coins")</f>
        <v>45000 coins</v>
      </c>
      <c r="N111" s="264">
        <v>6</v>
      </c>
      <c r="O111" s="347">
        <v>6</v>
      </c>
      <c r="P111" s="264" t="s">
        <v>404</v>
      </c>
      <c r="Q111" s="349" t="b">
        <f t="shared" si="7"/>
        <v>0</v>
      </c>
    </row>
    <row r="112" spans="2:17">
      <c r="B112" s="102">
        <v>65</v>
      </c>
      <c r="C112" s="264" t="s">
        <v>531</v>
      </c>
      <c r="D112" s="264" t="s">
        <v>155</v>
      </c>
      <c r="E112" s="264" t="s">
        <v>132</v>
      </c>
      <c r="F112" s="109">
        <v>40</v>
      </c>
      <c r="G112" s="109">
        <v>45</v>
      </c>
      <c r="H112" s="111" t="str">
        <f t="shared" si="8"/>
        <v>342 to 385</v>
      </c>
      <c r="I112" s="264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4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4" t="str">
        <f>CONCATENATE(INDEX(missionsDragonRelativeMetrics[Hard Mission Reward],MATCH($E$38,missionsDragonRelativeMetrics[Dragon],0)), " coins")</f>
        <v>45000 coins</v>
      </c>
      <c r="N112" s="264">
        <v>6</v>
      </c>
      <c r="O112" s="347">
        <v>6</v>
      </c>
      <c r="P112" s="264" t="s">
        <v>402</v>
      </c>
      <c r="Q112" s="349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4" t="s">
        <v>528</v>
      </c>
      <c r="D113" s="264" t="s">
        <v>156</v>
      </c>
      <c r="E113" s="264" t="s">
        <v>149</v>
      </c>
      <c r="F113" s="109">
        <v>4</v>
      </c>
      <c r="G113" s="109">
        <v>6</v>
      </c>
      <c r="H113" s="111" t="str">
        <f t="shared" si="8"/>
        <v>34 to 51</v>
      </c>
      <c r="I113" s="264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4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4" t="str">
        <f>CONCATENATE(INDEX(missionsDragonRelativeMetrics[Hard Mission Reward],MATCH($E$38,missionsDragonRelativeMetrics[Dragon],0)), " coins")</f>
        <v>45000 coins</v>
      </c>
      <c r="N113" s="264">
        <v>6</v>
      </c>
      <c r="O113" s="347">
        <v>6</v>
      </c>
      <c r="P113" s="264" t="s">
        <v>405</v>
      </c>
      <c r="Q113" s="349" t="b">
        <f t="shared" si="11"/>
        <v>0</v>
      </c>
    </row>
    <row r="114" spans="2:17">
      <c r="B114" s="102">
        <v>67</v>
      </c>
      <c r="C114" s="264" t="s">
        <v>529</v>
      </c>
      <c r="D114" s="264" t="s">
        <v>156</v>
      </c>
      <c r="E114" s="264" t="s">
        <v>132</v>
      </c>
      <c r="F114" s="109">
        <v>35</v>
      </c>
      <c r="G114" s="109">
        <v>45</v>
      </c>
      <c r="H114" s="111" t="str">
        <f t="shared" si="8"/>
        <v>299 to 385</v>
      </c>
      <c r="I114" s="264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4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4" t="str">
        <f>CONCATENATE(INDEX(missionsDragonRelativeMetrics[Hard Mission Reward],MATCH($E$38,missionsDragonRelativeMetrics[Dragon],0)), " coins")</f>
        <v>45000 coins</v>
      </c>
      <c r="N114" s="264">
        <v>6</v>
      </c>
      <c r="O114" s="347">
        <v>6</v>
      </c>
      <c r="P114" s="264" t="s">
        <v>403</v>
      </c>
      <c r="Q114" s="349" t="b">
        <f t="shared" si="11"/>
        <v>0</v>
      </c>
    </row>
    <row r="115" spans="2:17">
      <c r="B115" s="102">
        <v>68</v>
      </c>
      <c r="C115" s="264" t="s">
        <v>530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4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4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4" t="str">
        <f>CONCATENATE(INDEX(missionsDragonRelativeMetrics[Hard Mission Reward],MATCH($E$38,missionsDragonRelativeMetrics[Dragon],0)), " coins")</f>
        <v>45000 coins</v>
      </c>
      <c r="N115" s="264">
        <v>6</v>
      </c>
      <c r="O115" s="347">
        <v>6</v>
      </c>
      <c r="P115" s="264" t="s">
        <v>404</v>
      </c>
      <c r="Q115" s="349" t="b">
        <f t="shared" si="11"/>
        <v>0</v>
      </c>
    </row>
    <row r="116" spans="2:17">
      <c r="B116" s="102">
        <v>69</v>
      </c>
      <c r="C116" s="264" t="s">
        <v>531</v>
      </c>
      <c r="D116" s="264" t="s">
        <v>156</v>
      </c>
      <c r="E116" s="264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4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4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4" t="str">
        <f>CONCATENATE(INDEX(missionsDragonRelativeMetrics[Hard Mission Reward],MATCH($E$38,missionsDragonRelativeMetrics[Dragon],0)), " coins")</f>
        <v>45000 coins</v>
      </c>
      <c r="N116" s="264">
        <v>6</v>
      </c>
      <c r="O116" s="347">
        <v>6</v>
      </c>
      <c r="P116" s="264" t="s">
        <v>402</v>
      </c>
      <c r="Q116" s="349" t="b">
        <f t="shared" si="11"/>
        <v>1</v>
      </c>
    </row>
    <row r="117" spans="2:17">
      <c r="B117" s="102">
        <v>70</v>
      </c>
      <c r="C117" s="264" t="s">
        <v>528</v>
      </c>
      <c r="D117" s="264" t="s">
        <v>162</v>
      </c>
      <c r="E117" s="264" t="s">
        <v>149</v>
      </c>
      <c r="F117" s="109">
        <v>3</v>
      </c>
      <c r="G117" s="109">
        <v>4</v>
      </c>
      <c r="H117" s="111" t="str">
        <f t="shared" si="8"/>
        <v>26 to 34</v>
      </c>
      <c r="I117" s="264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4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4" t="str">
        <f>CONCATENATE(INDEX(missionsDragonRelativeMetrics[Hard Mission Reward],MATCH($E$38,missionsDragonRelativeMetrics[Dragon],0)), " coins")</f>
        <v>45000 coins</v>
      </c>
      <c r="N117" s="264">
        <v>6</v>
      </c>
      <c r="O117" s="347">
        <v>6</v>
      </c>
      <c r="P117" s="264" t="s">
        <v>405</v>
      </c>
      <c r="Q117" s="349" t="b">
        <f t="shared" si="11"/>
        <v>0</v>
      </c>
    </row>
    <row r="118" spans="2:17">
      <c r="B118" s="102">
        <v>71</v>
      </c>
      <c r="C118" s="264" t="s">
        <v>529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103 to 128</v>
      </c>
      <c r="I118" s="264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4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4" t="str">
        <f>CONCATENATE(INDEX(missionsDragonRelativeMetrics[Hard Mission Reward],MATCH($E$38,missionsDragonRelativeMetrics[Dragon],0)), " coins")</f>
        <v>45000 coins</v>
      </c>
      <c r="N118" s="264">
        <v>6</v>
      </c>
      <c r="O118" s="347">
        <v>6</v>
      </c>
      <c r="P118" s="264" t="s">
        <v>403</v>
      </c>
      <c r="Q118" s="349" t="b">
        <f t="shared" si="11"/>
        <v>0</v>
      </c>
    </row>
    <row r="119" spans="2:17">
      <c r="B119" s="102">
        <v>72</v>
      </c>
      <c r="C119" s="264" t="s">
        <v>530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103 to 128</v>
      </c>
      <c r="I119" s="264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4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4" t="str">
        <f>CONCATENATE(INDEX(missionsDragonRelativeMetrics[Hard Mission Reward],MATCH($E$38,missionsDragonRelativeMetrics[Dragon],0)), " coins")</f>
        <v>45000 coins</v>
      </c>
      <c r="N119" s="264">
        <v>6</v>
      </c>
      <c r="O119" s="347">
        <v>6</v>
      </c>
      <c r="P119" s="264" t="s">
        <v>404</v>
      </c>
      <c r="Q119" s="349" t="b">
        <f t="shared" si="11"/>
        <v>0</v>
      </c>
    </row>
    <row r="120" spans="2:17">
      <c r="B120" s="102">
        <v>73</v>
      </c>
      <c r="C120" s="264" t="s">
        <v>531</v>
      </c>
      <c r="D120" s="264" t="s">
        <v>162</v>
      </c>
      <c r="E120" s="264" t="s">
        <v>132</v>
      </c>
      <c r="F120" s="109">
        <v>12</v>
      </c>
      <c r="G120" s="109">
        <v>15</v>
      </c>
      <c r="H120" s="111" t="str">
        <f t="shared" si="8"/>
        <v>103 to 128</v>
      </c>
      <c r="I120" s="264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4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4" t="str">
        <f>CONCATENATE(INDEX(missionsDragonRelativeMetrics[Hard Mission Reward],MATCH($E$38,missionsDragonRelativeMetrics[Dragon],0)), " coins")</f>
        <v>45000 coins</v>
      </c>
      <c r="N120" s="264">
        <v>6</v>
      </c>
      <c r="O120" s="347">
        <v>6</v>
      </c>
      <c r="P120" s="264" t="s">
        <v>402</v>
      </c>
      <c r="Q120" s="349" t="b">
        <f t="shared" si="11"/>
        <v>1</v>
      </c>
    </row>
    <row r="121" spans="2:17">
      <c r="B121" s="102">
        <v>74</v>
      </c>
      <c r="C121" s="264" t="s">
        <v>528</v>
      </c>
      <c r="D121" s="264" t="s">
        <v>498</v>
      </c>
      <c r="E121" s="264" t="s">
        <v>149</v>
      </c>
      <c r="F121" s="109">
        <v>4</v>
      </c>
      <c r="G121" s="109">
        <v>6</v>
      </c>
      <c r="H121" s="111" t="str">
        <f t="shared" si="8"/>
        <v>34 to 51</v>
      </c>
      <c r="I121" s="264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4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4" t="str">
        <f>CONCATENATE(INDEX(missionsDragonRelativeMetrics[Hard Mission Reward],MATCH($E$38,missionsDragonRelativeMetrics[Dragon],0)), " coins")</f>
        <v>45000 coins</v>
      </c>
      <c r="N121" s="264">
        <v>6</v>
      </c>
      <c r="O121" s="347">
        <v>6</v>
      </c>
      <c r="P121" s="264" t="s">
        <v>405</v>
      </c>
      <c r="Q121" s="349" t="b">
        <f t="shared" si="11"/>
        <v>0</v>
      </c>
    </row>
    <row r="122" spans="2:17">
      <c r="B122" s="102">
        <v>75</v>
      </c>
      <c r="C122" s="264" t="s">
        <v>529</v>
      </c>
      <c r="D122" s="264" t="s">
        <v>498</v>
      </c>
      <c r="E122" s="264" t="s">
        <v>132</v>
      </c>
      <c r="F122" s="109">
        <v>25</v>
      </c>
      <c r="G122" s="109">
        <v>30</v>
      </c>
      <c r="H122" s="111" t="str">
        <f t="shared" si="8"/>
        <v>214 to 257</v>
      </c>
      <c r="I122" s="264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4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4" t="str">
        <f>CONCATENATE(INDEX(missionsDragonRelativeMetrics[Hard Mission Reward],MATCH($E$38,missionsDragonRelativeMetrics[Dragon],0)), " coins")</f>
        <v>45000 coins</v>
      </c>
      <c r="N122" s="264">
        <v>6</v>
      </c>
      <c r="O122" s="347">
        <v>6</v>
      </c>
      <c r="P122" s="264" t="s">
        <v>403</v>
      </c>
      <c r="Q122" s="349" t="b">
        <f t="shared" si="11"/>
        <v>0</v>
      </c>
    </row>
    <row r="123" spans="2:17">
      <c r="B123" s="102">
        <v>76</v>
      </c>
      <c r="C123" s="264" t="s">
        <v>530</v>
      </c>
      <c r="D123" s="264" t="s">
        <v>498</v>
      </c>
      <c r="E123" s="264" t="s">
        <v>132</v>
      </c>
      <c r="F123" s="109">
        <v>25</v>
      </c>
      <c r="G123" s="109">
        <v>30</v>
      </c>
      <c r="H123" s="111" t="str">
        <f t="shared" si="8"/>
        <v>214 to 257</v>
      </c>
      <c r="I123" s="264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4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4" t="str">
        <f>CONCATENATE(INDEX(missionsDragonRelativeMetrics[Hard Mission Reward],MATCH($E$38,missionsDragonRelativeMetrics[Dragon],0)), " coins")</f>
        <v>45000 coins</v>
      </c>
      <c r="N123" s="264">
        <v>6</v>
      </c>
      <c r="O123" s="347">
        <v>6</v>
      </c>
      <c r="P123" s="264" t="s">
        <v>404</v>
      </c>
      <c r="Q123" s="349" t="b">
        <f t="shared" si="11"/>
        <v>0</v>
      </c>
    </row>
    <row r="124" spans="2:17">
      <c r="B124" s="102">
        <v>77</v>
      </c>
      <c r="C124" s="264" t="s">
        <v>531</v>
      </c>
      <c r="D124" s="264" t="s">
        <v>498</v>
      </c>
      <c r="E124" s="264" t="s">
        <v>132</v>
      </c>
      <c r="F124" s="109">
        <v>25</v>
      </c>
      <c r="G124" s="109">
        <v>30</v>
      </c>
      <c r="H124" s="111" t="str">
        <f t="shared" si="8"/>
        <v>214 to 257</v>
      </c>
      <c r="I124" s="264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4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4" t="str">
        <f>CONCATENATE(INDEX(missionsDragonRelativeMetrics[Hard Mission Reward],MATCH($E$38,missionsDragonRelativeMetrics[Dragon],0)), " coins")</f>
        <v>45000 coins</v>
      </c>
      <c r="N124" s="264">
        <v>6</v>
      </c>
      <c r="O124" s="347">
        <v>6</v>
      </c>
      <c r="P124" s="264" t="s">
        <v>402</v>
      </c>
      <c r="Q124" s="349" t="b">
        <f t="shared" si="11"/>
        <v>1</v>
      </c>
    </row>
    <row r="125" spans="2:17">
      <c r="B125" s="102">
        <v>78</v>
      </c>
      <c r="C125" s="264" t="s">
        <v>528</v>
      </c>
      <c r="D125" s="264" t="s">
        <v>168</v>
      </c>
      <c r="E125" s="264" t="s">
        <v>149</v>
      </c>
      <c r="F125" s="109">
        <v>3</v>
      </c>
      <c r="G125" s="109">
        <v>4</v>
      </c>
      <c r="H125" s="111" t="str">
        <f t="shared" si="8"/>
        <v>26 to 34</v>
      </c>
      <c r="I125" s="264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4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4" t="str">
        <f>CONCATENATE(INDEX(missionsDragonRelativeMetrics[Hard Mission Reward],MATCH($E$38,missionsDragonRelativeMetrics[Dragon],0)), " coins")</f>
        <v>45000 coins</v>
      </c>
      <c r="N125" s="264">
        <v>6</v>
      </c>
      <c r="O125" s="347">
        <v>6</v>
      </c>
      <c r="P125" s="264" t="s">
        <v>405</v>
      </c>
      <c r="Q125" s="349" t="b">
        <f t="shared" si="11"/>
        <v>0</v>
      </c>
    </row>
    <row r="126" spans="2:17">
      <c r="B126" s="102">
        <v>79</v>
      </c>
      <c r="C126" s="264" t="s">
        <v>529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128 to 171</v>
      </c>
      <c r="I126" s="264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4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4" t="str">
        <f>CONCATENATE(INDEX(missionsDragonRelativeMetrics[Hard Mission Reward],MATCH($E$38,missionsDragonRelativeMetrics[Dragon],0)), " coins")</f>
        <v>45000 coins</v>
      </c>
      <c r="N126" s="264">
        <v>6</v>
      </c>
      <c r="O126" s="347">
        <v>6</v>
      </c>
      <c r="P126" s="264" t="s">
        <v>403</v>
      </c>
      <c r="Q126" s="349" t="b">
        <f t="shared" si="11"/>
        <v>0</v>
      </c>
    </row>
    <row r="127" spans="2:17">
      <c r="B127" s="102">
        <v>80</v>
      </c>
      <c r="C127" s="264" t="s">
        <v>530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128 to 171</v>
      </c>
      <c r="I127" s="264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4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4" t="str">
        <f>CONCATENATE(INDEX(missionsDragonRelativeMetrics[Hard Mission Reward],MATCH($E$38,missionsDragonRelativeMetrics[Dragon],0)), " coins")</f>
        <v>45000 coins</v>
      </c>
      <c r="N127" s="264">
        <v>6</v>
      </c>
      <c r="O127" s="347">
        <v>6</v>
      </c>
      <c r="P127" s="264" t="s">
        <v>404</v>
      </c>
      <c r="Q127" s="349" t="b">
        <f t="shared" si="11"/>
        <v>0</v>
      </c>
    </row>
    <row r="128" spans="2:17">
      <c r="B128" s="102">
        <v>81</v>
      </c>
      <c r="C128" s="264" t="s">
        <v>531</v>
      </c>
      <c r="D128" s="264" t="s">
        <v>168</v>
      </c>
      <c r="E128" s="264" t="s">
        <v>149</v>
      </c>
      <c r="F128" s="109">
        <v>15</v>
      </c>
      <c r="G128" s="109">
        <v>20</v>
      </c>
      <c r="H128" s="111" t="str">
        <f t="shared" si="8"/>
        <v>128 to 171</v>
      </c>
      <c r="I128" s="264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4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4" t="str">
        <f>CONCATENATE(INDEX(missionsDragonRelativeMetrics[Hard Mission Reward],MATCH($E$38,missionsDragonRelativeMetrics[Dragon],0)), " coins")</f>
        <v>45000 coins</v>
      </c>
      <c r="N128" s="264">
        <v>6</v>
      </c>
      <c r="O128" s="347">
        <v>6</v>
      </c>
      <c r="P128" s="264" t="s">
        <v>402</v>
      </c>
      <c r="Q128" s="349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topLeftCell="R13" workbookViewId="0">
      <selection activeCell="AN51" sqref="AN51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455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443</v>
      </c>
      <c r="C3" s="289"/>
      <c r="D3" s="289"/>
      <c r="E3" s="289"/>
      <c r="F3" s="289"/>
      <c r="G3" s="289"/>
      <c r="H3" s="249"/>
    </row>
    <row r="4" spans="2:38">
      <c r="B4" s="247" t="s">
        <v>457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440</v>
      </c>
    </row>
    <row r="8" spans="2:38">
      <c r="F8" s="104" t="s">
        <v>441</v>
      </c>
    </row>
    <row r="9" spans="2:38">
      <c r="F9" s="288" t="s">
        <v>442</v>
      </c>
    </row>
    <row r="10" spans="2:38">
      <c r="F10" s="326" t="s">
        <v>483</v>
      </c>
    </row>
    <row r="11" spans="2:38">
      <c r="Z11" s="120"/>
    </row>
    <row r="12" spans="2:38">
      <c r="B12" s="488" t="s">
        <v>424</v>
      </c>
      <c r="C12" s="489"/>
      <c r="D12" s="490"/>
      <c r="J12" s="485" t="s">
        <v>479</v>
      </c>
      <c r="K12" s="486"/>
      <c r="L12" s="485" t="s">
        <v>480</v>
      </c>
      <c r="M12" s="486"/>
      <c r="N12" s="264"/>
      <c r="O12" s="264" t="s">
        <v>487</v>
      </c>
      <c r="P12" s="264"/>
      <c r="Q12" s="269"/>
      <c r="T12" s="491" t="s">
        <v>438</v>
      </c>
      <c r="U12" s="492"/>
      <c r="V12" s="493"/>
      <c r="W12" s="485" t="s">
        <v>444</v>
      </c>
      <c r="X12" s="486"/>
      <c r="Y12" s="485" t="s">
        <v>446</v>
      </c>
      <c r="Z12" s="486"/>
      <c r="AA12" s="485" t="s">
        <v>449</v>
      </c>
      <c r="AB12" s="486"/>
      <c r="AD12" s="485" t="s">
        <v>444</v>
      </c>
      <c r="AE12" s="486"/>
      <c r="AF12" s="485" t="s">
        <v>446</v>
      </c>
      <c r="AG12" s="486"/>
      <c r="AH12" s="485" t="s">
        <v>449</v>
      </c>
      <c r="AI12" s="486"/>
      <c r="AK12" s="485" t="s">
        <v>486</v>
      </c>
      <c r="AL12" s="486"/>
    </row>
    <row r="13" spans="2:38">
      <c r="B13" s="272" t="s">
        <v>410</v>
      </c>
      <c r="C13" s="273" t="s">
        <v>414</v>
      </c>
      <c r="D13" s="299" t="s">
        <v>415</v>
      </c>
      <c r="E13" s="302" t="s">
        <v>456</v>
      </c>
      <c r="G13" s="307" t="s">
        <v>416</v>
      </c>
      <c r="H13" s="280" t="s">
        <v>445</v>
      </c>
      <c r="I13" s="321" t="s">
        <v>485</v>
      </c>
      <c r="J13" s="280" t="s">
        <v>453</v>
      </c>
      <c r="K13" s="307" t="s">
        <v>454</v>
      </c>
      <c r="L13" s="331" t="s">
        <v>475</v>
      </c>
      <c r="M13" s="321" t="s">
        <v>476</v>
      </c>
      <c r="N13" s="316" t="s">
        <v>484</v>
      </c>
      <c r="O13" s="280" t="s">
        <v>427</v>
      </c>
      <c r="P13" s="278" t="s">
        <v>426</v>
      </c>
      <c r="Q13" s="278" t="s">
        <v>467</v>
      </c>
      <c r="R13" s="307" t="s">
        <v>466</v>
      </c>
      <c r="S13" s="316" t="s">
        <v>429</v>
      </c>
      <c r="T13" s="280" t="s">
        <v>435</v>
      </c>
      <c r="U13" s="278" t="s">
        <v>436</v>
      </c>
      <c r="V13" s="307" t="s">
        <v>437</v>
      </c>
      <c r="W13" s="280" t="s">
        <v>447</v>
      </c>
      <c r="X13" s="278" t="s">
        <v>448</v>
      </c>
      <c r="Y13" s="278" t="s">
        <v>417</v>
      </c>
      <c r="Z13" s="278" t="s">
        <v>418</v>
      </c>
      <c r="AA13" s="294" t="s">
        <v>450</v>
      </c>
      <c r="AB13" s="294" t="s">
        <v>451</v>
      </c>
      <c r="AC13" s="307" t="s">
        <v>452</v>
      </c>
      <c r="AD13" s="294" t="s">
        <v>468</v>
      </c>
      <c r="AE13" s="294" t="s">
        <v>469</v>
      </c>
      <c r="AF13" s="294" t="s">
        <v>470</v>
      </c>
      <c r="AG13" s="294" t="s">
        <v>471</v>
      </c>
      <c r="AH13" s="294" t="s">
        <v>472</v>
      </c>
      <c r="AI13" s="278" t="s">
        <v>473</v>
      </c>
      <c r="AJ13" s="297" t="s">
        <v>474</v>
      </c>
      <c r="AK13" s="278" t="s">
        <v>481</v>
      </c>
      <c r="AL13" s="278" t="s">
        <v>482</v>
      </c>
    </row>
    <row r="14" spans="2:38">
      <c r="B14" s="263">
        <v>1</v>
      </c>
      <c r="C14" s="283" t="s">
        <v>412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4" si="0">$D$17+$D$18</f>
        <v>3</v>
      </c>
      <c r="Y14" s="291">
        <f>ROUND((Table6[[#This Row],[DAILY REW. MOD.]]*($D$24+$D$26+$D$28))/7,0)</f>
        <v>500</v>
      </c>
      <c r="Z14" s="291">
        <f t="shared" ref="Z14:Z34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412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4" si="2">$E$17+$E$18</f>
        <v>3</v>
      </c>
      <c r="AF15" s="296">
        <f>ROUND((Table6[[#This Row],[DAILY REW. MOD. NEW]]*($E$24+$E$26+$E$28))/7,0)</f>
        <v>1500</v>
      </c>
      <c r="AG15" s="296">
        <f t="shared" ref="AG15:AG34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412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413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413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87" t="s">
        <v>425</v>
      </c>
      <c r="C22" s="487"/>
      <c r="D22" s="487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423</v>
      </c>
      <c r="C23" s="274" t="s">
        <v>414</v>
      </c>
      <c r="D23" s="305" t="s">
        <v>415</v>
      </c>
      <c r="E23" s="352" t="s">
        <v>456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419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420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419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420</v>
      </c>
      <c r="D27" s="301">
        <v>2</v>
      </c>
      <c r="E27" s="357">
        <v>2</v>
      </c>
      <c r="G27" s="328" t="s">
        <v>521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419</v>
      </c>
      <c r="D28" s="301">
        <v>1000</v>
      </c>
      <c r="E28" s="357">
        <v>1000</v>
      </c>
      <c r="G28" s="328" t="s">
        <v>779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420</v>
      </c>
      <c r="D29" s="301">
        <v>3</v>
      </c>
      <c r="E29" s="357">
        <v>3</v>
      </c>
      <c r="G29" s="328" t="s">
        <v>780</v>
      </c>
      <c r="H29" s="332">
        <f>Table6[[#This Row],[TOTAL COINS]] +Table6[[#This Row],[COINS IN RUNS PER DAY]]</f>
        <v>260325</v>
      </c>
      <c r="I29" s="322">
        <f>Table6[[#This Row],[TOTAL COINS NEW]] + Table6[[#This Row],[COINS IN RUNS PER DAY]]</f>
        <v>260325</v>
      </c>
      <c r="J29" s="320">
        <f>Table6[[#This Row],[CHESTS COINS]] + Table6[[#This Row],[DAILY COINS]]+Table6[[#This Row],[LEAGUES COINS]]+Table6[[#This Row],[MISSIONS COINS]]</f>
        <v>130325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130325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130000</v>
      </c>
      <c r="O29" s="314">
        <v>70</v>
      </c>
      <c r="P29" s="465">
        <v>38</v>
      </c>
      <c r="Q29" s="271">
        <v>70</v>
      </c>
      <c r="R29" s="312">
        <v>38</v>
      </c>
      <c r="S29" s="318">
        <v>10</v>
      </c>
      <c r="T29" s="466">
        <v>1</v>
      </c>
      <c r="U29" s="325">
        <v>1</v>
      </c>
      <c r="V29" s="336">
        <v>1</v>
      </c>
      <c r="W29" s="295">
        <f>Table6[[#This Row],[CHEST REW. MOD.]]*($D$14+$D$15+$D$16)</f>
        <v>31500</v>
      </c>
      <c r="X29" s="291">
        <f t="shared" si="0"/>
        <v>3</v>
      </c>
      <c r="Y29" s="291">
        <f>ROUND((Table6[[#This Row],[DAILY REW. MOD.]]*($D$24+$D$26+$D$28))/7,0)</f>
        <v>9500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6">
        <f>Table6[[#This Row],[CHEST REW. MOD. NEW]]*($D$14+$D$15+$D$16)</f>
        <v>31500</v>
      </c>
      <c r="AE29" s="296">
        <f t="shared" si="2"/>
        <v>3</v>
      </c>
      <c r="AF29" s="296">
        <f>ROUND((Table6[[#This Row],[DAILY REW. MOD. NEW]]*($E$24+$E$26+$E$28))/7,0)</f>
        <v>9500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4">
        <v>130000</v>
      </c>
      <c r="AL29" s="325">
        <v>1</v>
      </c>
    </row>
    <row r="30" spans="2:38">
      <c r="B30" s="261">
        <v>7</v>
      </c>
      <c r="C30" s="282" t="s">
        <v>421</v>
      </c>
      <c r="D30" s="301">
        <v>1</v>
      </c>
      <c r="E30" s="357">
        <v>1</v>
      </c>
      <c r="G30" s="328" t="s">
        <v>402</v>
      </c>
      <c r="H30" s="464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467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6">
        <f t="shared" si="0"/>
        <v>3</v>
      </c>
      <c r="Y30" s="296">
        <f>ROUND((Table6[[#This Row],[DAILY REW. MOD.]]*($D$24+$D$26+$D$28))/7,0)</f>
        <v>10000</v>
      </c>
      <c r="Z30" s="296">
        <f t="shared" si="1"/>
        <v>0.9</v>
      </c>
      <c r="AA30" s="296">
        <f>ROUND((INDEX(Table12[AVG COINS],MATCH(Table6[[#This Row],[LEAGUE]],Table12[LEAGUE],0))) /$C$38,0)</f>
        <v>12325</v>
      </c>
      <c r="AB30" s="296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422</v>
      </c>
      <c r="D31" s="306">
        <v>1</v>
      </c>
      <c r="E31" s="357">
        <v>1</v>
      </c>
      <c r="G31" s="328" t="s">
        <v>403</v>
      </c>
      <c r="H31" s="464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467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6">
        <f t="shared" si="0"/>
        <v>3</v>
      </c>
      <c r="Y31" s="296">
        <f>ROUND((Table6[[#This Row],[DAILY REW. MOD.]]*($D$24+$D$26+$D$28))/7,0)</f>
        <v>10000</v>
      </c>
      <c r="Z31" s="296">
        <f t="shared" si="1"/>
        <v>0.9</v>
      </c>
      <c r="AA31" s="296">
        <f>ROUND((INDEX(Table12[AVG COINS],MATCH(Table6[[#This Row],[LEAGUE]],Table12[LEAGUE],0))) /$C$38,0)</f>
        <v>12325</v>
      </c>
      <c r="AB31" s="296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404</v>
      </c>
      <c r="H32" s="464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467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6">
        <f t="shared" si="0"/>
        <v>3</v>
      </c>
      <c r="Y32" s="296">
        <f>ROUND((Table6[[#This Row],[DAILY REW. MOD.]]*($D$24+$D$26+$D$28))/7,0)</f>
        <v>10000</v>
      </c>
      <c r="Z32" s="296">
        <f t="shared" si="1"/>
        <v>0.9</v>
      </c>
      <c r="AA32" s="296">
        <f>ROUND((INDEX(Table12[AVG COINS],MATCH(Table6[[#This Row],[LEAGUE]],Table12[LEAGUE],0))) /$C$38,0)</f>
        <v>12325</v>
      </c>
      <c r="AB32" s="296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405</v>
      </c>
      <c r="H33" s="464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467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6">
        <f t="shared" si="0"/>
        <v>3</v>
      </c>
      <c r="Y33" s="296">
        <f>ROUND((Table6[[#This Row],[DAILY REW. MOD.]]*($D$24+$D$26+$D$28))/7,0)</f>
        <v>10000</v>
      </c>
      <c r="Z33" s="296">
        <f t="shared" si="1"/>
        <v>0.9</v>
      </c>
      <c r="AA33" s="296">
        <f>ROUND((INDEX(Table12[AVG COINS],MATCH(Table6[[#This Row],[LEAGUE]],Table12[LEAGUE],0))) /$C$38,0)</f>
        <v>12325</v>
      </c>
      <c r="AB33" s="296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4" spans="2:38">
      <c r="G34" s="328" t="s">
        <v>406</v>
      </c>
      <c r="H34" s="332">
        <f>Table6[[#This Row],[TOTAL COINS]] +Table6[[#This Row],[COINS IN RUNS PER DAY]]</f>
        <v>138575</v>
      </c>
      <c r="I34" s="322">
        <f>Table6[[#This Row],[TOTAL COINS NEW]] + Table6[[#This Row],[COINS IN RUNS PER DAY]]</f>
        <v>138575</v>
      </c>
      <c r="J34" s="320">
        <f>Table6[[#This Row],[CHESTS COINS]] + Table6[[#This Row],[DAILY COINS]]+Table6[[#This Row],[LEAGUES COINS]]+Table6[[#This Row],[MISSIONS COINS]]</f>
        <v>138575</v>
      </c>
      <c r="K34" s="315">
        <f>Table6[[#This Row],[CHESTS GEMS]]+Table6[[#This Row],[DAILY GEMS]]+Table6[[#This Row],[LEAGUES GEMS]]</f>
        <v>3.96</v>
      </c>
      <c r="L34" s="332">
        <f>Table6[[#This Row],[CHESTS COINS NEW]] +Table6[[#This Row],[DAILY COINS NEW]] +Table6[[#This Row],[LEAGUES COINS NEW]] +Table6[[#This Row],[MISSIONS COINS NEW]]</f>
        <v>138575</v>
      </c>
      <c r="M34" s="322">
        <f>Table6[[#This Row],[CHESTS GEMS NEW]] +Table6[[#This Row],[DAILY GEMS NEW]] +Table6[[#This Row],[LEAGUES GEMS NEW]]</f>
        <v>4.3</v>
      </c>
      <c r="N34" s="327">
        <f>Table6[[#This Row],[COINS PER RUN]] *Table6[[#This Row],[RUNS PER DAY]]</f>
        <v>0</v>
      </c>
      <c r="O34" s="314">
        <v>75</v>
      </c>
      <c r="P34" s="314">
        <v>40</v>
      </c>
      <c r="Q34" s="271">
        <v>75</v>
      </c>
      <c r="R34" s="312">
        <v>40</v>
      </c>
      <c r="S34" s="318">
        <v>10</v>
      </c>
      <c r="T34" s="337">
        <v>1</v>
      </c>
      <c r="U34" s="325">
        <v>1</v>
      </c>
      <c r="V34" s="336">
        <v>1</v>
      </c>
      <c r="W34" s="295">
        <f>Table6[[#This Row],[CHEST REW. MOD.]]*($D$14+$D$15+$D$16)</f>
        <v>33750</v>
      </c>
      <c r="X34" s="291">
        <f t="shared" si="0"/>
        <v>3</v>
      </c>
      <c r="Y34" s="291">
        <f>ROUND((Table6[[#This Row],[DAILY REW. MOD.]]*($D$24+$D$26+$D$28))/7,0)</f>
        <v>10000</v>
      </c>
      <c r="Z34" s="291">
        <f t="shared" si="1"/>
        <v>0.9</v>
      </c>
      <c r="AA34" s="354">
        <f>ROUND((INDEX(Table12[AVG COINS],MATCH(Table6[[#This Row],[LEAGUE]],Table12[LEAGUE],0))) /$C$38,0)</f>
        <v>12325</v>
      </c>
      <c r="AB34" s="354">
        <f>ROUND((INDEX(Table12[AVG GEMS],MATCH(Table6[[#This Row],[LEAGUE]],Table12[LEAGUE],0))) /$C$37,2)</f>
        <v>0.06</v>
      </c>
      <c r="AC3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6">
        <f>Table6[[#This Row],[CHEST REW. MOD. NEW]]*($D$14+$D$15+$D$16)</f>
        <v>33750</v>
      </c>
      <c r="AE34" s="296">
        <f t="shared" si="2"/>
        <v>3</v>
      </c>
      <c r="AF34" s="296">
        <f>ROUND((Table6[[#This Row],[DAILY REW. MOD. NEW]]*($E$24+$E$26+$E$28))/7,0)</f>
        <v>10000</v>
      </c>
      <c r="AG34" s="296">
        <f t="shared" si="3"/>
        <v>0.9</v>
      </c>
      <c r="AH34" s="296">
        <f>ROUND((INDEX(Table12[AVG COINS NEW],MATCH(Table6[[#This Row],[LEAGUE]],Table12[LEAGUE],0))) /$C$38,0)</f>
        <v>12325</v>
      </c>
      <c r="AI34" s="296">
        <f>ROUND((INDEX(Table12[AVG GEMS NEW],MATCH(Table6[[#This Row],[LEAGUE]],Table12[LEAGUE],0))) / $C$38,2)</f>
        <v>0.4</v>
      </c>
      <c r="AJ3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4">
        <v>1</v>
      </c>
      <c r="AL34" s="325">
        <v>0</v>
      </c>
    </row>
    <row r="35" spans="2:38">
      <c r="H35" t="s">
        <v>407</v>
      </c>
      <c r="W35" t="s">
        <v>322</v>
      </c>
    </row>
    <row r="36" spans="2:38">
      <c r="B36" s="147" t="s">
        <v>434</v>
      </c>
    </row>
    <row r="37" spans="2:38">
      <c r="B37" s="274" t="s">
        <v>411</v>
      </c>
      <c r="C37" s="262">
        <v>7</v>
      </c>
      <c r="D37" t="s">
        <v>428</v>
      </c>
    </row>
    <row r="38" spans="2:38">
      <c r="B38" s="323" t="s">
        <v>478</v>
      </c>
      <c r="C38" s="262">
        <v>1</v>
      </c>
      <c r="D38" t="s">
        <v>428</v>
      </c>
    </row>
    <row r="40" spans="2:38">
      <c r="B40" s="275" t="s">
        <v>429</v>
      </c>
      <c r="C40" s="276" t="s">
        <v>430</v>
      </c>
      <c r="D40" s="277" t="s">
        <v>431</v>
      </c>
      <c r="E40" s="353" t="s">
        <v>458</v>
      </c>
      <c r="F40" s="275" t="s">
        <v>459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484" t="s">
        <v>439</v>
      </c>
      <c r="C60" s="484"/>
      <c r="D60" s="484"/>
      <c r="E60" s="484"/>
      <c r="F60" s="484"/>
    </row>
    <row r="61" spans="2:10">
      <c r="B61" s="278" t="s">
        <v>429</v>
      </c>
      <c r="C61" s="278" t="s">
        <v>414</v>
      </c>
      <c r="D61" s="278" t="s">
        <v>415</v>
      </c>
      <c r="E61" s="278" t="s">
        <v>432</v>
      </c>
      <c r="F61" s="279" t="s">
        <v>433</v>
      </c>
      <c r="G61" s="279" t="s">
        <v>477</v>
      </c>
      <c r="H61" s="278" t="s">
        <v>456</v>
      </c>
      <c r="I61" s="278" t="s">
        <v>460</v>
      </c>
      <c r="J61" s="278" t="s">
        <v>461</v>
      </c>
    </row>
    <row r="62" spans="2:10">
      <c r="B62" s="285">
        <v>1</v>
      </c>
      <c r="C62" s="285" t="s">
        <v>419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419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419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419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419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419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419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419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419</v>
      </c>
      <c r="D66" s="286">
        <v>1500</v>
      </c>
      <c r="E66" s="286">
        <v>1</v>
      </c>
      <c r="F66" s="308">
        <f>Table13[[#This Row],[AMOUNT]]</f>
        <v>1500</v>
      </c>
      <c r="G66" s="286" t="s">
        <v>419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419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419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419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419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419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419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419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419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419</v>
      </c>
      <c r="D71" s="286">
        <v>2500</v>
      </c>
      <c r="E71" s="286">
        <v>1</v>
      </c>
      <c r="F71" s="308">
        <f>Table13[[#This Row],[AMOUNT]]</f>
        <v>2500</v>
      </c>
      <c r="G71" s="286" t="s">
        <v>419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419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419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419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419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419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419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419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419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422</v>
      </c>
      <c r="D76" s="286" t="s">
        <v>228</v>
      </c>
      <c r="E76" s="286">
        <v>1</v>
      </c>
      <c r="F76" s="308">
        <v>0</v>
      </c>
      <c r="G76" s="286" t="s">
        <v>422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419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419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419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419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419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419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419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419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422</v>
      </c>
      <c r="D81" s="286" t="s">
        <v>228</v>
      </c>
      <c r="E81" s="286">
        <v>1</v>
      </c>
      <c r="F81" s="308">
        <v>0</v>
      </c>
      <c r="G81" s="286" t="s">
        <v>422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419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419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419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419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419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419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419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419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422</v>
      </c>
      <c r="D86" s="286" t="s">
        <v>228</v>
      </c>
      <c r="E86" s="286">
        <v>1</v>
      </c>
      <c r="F86" s="308">
        <v>0</v>
      </c>
      <c r="G86" s="286" t="s">
        <v>422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419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419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419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419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419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419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419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419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422</v>
      </c>
      <c r="D91" s="286" t="s">
        <v>228</v>
      </c>
      <c r="E91" s="286">
        <v>1</v>
      </c>
      <c r="F91" s="308">
        <v>0</v>
      </c>
      <c r="G91" s="286" t="s">
        <v>422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419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419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419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419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419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419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419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419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422</v>
      </c>
      <c r="D96" s="286" t="s">
        <v>228</v>
      </c>
      <c r="E96" s="286">
        <v>1</v>
      </c>
      <c r="F96" s="308">
        <v>0</v>
      </c>
      <c r="G96" s="286" t="s">
        <v>422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419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419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419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419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419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419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413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413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422</v>
      </c>
      <c r="D101" s="286" t="s">
        <v>228</v>
      </c>
      <c r="E101" s="286">
        <v>1</v>
      </c>
      <c r="F101" s="308">
        <v>0</v>
      </c>
      <c r="G101" s="286" t="s">
        <v>422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419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419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419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419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419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419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413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413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422</v>
      </c>
      <c r="D106" s="286" t="s">
        <v>228</v>
      </c>
      <c r="E106" s="286">
        <v>1</v>
      </c>
      <c r="F106" s="308">
        <v>0</v>
      </c>
      <c r="G106" s="286" t="s">
        <v>422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419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419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419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419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419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419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413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413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422</v>
      </c>
      <c r="D111" s="287" t="s">
        <v>229</v>
      </c>
      <c r="E111" s="287">
        <v>1</v>
      </c>
      <c r="F111" s="308">
        <v>0</v>
      </c>
      <c r="G111" s="287" t="s">
        <v>422</v>
      </c>
      <c r="H111" s="298" t="s">
        <v>229</v>
      </c>
      <c r="I111" s="298">
        <v>1</v>
      </c>
      <c r="J111" s="308"/>
    </row>
    <row r="114" spans="2:5">
      <c r="B114" s="273" t="s">
        <v>465</v>
      </c>
      <c r="C114" s="273" t="s">
        <v>464</v>
      </c>
      <c r="D114" s="273" t="s">
        <v>463</v>
      </c>
      <c r="E114" s="273" t="s">
        <v>462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63"/>
  <sheetViews>
    <sheetView tabSelected="1" topLeftCell="A121" workbookViewId="0">
      <selection activeCell="N150" sqref="N150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262</v>
      </c>
    </row>
    <row r="2" spans="1:26" ht="15.75" thickBot="1">
      <c r="E2" s="176" t="s">
        <v>261</v>
      </c>
      <c r="F2" s="170" t="s">
        <v>181</v>
      </c>
      <c r="G2" s="170" t="s">
        <v>52</v>
      </c>
      <c r="H2" s="170" t="s">
        <v>53</v>
      </c>
      <c r="I2" s="150" t="s">
        <v>260</v>
      </c>
      <c r="K2" s="191" t="s">
        <v>323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777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255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260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261</v>
      </c>
      <c r="F11" s="170" t="s">
        <v>181</v>
      </c>
      <c r="G11" s="170" t="s">
        <v>52</v>
      </c>
      <c r="H11" s="170" t="s">
        <v>53</v>
      </c>
      <c r="I11" s="150" t="s">
        <v>260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700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701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496" t="s">
        <v>202</v>
      </c>
      <c r="G15" s="497"/>
      <c r="H15" s="498"/>
      <c r="I15" s="496" t="s">
        <v>266</v>
      </c>
      <c r="J15" s="497"/>
      <c r="K15" s="498"/>
      <c r="L15" s="496" t="s">
        <v>277</v>
      </c>
      <c r="M15" s="497"/>
      <c r="N15" s="498"/>
      <c r="O15" s="496" t="s">
        <v>278</v>
      </c>
      <c r="P15" s="497"/>
      <c r="Q15" s="498"/>
      <c r="R15" s="496" t="s">
        <v>279</v>
      </c>
      <c r="S15" s="497"/>
      <c r="T15" s="498"/>
      <c r="U15" s="496" t="s">
        <v>492</v>
      </c>
      <c r="V15" s="497"/>
      <c r="W15" s="498"/>
      <c r="X15" s="496" t="s">
        <v>538</v>
      </c>
      <c r="Y15" s="497"/>
      <c r="Z15" s="498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267</v>
      </c>
      <c r="J16" s="201" t="s">
        <v>264</v>
      </c>
      <c r="K16" s="203" t="s">
        <v>265</v>
      </c>
      <c r="L16" s="200" t="s">
        <v>268</v>
      </c>
      <c r="M16" s="201" t="s">
        <v>269</v>
      </c>
      <c r="N16" s="203" t="s">
        <v>270</v>
      </c>
      <c r="O16" s="200" t="s">
        <v>271</v>
      </c>
      <c r="P16" s="201" t="s">
        <v>272</v>
      </c>
      <c r="Q16" s="203" t="s">
        <v>273</v>
      </c>
      <c r="R16" s="200" t="s">
        <v>274</v>
      </c>
      <c r="S16" s="201" t="s">
        <v>275</v>
      </c>
      <c r="T16" s="202" t="s">
        <v>276</v>
      </c>
      <c r="U16" s="361" t="s">
        <v>489</v>
      </c>
      <c r="V16" s="362" t="s">
        <v>490</v>
      </c>
      <c r="W16" s="363" t="s">
        <v>491</v>
      </c>
      <c r="X16" s="361" t="s">
        <v>535</v>
      </c>
      <c r="Y16" s="362" t="s">
        <v>536</v>
      </c>
      <c r="Z16" s="363" t="s">
        <v>537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6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6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255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256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257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522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Table9[[#This Row],[Dis. 1 price (SC or HC)]]/$B$17</f>
        <v>66.666666666666671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576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Table9[[#This Row],[Dis. 1 price (SC or HC)]]/$B$17</f>
        <v>83.333333333333329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2" t="s">
        <v>781</v>
      </c>
      <c r="F31" s="161">
        <v>550</v>
      </c>
      <c r="G31" s="171">
        <f>F31/$B$3</f>
        <v>55</v>
      </c>
      <c r="H31" s="163">
        <f>ROUND(F31/$B$4,2)</f>
        <v>36.67</v>
      </c>
      <c r="I31" s="500">
        <v>600000</v>
      </c>
      <c r="J31" s="171">
        <f>(Table9[[#This Row],[Dis. 1 price (SC or HC)]]/($B$17/$B$3))/$B$3</f>
        <v>100</v>
      </c>
      <c r="K31" s="171">
        <f>Table9[[#This Row],[Dis. 1 price (SC or HC)]]/$B$18</f>
        <v>39.215686274509807</v>
      </c>
      <c r="L31" s="501">
        <v>55</v>
      </c>
      <c r="M31" s="171">
        <f>Table9[[#This Row],[Dis. 2 price (SC or HC)]]/$B$3</f>
        <v>5.5</v>
      </c>
      <c r="N31" s="171">
        <f>Table9[[#This Row],[Dis. 2 price (SC or HC)]]/$B$4</f>
        <v>3.6666666666666665</v>
      </c>
      <c r="O31" s="501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501">
        <v>70</v>
      </c>
      <c r="S31" s="171">
        <f>Table9[[#This Row],[Dis. 4 price (SC or HC)]]/$B$3</f>
        <v>7</v>
      </c>
      <c r="T31" s="171">
        <f>Table9[[#This Row],[Dis. 4 price (SC or HC)]]/$B$4</f>
        <v>4.666666666666667</v>
      </c>
      <c r="U31" s="468" t="s">
        <v>151</v>
      </c>
      <c r="V31" s="207" t="s">
        <v>151</v>
      </c>
      <c r="W31" s="207" t="s">
        <v>151</v>
      </c>
      <c r="X31" s="468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93" t="s">
        <v>235</v>
      </c>
      <c r="F32" s="161">
        <v>100</v>
      </c>
      <c r="G32" s="179">
        <f>F32/$B$3</f>
        <v>10</v>
      </c>
      <c r="H32" s="164">
        <f t="shared" si="1"/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206" t="s">
        <v>151</v>
      </c>
      <c r="W32" s="206" t="s">
        <v>151</v>
      </c>
      <c r="X32" s="204" t="s">
        <v>151</v>
      </c>
      <c r="Y32" s="206" t="s">
        <v>151</v>
      </c>
      <c r="Z32" s="206" t="s">
        <v>151</v>
      </c>
    </row>
    <row r="33" spans="1:26">
      <c r="A33" s="148" t="s">
        <v>258</v>
      </c>
      <c r="B33" s="148" t="s">
        <v>259</v>
      </c>
      <c r="C33" s="105"/>
      <c r="E33" s="393" t="s">
        <v>236</v>
      </c>
      <c r="F33" s="161">
        <v>100</v>
      </c>
      <c r="G33" s="179">
        <f>F33/$B$3</f>
        <v>10</v>
      </c>
      <c r="H33" s="164">
        <f>ROUND(F33/$B$4,2)</f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179" t="s">
        <v>151</v>
      </c>
      <c r="W33" s="179" t="s">
        <v>151</v>
      </c>
      <c r="X33" s="204" t="s">
        <v>151</v>
      </c>
      <c r="Y33" s="179" t="s">
        <v>151</v>
      </c>
      <c r="Z33" s="179" t="s">
        <v>151</v>
      </c>
    </row>
    <row r="34" spans="1:26">
      <c r="A34" s="162">
        <v>10</v>
      </c>
      <c r="B34" s="157">
        <f>A34/B3</f>
        <v>1</v>
      </c>
      <c r="C34" s="105"/>
      <c r="E34" s="393" t="s">
        <v>237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E35" s="393" t="s">
        <v>238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206" t="s">
        <v>151</v>
      </c>
      <c r="W35" s="206" t="s">
        <v>151</v>
      </c>
      <c r="X35" s="204" t="s">
        <v>151</v>
      </c>
      <c r="Y35" s="206" t="s">
        <v>151</v>
      </c>
      <c r="Z35" s="206" t="s">
        <v>151</v>
      </c>
    </row>
    <row r="36" spans="1:26" ht="18.75">
      <c r="A36" s="30" t="s">
        <v>231</v>
      </c>
      <c r="B36" s="36"/>
      <c r="C36" s="36"/>
      <c r="E36" s="393" t="s">
        <v>239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179" t="s">
        <v>151</v>
      </c>
      <c r="W36" s="179" t="s">
        <v>151</v>
      </c>
      <c r="X36" s="204" t="s">
        <v>151</v>
      </c>
      <c r="Y36" s="179" t="s">
        <v>151</v>
      </c>
      <c r="Z36" s="179" t="s">
        <v>151</v>
      </c>
    </row>
    <row r="37" spans="1:26" ht="15.75" thickBot="1"/>
    <row r="38" spans="1:26">
      <c r="A38" s="4" t="s">
        <v>52</v>
      </c>
      <c r="B38" s="3">
        <f>B3/F3</f>
        <v>1</v>
      </c>
      <c r="C38" s="4" t="s">
        <v>54</v>
      </c>
      <c r="E38" s="182">
        <f>B17/B3</f>
        <v>600</v>
      </c>
      <c r="F38" s="183" t="s">
        <v>49</v>
      </c>
      <c r="G38" s="184" t="s">
        <v>52</v>
      </c>
      <c r="M38" s="198"/>
    </row>
    <row r="39" spans="1:26" ht="15.75" thickBot="1">
      <c r="A39" s="4" t="s">
        <v>53</v>
      </c>
      <c r="B39" s="5">
        <f>ROUND(B4/F3,1)</f>
        <v>1.5</v>
      </c>
      <c r="C39" s="4" t="s">
        <v>54</v>
      </c>
      <c r="E39" s="185">
        <f>B18/B4</f>
        <v>1019.9999999999999</v>
      </c>
      <c r="F39" s="186" t="s">
        <v>49</v>
      </c>
      <c r="G39" s="187" t="s">
        <v>53</v>
      </c>
      <c r="M39" s="100"/>
    </row>
    <row r="41" spans="1:26" ht="18.75">
      <c r="A41" s="30" t="s">
        <v>187</v>
      </c>
      <c r="B41" s="36"/>
      <c r="C41" s="36"/>
      <c r="D41" t="s">
        <v>322</v>
      </c>
      <c r="E41" s="30" t="s">
        <v>232</v>
      </c>
      <c r="F41" s="36"/>
      <c r="G41" s="36"/>
      <c r="I41" s="30" t="s">
        <v>250</v>
      </c>
      <c r="J41" s="36"/>
      <c r="K41" s="36"/>
      <c r="M41" s="30" t="s">
        <v>251</v>
      </c>
      <c r="N41" s="36"/>
      <c r="O41" s="36"/>
    </row>
    <row r="43" spans="1:26">
      <c r="A43" s="4" t="s">
        <v>52</v>
      </c>
      <c r="B43" s="3">
        <f>B3/F7</f>
        <v>0.5</v>
      </c>
      <c r="C43" s="4" t="s">
        <v>54</v>
      </c>
      <c r="E43" s="4" t="s">
        <v>52</v>
      </c>
      <c r="F43" s="3">
        <f>B3/F4</f>
        <v>0.5</v>
      </c>
      <c r="G43" s="4" t="s">
        <v>54</v>
      </c>
      <c r="I43" s="4" t="s">
        <v>52</v>
      </c>
      <c r="J43" s="3">
        <f>B3/F12</f>
        <v>0.33333333333333331</v>
      </c>
      <c r="K43" s="4" t="s">
        <v>54</v>
      </c>
      <c r="M43" s="4" t="s">
        <v>52</v>
      </c>
      <c r="N43" s="3">
        <f>B3/F13</f>
        <v>0.2</v>
      </c>
      <c r="O43" s="4" t="s">
        <v>54</v>
      </c>
    </row>
    <row r="44" spans="1:26">
      <c r="A44" s="4" t="s">
        <v>53</v>
      </c>
      <c r="B44" s="5">
        <f>ROUND(B4/F7,1)</f>
        <v>0.8</v>
      </c>
      <c r="C44" s="4" t="s">
        <v>54</v>
      </c>
      <c r="E44" s="4" t="s">
        <v>53</v>
      </c>
      <c r="F44" s="3">
        <f>B4/F4</f>
        <v>0.75</v>
      </c>
      <c r="G44" s="4" t="s">
        <v>54</v>
      </c>
      <c r="I44" s="4" t="s">
        <v>53</v>
      </c>
      <c r="J44" s="3">
        <f>B4/F12</f>
        <v>0.5</v>
      </c>
      <c r="K44" s="4" t="s">
        <v>54</v>
      </c>
      <c r="M44" s="4" t="s">
        <v>53</v>
      </c>
      <c r="N44" s="3">
        <f>B4/F13</f>
        <v>0.3</v>
      </c>
      <c r="O44" s="4" t="s">
        <v>54</v>
      </c>
    </row>
    <row r="46" spans="1:26" ht="18.75">
      <c r="A46" s="30" t="s">
        <v>188</v>
      </c>
      <c r="B46" s="36"/>
      <c r="C46" s="36"/>
    </row>
    <row r="48" spans="1:26">
      <c r="A48" s="4" t="s">
        <v>52</v>
      </c>
      <c r="B48" s="3">
        <f>B3/F8</f>
        <v>0.2</v>
      </c>
      <c r="C48" s="4" t="s">
        <v>54</v>
      </c>
    </row>
    <row r="49" spans="1:15">
      <c r="A49" s="4" t="s">
        <v>53</v>
      </c>
      <c r="B49" s="5">
        <f>ROUND(B4/F8,1)</f>
        <v>0.3</v>
      </c>
      <c r="C49" s="4" t="s">
        <v>54</v>
      </c>
    </row>
    <row r="51" spans="1:15" ht="18.75">
      <c r="A51" s="30" t="s">
        <v>189</v>
      </c>
      <c r="B51" s="36"/>
      <c r="C51" s="36"/>
    </row>
    <row r="53" spans="1:15">
      <c r="A53" s="4" t="s">
        <v>52</v>
      </c>
      <c r="B53" s="3">
        <f>B3/F9</f>
        <v>0.1</v>
      </c>
      <c r="C53" s="4" t="s">
        <v>54</v>
      </c>
    </row>
    <row r="54" spans="1:15">
      <c r="A54" s="4" t="s">
        <v>53</v>
      </c>
      <c r="B54" s="5">
        <f>ROUND(B4/F9,1)</f>
        <v>0.2</v>
      </c>
      <c r="C54" s="4" t="s">
        <v>54</v>
      </c>
    </row>
    <row r="56" spans="1:15" ht="15" customHeight="1">
      <c r="A56" s="499" t="s">
        <v>263</v>
      </c>
      <c r="B56" s="499"/>
      <c r="C56" s="499"/>
      <c r="D56" s="499"/>
      <c r="E56" s="499"/>
      <c r="F56" s="499"/>
      <c r="G56" s="499"/>
      <c r="H56" s="499"/>
      <c r="I56" s="499"/>
      <c r="J56" s="499"/>
      <c r="K56" s="499"/>
      <c r="L56" s="499"/>
      <c r="M56" s="499"/>
      <c r="N56" s="499"/>
      <c r="O56" s="499"/>
    </row>
    <row r="57" spans="1:15" ht="15" customHeight="1">
      <c r="A57" s="499"/>
      <c r="B57" s="499"/>
      <c r="C57" s="499"/>
      <c r="D57" s="499"/>
      <c r="E57" s="499"/>
      <c r="F57" s="499"/>
      <c r="G57" s="499"/>
      <c r="H57" s="499"/>
      <c r="I57" s="499"/>
      <c r="J57" s="499"/>
      <c r="K57" s="499"/>
      <c r="L57" s="499"/>
      <c r="M57" s="499"/>
      <c r="N57" s="499"/>
      <c r="O57" s="499"/>
    </row>
    <row r="58" spans="1:15">
      <c r="A58" s="1"/>
      <c r="B58" s="1"/>
    </row>
    <row r="59" spans="1:15" ht="15.75">
      <c r="A59" s="36" t="s">
        <v>120</v>
      </c>
      <c r="B59" s="36"/>
      <c r="C59" s="36"/>
      <c r="D59" s="36"/>
      <c r="F59" s="36" t="s">
        <v>254</v>
      </c>
      <c r="G59" s="36"/>
      <c r="H59" s="36"/>
      <c r="I59" s="36"/>
      <c r="K59" s="36" t="s">
        <v>321</v>
      </c>
      <c r="L59" s="36"/>
      <c r="M59" s="36"/>
      <c r="N59" s="36"/>
    </row>
    <row r="61" spans="1:15">
      <c r="A61" s="126" t="s">
        <v>121</v>
      </c>
      <c r="B61" s="136" t="s">
        <v>122</v>
      </c>
      <c r="C61" s="136" t="s">
        <v>204</v>
      </c>
      <c r="D61" s="137" t="s">
        <v>205</v>
      </c>
      <c r="F61" s="137" t="s">
        <v>201</v>
      </c>
      <c r="G61" s="126" t="s">
        <v>248</v>
      </c>
      <c r="H61" s="127" t="s">
        <v>244</v>
      </c>
      <c r="I61" s="128" t="s">
        <v>245</v>
      </c>
      <c r="K61" s="137" t="s">
        <v>122</v>
      </c>
      <c r="L61" s="126" t="s">
        <v>248</v>
      </c>
      <c r="M61" s="127" t="s">
        <v>246</v>
      </c>
      <c r="N61" s="128" t="s">
        <v>247</v>
      </c>
    </row>
    <row r="62" spans="1:15">
      <c r="A62" s="443" t="s">
        <v>44</v>
      </c>
      <c r="B62" s="138">
        <v>0</v>
      </c>
      <c r="C62" s="139">
        <f>B62/$B$3</f>
        <v>0</v>
      </c>
      <c r="D62" s="140">
        <f>B62/$B$4</f>
        <v>0</v>
      </c>
      <c r="F62" s="209">
        <v>1</v>
      </c>
      <c r="G62" s="129" t="s">
        <v>44</v>
      </c>
      <c r="H62" s="124">
        <f>B3*F62</f>
        <v>10</v>
      </c>
      <c r="I62" s="130">
        <f>B4*F62</f>
        <v>15</v>
      </c>
      <c r="K62" s="208">
        <v>1</v>
      </c>
      <c r="L62" s="129" t="s">
        <v>44</v>
      </c>
      <c r="M62" s="193">
        <f>ROUND((1/B3)*K62,3)</f>
        <v>0.1</v>
      </c>
      <c r="N62" s="194">
        <f>ROUND((1/B4)*K62,3)</f>
        <v>6.7000000000000004E-2</v>
      </c>
    </row>
    <row r="63" spans="1:15" ht="15.75" thickBot="1">
      <c r="A63" s="444" t="s">
        <v>77</v>
      </c>
      <c r="B63" s="211">
        <v>0</v>
      </c>
      <c r="C63" s="212">
        <f>(B63/B17)</f>
        <v>0</v>
      </c>
      <c r="D63" s="213">
        <f>(B63/B18)</f>
        <v>0</v>
      </c>
      <c r="F63" s="225">
        <v>1</v>
      </c>
      <c r="G63" s="210" t="s">
        <v>77</v>
      </c>
      <c r="H63" s="223">
        <f>B17*F63</f>
        <v>6000</v>
      </c>
      <c r="I63" s="224">
        <f>B18*F63</f>
        <v>15299.999999999998</v>
      </c>
      <c r="K63" s="231">
        <v>1</v>
      </c>
      <c r="L63" s="210" t="s">
        <v>77</v>
      </c>
      <c r="M63" s="232">
        <f>ROUND((1/B17)*K63,10)</f>
        <v>1.6666669999999999E-4</v>
      </c>
      <c r="N63" s="233">
        <f>ROUND((1/B18)*K63,5)</f>
        <v>6.9999999999999994E-5</v>
      </c>
    </row>
    <row r="64" spans="1:15">
      <c r="A64" s="443" t="s">
        <v>228</v>
      </c>
      <c r="B64" s="138">
        <v>0</v>
      </c>
      <c r="C64" s="139">
        <f>B64/B38</f>
        <v>0</v>
      </c>
      <c r="D64" s="140">
        <f>B64/B39</f>
        <v>0</v>
      </c>
      <c r="F64" s="209">
        <v>1</v>
      </c>
      <c r="G64" s="129" t="s">
        <v>230</v>
      </c>
      <c r="H64" s="124">
        <f>ROUND((B3/F3)*F64,1)</f>
        <v>1</v>
      </c>
      <c r="I64" s="130">
        <f>(B4/F3)*F64</f>
        <v>1.5</v>
      </c>
      <c r="K64" s="208">
        <v>1</v>
      </c>
      <c r="L64" s="129" t="s">
        <v>230</v>
      </c>
      <c r="M64" s="193">
        <f>G3*K64</f>
        <v>1</v>
      </c>
      <c r="N64" s="194">
        <f>H3*K64</f>
        <v>0.67</v>
      </c>
    </row>
    <row r="65" spans="1:14">
      <c r="A65" s="445" t="s">
        <v>777</v>
      </c>
      <c r="B65" s="141">
        <v>0</v>
      </c>
      <c r="C65" s="142">
        <f>B65/F43</f>
        <v>0</v>
      </c>
      <c r="D65" s="143">
        <f>B65/F44</f>
        <v>0</v>
      </c>
      <c r="F65" s="209">
        <v>1</v>
      </c>
      <c r="G65" s="131" t="s">
        <v>233</v>
      </c>
      <c r="H65" s="125">
        <f>ROUND((B3/F4)*F65,1)</f>
        <v>0.5</v>
      </c>
      <c r="I65" s="132">
        <f>(B4/F4)*F65</f>
        <v>0.75</v>
      </c>
      <c r="K65" s="208">
        <v>1</v>
      </c>
      <c r="L65" s="131" t="s">
        <v>233</v>
      </c>
      <c r="M65" s="192">
        <f>G4*K65</f>
        <v>2</v>
      </c>
      <c r="N65" s="195">
        <f>H4*K65</f>
        <v>1.33</v>
      </c>
    </row>
    <row r="66" spans="1:14">
      <c r="A66" s="443" t="s">
        <v>700</v>
      </c>
      <c r="B66" s="138">
        <v>0</v>
      </c>
      <c r="C66" s="139">
        <f>B66/J43</f>
        <v>0</v>
      </c>
      <c r="D66" s="140">
        <f>B66/J44</f>
        <v>0</v>
      </c>
      <c r="F66" s="209">
        <v>1</v>
      </c>
      <c r="G66" s="129" t="s">
        <v>252</v>
      </c>
      <c r="H66" s="124">
        <f>ROUND((B3/F12)*F66,2)</f>
        <v>0.33</v>
      </c>
      <c r="I66" s="130">
        <f>(B4/F12)*F66</f>
        <v>0.5</v>
      </c>
      <c r="K66" s="208">
        <v>1</v>
      </c>
      <c r="L66" s="129" t="s">
        <v>252</v>
      </c>
      <c r="M66" s="193">
        <f>G12*K66</f>
        <v>3</v>
      </c>
      <c r="N66" s="194">
        <f>H12*K66</f>
        <v>2</v>
      </c>
    </row>
    <row r="67" spans="1:14" ht="15.75" thickBot="1">
      <c r="A67" s="446" t="s">
        <v>701</v>
      </c>
      <c r="B67" s="211">
        <v>0</v>
      </c>
      <c r="C67" s="212">
        <f>B67/N43</f>
        <v>0</v>
      </c>
      <c r="D67" s="213">
        <f>B67/N44</f>
        <v>0</v>
      </c>
      <c r="F67" s="225">
        <v>1</v>
      </c>
      <c r="G67" s="210" t="s">
        <v>253</v>
      </c>
      <c r="H67" s="223">
        <f>ROUND((B3/F13)*F67,2)</f>
        <v>0.2</v>
      </c>
      <c r="I67" s="224">
        <f>(B4/F13)*F67</f>
        <v>0.3</v>
      </c>
      <c r="K67" s="231">
        <v>1</v>
      </c>
      <c r="L67" s="210" t="s">
        <v>253</v>
      </c>
      <c r="M67" s="232">
        <f>G13*K67</f>
        <v>5</v>
      </c>
      <c r="N67" s="233">
        <f>H13*K67</f>
        <v>3.33</v>
      </c>
    </row>
    <row r="68" spans="1:14">
      <c r="A68" s="443" t="s">
        <v>123</v>
      </c>
      <c r="B68" s="138">
        <v>0</v>
      </c>
      <c r="C68" s="139">
        <f>B68/B43</f>
        <v>0</v>
      </c>
      <c r="D68" s="140">
        <f>B68/B44</f>
        <v>0</v>
      </c>
      <c r="F68" s="209">
        <v>1</v>
      </c>
      <c r="G68" s="129" t="s">
        <v>123</v>
      </c>
      <c r="H68" s="124">
        <f>ROUND((B3/F7)*F68,1)</f>
        <v>0.5</v>
      </c>
      <c r="I68" s="130">
        <f>(B4/F7)*F68</f>
        <v>0.75</v>
      </c>
      <c r="K68" s="208">
        <v>1</v>
      </c>
      <c r="L68" s="129" t="s">
        <v>123</v>
      </c>
      <c r="M68" s="193">
        <f>G7*K68</f>
        <v>2</v>
      </c>
      <c r="N68" s="194">
        <f>H7*K68</f>
        <v>1.33</v>
      </c>
    </row>
    <row r="69" spans="1:14">
      <c r="A69" s="445" t="s">
        <v>124</v>
      </c>
      <c r="B69" s="141">
        <v>0</v>
      </c>
      <c r="C69" s="142">
        <f>B69/B48</f>
        <v>0</v>
      </c>
      <c r="D69" s="143">
        <f>B69/B49</f>
        <v>0</v>
      </c>
      <c r="F69" s="209">
        <v>1</v>
      </c>
      <c r="G69" s="131" t="s">
        <v>124</v>
      </c>
      <c r="H69" s="125">
        <f>ROUND((B3/F8)*F69,1)</f>
        <v>0.2</v>
      </c>
      <c r="I69" s="132">
        <f>(B4/F8)*F69</f>
        <v>0.3</v>
      </c>
      <c r="K69" s="208">
        <v>1</v>
      </c>
      <c r="L69" s="131" t="s">
        <v>124</v>
      </c>
      <c r="M69" s="192">
        <f>G8*K69</f>
        <v>5</v>
      </c>
      <c r="N69" s="195">
        <f>H8*K69</f>
        <v>3.33</v>
      </c>
    </row>
    <row r="70" spans="1:14" ht="15.75" thickBot="1">
      <c r="A70" s="447" t="s">
        <v>125</v>
      </c>
      <c r="B70" s="215">
        <v>0</v>
      </c>
      <c r="C70" s="216">
        <f>B70/B53</f>
        <v>0</v>
      </c>
      <c r="D70" s="217">
        <f>B70/B54</f>
        <v>0</v>
      </c>
      <c r="F70" s="225">
        <v>1</v>
      </c>
      <c r="G70" s="214" t="s">
        <v>125</v>
      </c>
      <c r="H70" s="226">
        <f>ROUND((B3/F9)*F70,1)</f>
        <v>0.1</v>
      </c>
      <c r="I70" s="227">
        <f>(B4/F9)*F70</f>
        <v>0.15</v>
      </c>
      <c r="K70" s="231">
        <v>1</v>
      </c>
      <c r="L70" s="214" t="s">
        <v>125</v>
      </c>
      <c r="M70" s="234">
        <f>G9*K70</f>
        <v>10</v>
      </c>
      <c r="N70" s="235">
        <f>H9*K70</f>
        <v>6.67</v>
      </c>
    </row>
    <row r="71" spans="1:14">
      <c r="A71" s="445" t="s">
        <v>686</v>
      </c>
      <c r="B71" s="141">
        <v>0</v>
      </c>
      <c r="C71" s="142">
        <f t="shared" ref="C71:C90" si="3">G17*B71</f>
        <v>0</v>
      </c>
      <c r="D71" s="143">
        <f t="shared" ref="D71:D90" si="4">H17*B71</f>
        <v>0</v>
      </c>
      <c r="F71" s="209">
        <v>1</v>
      </c>
      <c r="G71" s="131" t="s">
        <v>203</v>
      </c>
      <c r="H71" s="125">
        <f t="shared" ref="H71:H90" si="5">ROUND(F71/G17,3)</f>
        <v>1</v>
      </c>
      <c r="I71" s="132">
        <f t="shared" ref="I71:I90" si="6">ROUND(F71/H17,3)</f>
        <v>1.4930000000000001</v>
      </c>
      <c r="K71" s="208">
        <v>1</v>
      </c>
      <c r="L71" s="131" t="s">
        <v>203</v>
      </c>
      <c r="M71" s="192">
        <f t="shared" ref="M71:M90" si="7">G17*K71</f>
        <v>1</v>
      </c>
      <c r="N71" s="195">
        <f t="shared" ref="N71:N90" si="8">H17*K71</f>
        <v>0.67</v>
      </c>
    </row>
    <row r="72" spans="1:14">
      <c r="A72" s="448" t="s">
        <v>687</v>
      </c>
      <c r="B72" s="144">
        <v>0</v>
      </c>
      <c r="C72" s="382">
        <f t="shared" si="3"/>
        <v>0</v>
      </c>
      <c r="D72" s="383">
        <f t="shared" si="4"/>
        <v>0</v>
      </c>
      <c r="F72" s="228">
        <v>1</v>
      </c>
      <c r="G72" s="381" t="s">
        <v>206</v>
      </c>
      <c r="H72" s="398">
        <f t="shared" si="5"/>
        <v>0.28599999999999998</v>
      </c>
      <c r="I72" s="399">
        <f t="shared" si="6"/>
        <v>0.42899999999999999</v>
      </c>
      <c r="K72" s="236">
        <v>1</v>
      </c>
      <c r="L72" s="381" t="s">
        <v>206</v>
      </c>
      <c r="M72" s="412">
        <f t="shared" si="7"/>
        <v>3.5</v>
      </c>
      <c r="N72" s="413">
        <f t="shared" si="8"/>
        <v>2.33</v>
      </c>
    </row>
    <row r="73" spans="1:14">
      <c r="A73" s="449" t="s">
        <v>688</v>
      </c>
      <c r="B73" s="141">
        <v>0</v>
      </c>
      <c r="C73" s="377">
        <f t="shared" si="3"/>
        <v>0</v>
      </c>
      <c r="D73" s="378">
        <f t="shared" si="4"/>
        <v>0</v>
      </c>
      <c r="F73" s="209">
        <v>1</v>
      </c>
      <c r="G73" s="366" t="s">
        <v>207</v>
      </c>
      <c r="H73" s="379">
        <f t="shared" si="5"/>
        <v>0.25</v>
      </c>
      <c r="I73" s="380">
        <f t="shared" si="6"/>
        <v>0.375</v>
      </c>
      <c r="K73" s="208">
        <v>1</v>
      </c>
      <c r="L73" s="366" t="s">
        <v>207</v>
      </c>
      <c r="M73" s="408">
        <f t="shared" si="7"/>
        <v>4</v>
      </c>
      <c r="N73" s="409">
        <f t="shared" si="8"/>
        <v>2.67</v>
      </c>
    </row>
    <row r="74" spans="1:14">
      <c r="A74" s="443" t="s">
        <v>689</v>
      </c>
      <c r="B74" s="138">
        <v>0</v>
      </c>
      <c r="C74" s="139">
        <f t="shared" si="3"/>
        <v>0</v>
      </c>
      <c r="D74" s="140">
        <f t="shared" si="4"/>
        <v>0</v>
      </c>
      <c r="F74" s="209">
        <v>1</v>
      </c>
      <c r="G74" s="129" t="s">
        <v>208</v>
      </c>
      <c r="H74" s="124">
        <f t="shared" si="5"/>
        <v>0.2</v>
      </c>
      <c r="I74" s="130">
        <f t="shared" si="6"/>
        <v>0.3</v>
      </c>
      <c r="K74" s="208">
        <v>1</v>
      </c>
      <c r="L74" s="129" t="s">
        <v>208</v>
      </c>
      <c r="M74" s="193">
        <f t="shared" si="7"/>
        <v>5</v>
      </c>
      <c r="N74" s="194">
        <f t="shared" si="8"/>
        <v>3.33</v>
      </c>
    </row>
    <row r="75" spans="1:14">
      <c r="A75" s="450" t="s">
        <v>690</v>
      </c>
      <c r="B75" s="219">
        <v>0</v>
      </c>
      <c r="C75" s="373">
        <f t="shared" si="3"/>
        <v>0</v>
      </c>
      <c r="D75" s="374">
        <f t="shared" si="4"/>
        <v>0</v>
      </c>
      <c r="F75" s="228">
        <v>1</v>
      </c>
      <c r="G75" s="372" t="s">
        <v>209</v>
      </c>
      <c r="H75" s="403">
        <f t="shared" si="5"/>
        <v>0.125</v>
      </c>
      <c r="I75" s="404">
        <f t="shared" si="6"/>
        <v>0.188</v>
      </c>
      <c r="K75" s="236">
        <v>1</v>
      </c>
      <c r="L75" s="372" t="s">
        <v>209</v>
      </c>
      <c r="M75" s="375">
        <f t="shared" si="7"/>
        <v>8</v>
      </c>
      <c r="N75" s="376">
        <f t="shared" si="8"/>
        <v>5.33</v>
      </c>
    </row>
    <row r="76" spans="1:14">
      <c r="A76" s="451" t="s">
        <v>691</v>
      </c>
      <c r="B76" s="138">
        <v>0</v>
      </c>
      <c r="C76" s="368">
        <f t="shared" si="3"/>
        <v>0</v>
      </c>
      <c r="D76" s="369">
        <f t="shared" si="4"/>
        <v>0</v>
      </c>
      <c r="F76" s="209">
        <v>1</v>
      </c>
      <c r="G76" s="367" t="s">
        <v>210</v>
      </c>
      <c r="H76" s="370">
        <f t="shared" si="5"/>
        <v>0.1</v>
      </c>
      <c r="I76" s="371">
        <f t="shared" si="6"/>
        <v>0.15</v>
      </c>
      <c r="K76" s="208">
        <v>1</v>
      </c>
      <c r="L76" s="367" t="s">
        <v>210</v>
      </c>
      <c r="M76" s="414">
        <f t="shared" si="7"/>
        <v>10</v>
      </c>
      <c r="N76" s="415">
        <f t="shared" si="8"/>
        <v>6.67</v>
      </c>
    </row>
    <row r="77" spans="1:14">
      <c r="A77" s="445" t="s">
        <v>692</v>
      </c>
      <c r="B77" s="141">
        <v>0</v>
      </c>
      <c r="C77" s="142">
        <f t="shared" si="3"/>
        <v>0</v>
      </c>
      <c r="D77" s="143">
        <f t="shared" si="4"/>
        <v>0</v>
      </c>
      <c r="F77" s="209">
        <v>1</v>
      </c>
      <c r="G77" s="131" t="s">
        <v>211</v>
      </c>
      <c r="H77" s="125">
        <f t="shared" si="5"/>
        <v>0.1</v>
      </c>
      <c r="I77" s="132">
        <f t="shared" si="6"/>
        <v>0.15</v>
      </c>
      <c r="K77" s="208">
        <v>1</v>
      </c>
      <c r="L77" s="131" t="s">
        <v>211</v>
      </c>
      <c r="M77" s="192">
        <f t="shared" si="7"/>
        <v>10</v>
      </c>
      <c r="N77" s="195">
        <f t="shared" si="8"/>
        <v>6.67</v>
      </c>
    </row>
    <row r="78" spans="1:14">
      <c r="A78" s="448" t="s">
        <v>693</v>
      </c>
      <c r="B78" s="144">
        <v>0</v>
      </c>
      <c r="C78" s="382">
        <f t="shared" si="3"/>
        <v>0</v>
      </c>
      <c r="D78" s="383">
        <f t="shared" si="4"/>
        <v>0</v>
      </c>
      <c r="F78" s="228">
        <v>1</v>
      </c>
      <c r="G78" s="381" t="s">
        <v>212</v>
      </c>
      <c r="H78" s="398">
        <f t="shared" si="5"/>
        <v>0.1</v>
      </c>
      <c r="I78" s="399">
        <f t="shared" si="6"/>
        <v>0.15</v>
      </c>
      <c r="K78" s="236">
        <v>1</v>
      </c>
      <c r="L78" s="381" t="s">
        <v>212</v>
      </c>
      <c r="M78" s="412">
        <f t="shared" si="7"/>
        <v>10</v>
      </c>
      <c r="N78" s="413">
        <f t="shared" si="8"/>
        <v>6.67</v>
      </c>
    </row>
    <row r="79" spans="1:14">
      <c r="A79" s="449" t="s">
        <v>694</v>
      </c>
      <c r="B79" s="141">
        <v>0</v>
      </c>
      <c r="C79" s="377">
        <f t="shared" si="3"/>
        <v>0</v>
      </c>
      <c r="D79" s="378">
        <f t="shared" si="4"/>
        <v>0</v>
      </c>
      <c r="F79" s="209">
        <v>1</v>
      </c>
      <c r="G79" s="366" t="s">
        <v>213</v>
      </c>
      <c r="H79" s="379">
        <f t="shared" si="5"/>
        <v>0.04</v>
      </c>
      <c r="I79" s="380">
        <f t="shared" si="6"/>
        <v>0.06</v>
      </c>
      <c r="K79" s="208">
        <v>1</v>
      </c>
      <c r="L79" s="366" t="s">
        <v>213</v>
      </c>
      <c r="M79" s="408">
        <f t="shared" si="7"/>
        <v>25</v>
      </c>
      <c r="N79" s="409">
        <f t="shared" si="8"/>
        <v>16.670000000000002</v>
      </c>
    </row>
    <row r="80" spans="1:14">
      <c r="A80" s="443" t="s">
        <v>695</v>
      </c>
      <c r="B80" s="138">
        <v>0</v>
      </c>
      <c r="C80" s="139">
        <f t="shared" si="3"/>
        <v>0</v>
      </c>
      <c r="D80" s="140">
        <f t="shared" si="4"/>
        <v>0</v>
      </c>
      <c r="F80" s="209">
        <v>1</v>
      </c>
      <c r="G80" s="129" t="s">
        <v>214</v>
      </c>
      <c r="H80" s="124">
        <f t="shared" si="5"/>
        <v>0.04</v>
      </c>
      <c r="I80" s="130">
        <f t="shared" si="6"/>
        <v>0.06</v>
      </c>
      <c r="K80" s="208">
        <v>1</v>
      </c>
      <c r="L80" s="129" t="s">
        <v>214</v>
      </c>
      <c r="M80" s="193">
        <f t="shared" si="7"/>
        <v>25</v>
      </c>
      <c r="N80" s="194">
        <f t="shared" si="8"/>
        <v>16.670000000000002</v>
      </c>
    </row>
    <row r="81" spans="1:14">
      <c r="A81" s="450" t="s">
        <v>696</v>
      </c>
      <c r="B81" s="219">
        <v>0</v>
      </c>
      <c r="C81" s="373">
        <f t="shared" si="3"/>
        <v>0</v>
      </c>
      <c r="D81" s="374">
        <f t="shared" si="4"/>
        <v>0</v>
      </c>
      <c r="F81" s="228">
        <v>1</v>
      </c>
      <c r="G81" s="372" t="s">
        <v>215</v>
      </c>
      <c r="H81" s="403">
        <f t="shared" si="5"/>
        <v>0.04</v>
      </c>
      <c r="I81" s="404">
        <f t="shared" si="6"/>
        <v>0.06</v>
      </c>
      <c r="K81" s="236">
        <v>1</v>
      </c>
      <c r="L81" s="372" t="s">
        <v>215</v>
      </c>
      <c r="M81" s="375">
        <f t="shared" si="7"/>
        <v>25</v>
      </c>
      <c r="N81" s="376">
        <f t="shared" si="8"/>
        <v>16.670000000000002</v>
      </c>
    </row>
    <row r="82" spans="1:14">
      <c r="A82" s="451" t="s">
        <v>697</v>
      </c>
      <c r="B82" s="141">
        <v>0</v>
      </c>
      <c r="C82" s="368">
        <f t="shared" si="3"/>
        <v>0</v>
      </c>
      <c r="D82" s="369">
        <f t="shared" si="4"/>
        <v>0</v>
      </c>
      <c r="F82" s="364">
        <v>1</v>
      </c>
      <c r="G82" s="400" t="s">
        <v>219</v>
      </c>
      <c r="H82" s="401">
        <f t="shared" si="5"/>
        <v>1.7999999999999999E-2</v>
      </c>
      <c r="I82" s="402">
        <f t="shared" si="6"/>
        <v>2.7E-2</v>
      </c>
      <c r="K82" s="365">
        <v>1</v>
      </c>
      <c r="L82" s="400" t="s">
        <v>219</v>
      </c>
      <c r="M82" s="416">
        <f t="shared" si="7"/>
        <v>55</v>
      </c>
      <c r="N82" s="417">
        <f t="shared" si="8"/>
        <v>36.67</v>
      </c>
    </row>
    <row r="83" spans="1:14">
      <c r="A83" s="445" t="s">
        <v>698</v>
      </c>
      <c r="B83" s="141">
        <v>0</v>
      </c>
      <c r="C83" s="142">
        <f t="shared" si="3"/>
        <v>0</v>
      </c>
      <c r="D83" s="143">
        <f t="shared" si="4"/>
        <v>0</v>
      </c>
      <c r="F83" s="209">
        <v>1</v>
      </c>
      <c r="G83" s="131" t="s">
        <v>523</v>
      </c>
      <c r="H83" s="125">
        <f t="shared" si="5"/>
        <v>1.7999999999999999E-2</v>
      </c>
      <c r="I83" s="132">
        <f t="shared" si="6"/>
        <v>2.7E-2</v>
      </c>
      <c r="K83" s="208">
        <v>1</v>
      </c>
      <c r="L83" s="131" t="s">
        <v>523</v>
      </c>
      <c r="M83" s="192">
        <f t="shared" si="7"/>
        <v>55</v>
      </c>
      <c r="N83" s="195">
        <f t="shared" si="8"/>
        <v>36.67</v>
      </c>
    </row>
    <row r="84" spans="1:14">
      <c r="A84" s="451" t="s">
        <v>699</v>
      </c>
      <c r="B84" s="138">
        <v>0</v>
      </c>
      <c r="C84" s="368">
        <f t="shared" si="3"/>
        <v>0</v>
      </c>
      <c r="D84" s="369">
        <f t="shared" si="4"/>
        <v>0</v>
      </c>
      <c r="F84" s="209">
        <v>1</v>
      </c>
      <c r="G84" s="367" t="s">
        <v>782</v>
      </c>
      <c r="H84" s="370">
        <f t="shared" si="5"/>
        <v>1.7999999999999999E-2</v>
      </c>
      <c r="I84" s="371">
        <f t="shared" si="6"/>
        <v>2.7E-2</v>
      </c>
      <c r="K84" s="208">
        <v>1</v>
      </c>
      <c r="L84" s="131" t="s">
        <v>782</v>
      </c>
      <c r="M84" s="192">
        <f t="shared" si="7"/>
        <v>55</v>
      </c>
      <c r="N84" s="195">
        <f t="shared" si="8"/>
        <v>36.67</v>
      </c>
    </row>
    <row r="85" spans="1:14">
      <c r="A85" s="451" t="s">
        <v>785</v>
      </c>
      <c r="B85" s="138">
        <v>0</v>
      </c>
      <c r="C85" s="382">
        <f t="shared" si="3"/>
        <v>0</v>
      </c>
      <c r="D85" s="383">
        <f t="shared" si="4"/>
        <v>0</v>
      </c>
      <c r="F85" s="209">
        <v>1</v>
      </c>
      <c r="G85" s="367" t="s">
        <v>783</v>
      </c>
      <c r="H85" s="398">
        <f t="shared" si="5"/>
        <v>1.7999999999999999E-2</v>
      </c>
      <c r="I85" s="399">
        <f t="shared" si="6"/>
        <v>2.7E-2</v>
      </c>
      <c r="K85" s="208">
        <v>1</v>
      </c>
      <c r="L85" s="131" t="s">
        <v>783</v>
      </c>
      <c r="M85" s="192">
        <f t="shared" si="7"/>
        <v>55</v>
      </c>
      <c r="N85" s="195">
        <f t="shared" si="8"/>
        <v>36.67</v>
      </c>
    </row>
    <row r="86" spans="1:14">
      <c r="A86" s="469" t="s">
        <v>402</v>
      </c>
      <c r="B86" s="470">
        <v>0</v>
      </c>
      <c r="C86" s="471">
        <f t="shared" si="3"/>
        <v>0</v>
      </c>
      <c r="D86" s="472">
        <f t="shared" si="4"/>
        <v>0</v>
      </c>
      <c r="F86" s="364">
        <v>1</v>
      </c>
      <c r="G86" s="473" t="s">
        <v>408</v>
      </c>
      <c r="H86" s="474">
        <f t="shared" si="5"/>
        <v>0.1</v>
      </c>
      <c r="I86" s="475">
        <f t="shared" si="6"/>
        <v>0.15</v>
      </c>
      <c r="K86" s="365">
        <v>1</v>
      </c>
      <c r="L86" s="473" t="s">
        <v>240</v>
      </c>
      <c r="M86" s="476">
        <f t="shared" si="7"/>
        <v>10</v>
      </c>
      <c r="N86" s="477">
        <f t="shared" si="8"/>
        <v>6.67</v>
      </c>
    </row>
    <row r="87" spans="1:14">
      <c r="A87" s="443" t="s">
        <v>403</v>
      </c>
      <c r="B87" s="138">
        <v>0</v>
      </c>
      <c r="C87" s="139">
        <f t="shared" si="3"/>
        <v>0</v>
      </c>
      <c r="D87" s="140">
        <f t="shared" si="4"/>
        <v>0</v>
      </c>
      <c r="F87" s="209">
        <v>1</v>
      </c>
      <c r="G87" s="366" t="s">
        <v>409</v>
      </c>
      <c r="H87" s="379">
        <f t="shared" si="5"/>
        <v>0.1</v>
      </c>
      <c r="I87" s="380">
        <f t="shared" si="6"/>
        <v>0.15</v>
      </c>
      <c r="K87" s="208">
        <v>1</v>
      </c>
      <c r="L87" s="129" t="s">
        <v>241</v>
      </c>
      <c r="M87" s="193">
        <f t="shared" si="7"/>
        <v>10</v>
      </c>
      <c r="N87" s="194">
        <f t="shared" si="8"/>
        <v>6.67</v>
      </c>
    </row>
    <row r="88" spans="1:14">
      <c r="A88" s="443" t="s">
        <v>404</v>
      </c>
      <c r="B88" s="101">
        <v>0</v>
      </c>
      <c r="C88" s="139">
        <f t="shared" si="3"/>
        <v>0</v>
      </c>
      <c r="D88" s="140">
        <f t="shared" si="4"/>
        <v>0</v>
      </c>
      <c r="F88" s="209">
        <v>1</v>
      </c>
      <c r="G88" s="129" t="s">
        <v>242</v>
      </c>
      <c r="H88" s="124">
        <f t="shared" si="5"/>
        <v>0.1</v>
      </c>
      <c r="I88" s="130">
        <f t="shared" si="6"/>
        <v>0.15</v>
      </c>
      <c r="K88" s="208">
        <v>1</v>
      </c>
      <c r="L88" s="366" t="s">
        <v>242</v>
      </c>
      <c r="M88" s="408">
        <f t="shared" si="7"/>
        <v>10</v>
      </c>
      <c r="N88" s="409">
        <f t="shared" si="8"/>
        <v>6.67</v>
      </c>
    </row>
    <row r="89" spans="1:14">
      <c r="A89" s="449" t="s">
        <v>405</v>
      </c>
      <c r="B89" s="101">
        <v>0</v>
      </c>
      <c r="C89" s="377">
        <f t="shared" si="3"/>
        <v>0</v>
      </c>
      <c r="D89" s="378">
        <f t="shared" si="4"/>
        <v>0</v>
      </c>
      <c r="F89" s="209">
        <v>1</v>
      </c>
      <c r="G89" s="129" t="s">
        <v>243</v>
      </c>
      <c r="H89" s="124">
        <f t="shared" si="5"/>
        <v>0.1</v>
      </c>
      <c r="I89" s="130">
        <f t="shared" si="6"/>
        <v>0.15</v>
      </c>
      <c r="K89" s="208">
        <v>1</v>
      </c>
      <c r="L89" s="129" t="s">
        <v>243</v>
      </c>
      <c r="M89" s="193">
        <f t="shared" si="7"/>
        <v>10</v>
      </c>
      <c r="N89" s="194">
        <f t="shared" si="8"/>
        <v>6.67</v>
      </c>
    </row>
    <row r="90" spans="1:14" ht="15.75" thickBot="1">
      <c r="A90" s="443" t="s">
        <v>406</v>
      </c>
      <c r="B90" s="101">
        <v>0</v>
      </c>
      <c r="C90" s="139">
        <f t="shared" si="3"/>
        <v>0</v>
      </c>
      <c r="D90" s="140">
        <f t="shared" si="4"/>
        <v>0</v>
      </c>
      <c r="F90" s="225">
        <v>1</v>
      </c>
      <c r="G90" s="405" t="s">
        <v>249</v>
      </c>
      <c r="H90" s="406">
        <f t="shared" si="5"/>
        <v>0.1</v>
      </c>
      <c r="I90" s="407">
        <f t="shared" si="6"/>
        <v>0.15</v>
      </c>
      <c r="K90" s="231">
        <v>1</v>
      </c>
      <c r="L90" s="405" t="s">
        <v>249</v>
      </c>
      <c r="M90" s="410">
        <f t="shared" si="7"/>
        <v>10</v>
      </c>
      <c r="N90" s="411">
        <f t="shared" si="8"/>
        <v>6.67</v>
      </c>
    </row>
    <row r="91" spans="1:14">
      <c r="A91" s="452" t="s">
        <v>776</v>
      </c>
      <c r="B91" s="390">
        <v>0</v>
      </c>
      <c r="C91" s="394">
        <f>B91*J17</f>
        <v>0</v>
      </c>
      <c r="D91" s="395">
        <f>B91*K17</f>
        <v>0</v>
      </c>
      <c r="F91" s="209">
        <v>1</v>
      </c>
      <c r="G91" s="367" t="s">
        <v>280</v>
      </c>
      <c r="H91" s="370">
        <f>ROUND(F91/J17,2)</f>
        <v>3.53</v>
      </c>
      <c r="I91" s="371">
        <f>ROUND(F91/K17,2)</f>
        <v>9</v>
      </c>
      <c r="K91" s="208">
        <v>1</v>
      </c>
      <c r="L91" s="367" t="s">
        <v>280</v>
      </c>
      <c r="M91" s="414">
        <f>K91*J17</f>
        <v>0.28333333333333333</v>
      </c>
      <c r="N91" s="415">
        <f>K91*K17</f>
        <v>0.11111111111111112</v>
      </c>
    </row>
    <row r="92" spans="1:14">
      <c r="A92" s="448" t="s">
        <v>775</v>
      </c>
      <c r="B92" s="222">
        <v>0</v>
      </c>
      <c r="C92" s="382">
        <f>B92*M17</f>
        <v>0</v>
      </c>
      <c r="D92" s="383">
        <f>B92*N17</f>
        <v>0</v>
      </c>
      <c r="F92" s="228">
        <v>1</v>
      </c>
      <c r="G92" s="133" t="s">
        <v>281</v>
      </c>
      <c r="H92" s="134">
        <f>ROUND(F92/M17,2)</f>
        <v>2</v>
      </c>
      <c r="I92" s="135">
        <f>ROUND(F92/N17,2)</f>
        <v>3</v>
      </c>
      <c r="K92" s="236">
        <v>1</v>
      </c>
      <c r="L92" s="133" t="s">
        <v>281</v>
      </c>
      <c r="M92" s="196">
        <f>K92*M17</f>
        <v>0.5</v>
      </c>
      <c r="N92" s="197">
        <f>K92*N17</f>
        <v>0.33333333333333331</v>
      </c>
    </row>
    <row r="93" spans="1:14">
      <c r="A93" s="449" t="s">
        <v>774</v>
      </c>
      <c r="B93" s="101">
        <v>0</v>
      </c>
      <c r="C93" s="377">
        <f>B93*J18</f>
        <v>0</v>
      </c>
      <c r="D93" s="378">
        <f>B93*K18</f>
        <v>0</v>
      </c>
      <c r="F93" s="209">
        <v>1</v>
      </c>
      <c r="G93" s="129" t="s">
        <v>282</v>
      </c>
      <c r="H93" s="124">
        <f>ROUND(F93/J18,2)</f>
        <v>1.1299999999999999</v>
      </c>
      <c r="I93" s="130">
        <f>ROUND(F93/K18,2)</f>
        <v>2.89</v>
      </c>
      <c r="K93" s="208">
        <v>1</v>
      </c>
      <c r="L93" s="129" t="s">
        <v>282</v>
      </c>
      <c r="M93" s="193">
        <f>K93*J18</f>
        <v>0.8833333333333333</v>
      </c>
      <c r="N93" s="194">
        <f>K93*K18</f>
        <v>0.34640522875816998</v>
      </c>
    </row>
    <row r="94" spans="1:14">
      <c r="A94" s="443" t="s">
        <v>773</v>
      </c>
      <c r="B94" s="101">
        <v>0</v>
      </c>
      <c r="C94" s="139">
        <f>B94*M18</f>
        <v>0</v>
      </c>
      <c r="D94" s="140">
        <f>B94*N18</f>
        <v>0</v>
      </c>
      <c r="F94" s="228">
        <v>1</v>
      </c>
      <c r="G94" s="372" t="s">
        <v>283</v>
      </c>
      <c r="H94" s="403">
        <f>ROUND(F94/M18,2)</f>
        <v>1</v>
      </c>
      <c r="I94" s="404">
        <f>ROUND(F94/N18,2)</f>
        <v>1.5</v>
      </c>
      <c r="K94" s="236">
        <v>1</v>
      </c>
      <c r="L94" s="372" t="s">
        <v>283</v>
      </c>
      <c r="M94" s="375">
        <f>K94*M18</f>
        <v>1</v>
      </c>
      <c r="N94" s="376">
        <f>K94*N18</f>
        <v>0.66666666666666663</v>
      </c>
    </row>
    <row r="95" spans="1:14">
      <c r="A95" s="453" t="s">
        <v>772</v>
      </c>
      <c r="B95" s="391">
        <v>0</v>
      </c>
      <c r="C95" s="396">
        <f>B95*J19</f>
        <v>0</v>
      </c>
      <c r="D95" s="397">
        <f>B95*K19</f>
        <v>0</v>
      </c>
      <c r="F95" s="209">
        <v>1</v>
      </c>
      <c r="G95" s="367" t="s">
        <v>284</v>
      </c>
      <c r="H95" s="370">
        <f>ROUND(F95/J19,2)</f>
        <v>0.6</v>
      </c>
      <c r="I95" s="371">
        <f>ROUND(F95/K19,2)</f>
        <v>1.53</v>
      </c>
      <c r="K95" s="208">
        <v>1</v>
      </c>
      <c r="L95" s="367" t="s">
        <v>284</v>
      </c>
      <c r="M95" s="414">
        <f>K95*J19</f>
        <v>1.6666666666666667</v>
      </c>
      <c r="N95" s="415">
        <f>K95*K19</f>
        <v>0.65359477124183019</v>
      </c>
    </row>
    <row r="96" spans="1:14">
      <c r="A96" s="451" t="s">
        <v>771</v>
      </c>
      <c r="B96" s="101">
        <v>0</v>
      </c>
      <c r="C96" s="368">
        <f>B96*M19</f>
        <v>0</v>
      </c>
      <c r="D96" s="369">
        <f>B96*N19</f>
        <v>0</v>
      </c>
      <c r="F96" s="209">
        <v>1</v>
      </c>
      <c r="G96" s="131" t="s">
        <v>285</v>
      </c>
      <c r="H96" s="125">
        <f>ROUND(F96/M19,2)</f>
        <v>0.6</v>
      </c>
      <c r="I96" s="132">
        <f>ROUND(F96/N19,2)</f>
        <v>1.53</v>
      </c>
      <c r="K96" s="208">
        <v>1</v>
      </c>
      <c r="L96" s="131" t="s">
        <v>285</v>
      </c>
      <c r="M96" s="192">
        <f>K96*M19</f>
        <v>1.6666666666666667</v>
      </c>
      <c r="N96" s="195">
        <f>K96*N19</f>
        <v>0.65359477124183019</v>
      </c>
    </row>
    <row r="97" spans="1:14">
      <c r="A97" s="448" t="s">
        <v>770</v>
      </c>
      <c r="B97" s="144">
        <v>0</v>
      </c>
      <c r="C97" s="382">
        <f>B97*P19</f>
        <v>0</v>
      </c>
      <c r="D97" s="383">
        <f>B97*Q19</f>
        <v>0</v>
      </c>
      <c r="F97" s="228">
        <v>1</v>
      </c>
      <c r="G97" s="381" t="s">
        <v>286</v>
      </c>
      <c r="H97" s="398">
        <f>ROUND(F97/P19,2)</f>
        <v>0.67</v>
      </c>
      <c r="I97" s="399">
        <f>ROUND(F97/Q19,2)</f>
        <v>1</v>
      </c>
      <c r="K97" s="236">
        <v>1</v>
      </c>
      <c r="L97" s="381" t="s">
        <v>286</v>
      </c>
      <c r="M97" s="412">
        <f>K97*P19</f>
        <v>1.5</v>
      </c>
      <c r="N97" s="413">
        <f>K97*Q19</f>
        <v>1</v>
      </c>
    </row>
    <row r="98" spans="1:14">
      <c r="A98" s="449" t="s">
        <v>769</v>
      </c>
      <c r="B98" s="141">
        <v>0</v>
      </c>
      <c r="C98" s="377">
        <f>B98*J20</f>
        <v>0</v>
      </c>
      <c r="D98" s="378">
        <f>B98*K20</f>
        <v>0</v>
      </c>
      <c r="F98" s="209">
        <v>1</v>
      </c>
      <c r="G98" s="366" t="s">
        <v>287</v>
      </c>
      <c r="H98" s="379">
        <f>ROUND(F98/J20,2)</f>
        <v>0.2</v>
      </c>
      <c r="I98" s="380">
        <f>ROUND(F98/K20,2)</f>
        <v>0.51</v>
      </c>
      <c r="K98" s="208">
        <v>1</v>
      </c>
      <c r="L98" s="366" t="s">
        <v>287</v>
      </c>
      <c r="M98" s="408">
        <f>K98*J20</f>
        <v>5</v>
      </c>
      <c r="N98" s="409">
        <f>K98*K20</f>
        <v>1.9607843137254903</v>
      </c>
    </row>
    <row r="99" spans="1:14">
      <c r="A99" s="443" t="s">
        <v>768</v>
      </c>
      <c r="B99" s="138">
        <v>0</v>
      </c>
      <c r="C99" s="139">
        <f>B99*M20</f>
        <v>0</v>
      </c>
      <c r="D99" s="140">
        <f>B99*N20</f>
        <v>0</v>
      </c>
      <c r="F99" s="209">
        <v>1</v>
      </c>
      <c r="G99" s="129" t="s">
        <v>288</v>
      </c>
      <c r="H99" s="124">
        <f>ROUND(F99/M20,2)</f>
        <v>0.2</v>
      </c>
      <c r="I99" s="130">
        <f>ROUND(F99/N20,2)</f>
        <v>0.51</v>
      </c>
      <c r="K99" s="208">
        <v>1</v>
      </c>
      <c r="L99" s="129" t="s">
        <v>288</v>
      </c>
      <c r="M99" s="193">
        <f>K99*M20</f>
        <v>5</v>
      </c>
      <c r="N99" s="194">
        <f>K99*N20</f>
        <v>1.9607843137254903</v>
      </c>
    </row>
    <row r="100" spans="1:14">
      <c r="A100" s="443" t="s">
        <v>767</v>
      </c>
      <c r="B100" s="101">
        <v>0</v>
      </c>
      <c r="C100" s="139">
        <f>B100*P20</f>
        <v>0</v>
      </c>
      <c r="D100" s="140">
        <f>B100*Q20</f>
        <v>0</v>
      </c>
      <c r="F100" s="228">
        <v>1</v>
      </c>
      <c r="G100" s="372" t="s">
        <v>289</v>
      </c>
      <c r="H100" s="403">
        <f>ROUND(F100/P20,2)</f>
        <v>0.67</v>
      </c>
      <c r="I100" s="404">
        <f>ROUND(F100/Q20,2)</f>
        <v>1</v>
      </c>
      <c r="J100" t="s">
        <v>322</v>
      </c>
      <c r="K100" s="236">
        <v>1</v>
      </c>
      <c r="L100" s="372" t="s">
        <v>289</v>
      </c>
      <c r="M100" s="375">
        <f>K100*P20</f>
        <v>1.5</v>
      </c>
      <c r="N100" s="376">
        <f>K100*Q20</f>
        <v>1</v>
      </c>
    </row>
    <row r="101" spans="1:14">
      <c r="A101" s="453" t="s">
        <v>766</v>
      </c>
      <c r="B101" s="391">
        <v>0</v>
      </c>
      <c r="C101" s="396">
        <f>B101*J21</f>
        <v>0</v>
      </c>
      <c r="D101" s="397">
        <f>B101*K21</f>
        <v>0</v>
      </c>
      <c r="F101" s="209">
        <v>1</v>
      </c>
      <c r="G101" s="367" t="s">
        <v>290</v>
      </c>
      <c r="H101" s="370">
        <f>ROUND(F101/J21,2)</f>
        <v>0.1</v>
      </c>
      <c r="I101" s="371">
        <f>ROUND(F101/K21,2)</f>
        <v>0.26</v>
      </c>
      <c r="K101" s="208">
        <v>1</v>
      </c>
      <c r="L101" s="367" t="s">
        <v>290</v>
      </c>
      <c r="M101" s="414">
        <f>K101*J21</f>
        <v>9.6666666666666661</v>
      </c>
      <c r="N101" s="415">
        <f>K101*K21</f>
        <v>3.7908496732026147</v>
      </c>
    </row>
    <row r="102" spans="1:14">
      <c r="A102" s="451" t="s">
        <v>765</v>
      </c>
      <c r="B102" s="101">
        <v>0</v>
      </c>
      <c r="C102" s="368">
        <f>B102*M21</f>
        <v>0</v>
      </c>
      <c r="D102" s="369">
        <f>B102*N21</f>
        <v>0</v>
      </c>
      <c r="F102" s="209">
        <v>1</v>
      </c>
      <c r="G102" s="131" t="s">
        <v>291</v>
      </c>
      <c r="H102" s="125">
        <f>ROUND(F102/M21,2)</f>
        <v>0.1</v>
      </c>
      <c r="I102" s="132">
        <f>ROUND(F102/N21,2)</f>
        <v>0.26</v>
      </c>
      <c r="K102" s="208">
        <v>1</v>
      </c>
      <c r="L102" s="131" t="s">
        <v>291</v>
      </c>
      <c r="M102" s="192">
        <f>K102*M21</f>
        <v>9.6666666666666661</v>
      </c>
      <c r="N102" s="195">
        <f>K102*N21</f>
        <v>3.7908496732026147</v>
      </c>
    </row>
    <row r="103" spans="1:14">
      <c r="A103" s="448" t="s">
        <v>764</v>
      </c>
      <c r="B103" s="144">
        <v>0</v>
      </c>
      <c r="C103" s="382">
        <f>B103*P21</f>
        <v>0</v>
      </c>
      <c r="D103" s="383">
        <f>B103*Q21</f>
        <v>0</v>
      </c>
      <c r="F103" s="228">
        <v>1</v>
      </c>
      <c r="G103" s="381" t="s">
        <v>292</v>
      </c>
      <c r="H103" s="398">
        <f>ROUND(F103/P21,2)</f>
        <v>0.67</v>
      </c>
      <c r="I103" s="399">
        <f>ROUND(F103/Q21,2)</f>
        <v>1</v>
      </c>
      <c r="K103" s="236">
        <v>1</v>
      </c>
      <c r="L103" s="381" t="s">
        <v>292</v>
      </c>
      <c r="M103" s="412">
        <f>K103*P21</f>
        <v>1.5</v>
      </c>
      <c r="N103" s="413">
        <f>K103*Q21</f>
        <v>1</v>
      </c>
    </row>
    <row r="104" spans="1:14">
      <c r="A104" s="449" t="s">
        <v>763</v>
      </c>
      <c r="B104" s="141">
        <v>0</v>
      </c>
      <c r="C104" s="377">
        <f>B104*J22</f>
        <v>0</v>
      </c>
      <c r="D104" s="378">
        <f>B104*K22</f>
        <v>0</v>
      </c>
      <c r="F104" s="209">
        <v>1</v>
      </c>
      <c r="G104" s="366" t="s">
        <v>293</v>
      </c>
      <c r="H104" s="379">
        <f>ROUND(F104/J22,4)</f>
        <v>0.08</v>
      </c>
      <c r="I104" s="380">
        <f>ROUND(F104/K22,4)</f>
        <v>0.20399999999999999</v>
      </c>
      <c r="K104" s="208">
        <v>1</v>
      </c>
      <c r="L104" s="366" t="s">
        <v>293</v>
      </c>
      <c r="M104" s="408">
        <f>K104*J22</f>
        <v>12.5</v>
      </c>
      <c r="N104" s="409">
        <f>K104*K22</f>
        <v>4.9019607843137258</v>
      </c>
    </row>
    <row r="105" spans="1:14">
      <c r="A105" s="443" t="s">
        <v>762</v>
      </c>
      <c r="B105" s="138">
        <v>0</v>
      </c>
      <c r="C105" s="139">
        <f>B105*M22</f>
        <v>0</v>
      </c>
      <c r="D105" s="140">
        <f>B105*N22</f>
        <v>0</v>
      </c>
      <c r="F105" s="209">
        <v>1</v>
      </c>
      <c r="G105" s="129" t="s">
        <v>294</v>
      </c>
      <c r="H105" s="124">
        <f>ROUND(F105/M22,4)</f>
        <v>0.08</v>
      </c>
      <c r="I105" s="130">
        <f>ROUND(F105/N22,4)</f>
        <v>0.20399999999999999</v>
      </c>
      <c r="K105" s="208">
        <v>1</v>
      </c>
      <c r="L105" s="129" t="s">
        <v>294</v>
      </c>
      <c r="M105" s="193">
        <f>K105*M22</f>
        <v>12.5</v>
      </c>
      <c r="N105" s="194">
        <f>K105*N22</f>
        <v>4.9019607843137258</v>
      </c>
    </row>
    <row r="106" spans="1:14">
      <c r="A106" s="443" t="s">
        <v>761</v>
      </c>
      <c r="B106" s="101">
        <v>0</v>
      </c>
      <c r="C106" s="139">
        <f>B106*P22</f>
        <v>0</v>
      </c>
      <c r="D106" s="140">
        <f>B106*Q22</f>
        <v>0</v>
      </c>
      <c r="F106" s="209">
        <v>1</v>
      </c>
      <c r="G106" s="366" t="s">
        <v>295</v>
      </c>
      <c r="H106" s="379">
        <f>ROUND(F106/P22,4)</f>
        <v>0.08</v>
      </c>
      <c r="I106" s="380">
        <f>ROUND(F106/Q22,4)</f>
        <v>0.20399999999999999</v>
      </c>
      <c r="K106" s="208">
        <v>1</v>
      </c>
      <c r="L106" s="366" t="s">
        <v>295</v>
      </c>
      <c r="M106" s="408">
        <f>K106*P22</f>
        <v>12.5</v>
      </c>
      <c r="N106" s="409">
        <f>K106*Q22</f>
        <v>4.9019607843137258</v>
      </c>
    </row>
    <row r="107" spans="1:14">
      <c r="A107" s="443" t="s">
        <v>760</v>
      </c>
      <c r="B107" s="141">
        <v>0</v>
      </c>
      <c r="C107" s="139">
        <f>B107*S22</f>
        <v>0</v>
      </c>
      <c r="D107" s="140">
        <f>B107*T22</f>
        <v>0</v>
      </c>
      <c r="F107" s="209">
        <v>1</v>
      </c>
      <c r="G107" s="129" t="s">
        <v>296</v>
      </c>
      <c r="H107" s="124">
        <f>ROUND(F107/S22,4)</f>
        <v>0.22220000000000001</v>
      </c>
      <c r="I107" s="130">
        <f>ROUND(F107/T22,4)</f>
        <v>0.33329999999999999</v>
      </c>
      <c r="K107" s="208">
        <v>1</v>
      </c>
      <c r="L107" s="129" t="s">
        <v>296</v>
      </c>
      <c r="M107" s="193">
        <f>K107*S22</f>
        <v>4.5</v>
      </c>
      <c r="N107" s="194">
        <f>K107*T22</f>
        <v>3</v>
      </c>
    </row>
    <row r="108" spans="1:14">
      <c r="A108" s="449" t="s">
        <v>723</v>
      </c>
      <c r="B108" s="141">
        <v>0</v>
      </c>
      <c r="C108" s="377">
        <f>B108*V22</f>
        <v>0</v>
      </c>
      <c r="D108" s="378">
        <f>B108*W22</f>
        <v>0</v>
      </c>
      <c r="F108" s="209">
        <v>1</v>
      </c>
      <c r="G108" s="366" t="s">
        <v>488</v>
      </c>
      <c r="H108" s="379">
        <f>ROUND(F108/V22,4)</f>
        <v>0.18179999999999999</v>
      </c>
      <c r="I108" s="380">
        <f>ROUND(F108/W22,4)</f>
        <v>0.2727</v>
      </c>
      <c r="K108" s="208">
        <v>1</v>
      </c>
      <c r="L108" s="366" t="s">
        <v>488</v>
      </c>
      <c r="M108" s="408">
        <f>K108*V22</f>
        <v>5.5</v>
      </c>
      <c r="N108" s="409">
        <f>K108*W22</f>
        <v>3.6666666666666665</v>
      </c>
    </row>
    <row r="109" spans="1:14">
      <c r="A109" s="454" t="s">
        <v>724</v>
      </c>
      <c r="B109" s="144">
        <v>0</v>
      </c>
      <c r="C109" s="220">
        <f>B109*Y22</f>
        <v>0</v>
      </c>
      <c r="D109" s="221">
        <f>B109*Z22</f>
        <v>0</v>
      </c>
      <c r="F109" s="228">
        <v>1</v>
      </c>
      <c r="G109" s="218" t="s">
        <v>539</v>
      </c>
      <c r="H109" s="229">
        <f>ROUND(F109/Y22,4)</f>
        <v>0.15379999999999999</v>
      </c>
      <c r="I109" s="230">
        <f>ROUND(F109/Z22,4)</f>
        <v>0.23080000000000001</v>
      </c>
      <c r="K109" s="236">
        <v>1</v>
      </c>
      <c r="L109" s="218" t="s">
        <v>539</v>
      </c>
      <c r="M109" s="237">
        <f>K109*Y22</f>
        <v>6.5</v>
      </c>
      <c r="N109" s="238">
        <f>K109*Z22</f>
        <v>4.333333333333333</v>
      </c>
    </row>
    <row r="110" spans="1:14">
      <c r="A110" s="451" t="s">
        <v>759</v>
      </c>
      <c r="B110" s="101">
        <v>0</v>
      </c>
      <c r="C110" s="368">
        <f>B110*J23</f>
        <v>0</v>
      </c>
      <c r="D110" s="369">
        <f>B110*K23</f>
        <v>0</v>
      </c>
      <c r="F110" s="209">
        <v>1</v>
      </c>
      <c r="G110" s="131" t="s">
        <v>297</v>
      </c>
      <c r="H110" s="125">
        <f>ROUND(F110/J23,4)</f>
        <v>7.4999999999999997E-2</v>
      </c>
      <c r="I110" s="132">
        <f>ROUND(F110/K23,4)</f>
        <v>0.1913</v>
      </c>
      <c r="K110" s="208">
        <v>1</v>
      </c>
      <c r="L110" s="131" t="s">
        <v>297</v>
      </c>
      <c r="M110" s="192">
        <f>K110*J23</f>
        <v>13.333333333333334</v>
      </c>
      <c r="N110" s="195">
        <f>K110*K23</f>
        <v>5.2287581699346415</v>
      </c>
    </row>
    <row r="111" spans="1:14">
      <c r="A111" s="445" t="s">
        <v>758</v>
      </c>
      <c r="B111" s="101">
        <v>0</v>
      </c>
      <c r="C111" s="142">
        <f>B111*M23</f>
        <v>0</v>
      </c>
      <c r="D111" s="143">
        <f>B111*N23</f>
        <v>0</v>
      </c>
      <c r="F111" s="209">
        <v>1</v>
      </c>
      <c r="G111" s="367" t="s">
        <v>298</v>
      </c>
      <c r="H111" s="370">
        <f>ROUND(F111/M23,4)</f>
        <v>7.4999999999999997E-2</v>
      </c>
      <c r="I111" s="371">
        <f>ROUND(F111/N23,4)</f>
        <v>0.1913</v>
      </c>
      <c r="K111" s="208">
        <v>1</v>
      </c>
      <c r="L111" s="367" t="s">
        <v>298</v>
      </c>
      <c r="M111" s="414">
        <f>K111*M23</f>
        <v>13.333333333333334</v>
      </c>
      <c r="N111" s="415">
        <f>K111*N23</f>
        <v>5.2287581699346415</v>
      </c>
    </row>
    <row r="112" spans="1:14">
      <c r="A112" s="451" t="s">
        <v>757</v>
      </c>
      <c r="B112" s="101">
        <v>0</v>
      </c>
      <c r="C112" s="368">
        <f>B112*P23</f>
        <v>0</v>
      </c>
      <c r="D112" s="369">
        <f>B112*Q23</f>
        <v>0</v>
      </c>
      <c r="F112" s="209">
        <v>1</v>
      </c>
      <c r="G112" s="131" t="s">
        <v>299</v>
      </c>
      <c r="H112" s="125">
        <f>ROUND(F112/P23,4)</f>
        <v>7.4999999999999997E-2</v>
      </c>
      <c r="I112" s="132">
        <f>ROUND(F112/Q23,4)</f>
        <v>0.1913</v>
      </c>
      <c r="K112" s="208">
        <v>1</v>
      </c>
      <c r="L112" s="131" t="s">
        <v>299</v>
      </c>
      <c r="M112" s="192">
        <f>K112*P23</f>
        <v>13.333333333333334</v>
      </c>
      <c r="N112" s="195">
        <f>K112*Q23</f>
        <v>5.2287581699346415</v>
      </c>
    </row>
    <row r="113" spans="1:14">
      <c r="A113" s="455" t="s">
        <v>756</v>
      </c>
      <c r="B113" s="222">
        <v>0</v>
      </c>
      <c r="C113" s="145">
        <f>B113*S23</f>
        <v>0</v>
      </c>
      <c r="D113" s="146">
        <f>B113*T23</f>
        <v>0</v>
      </c>
      <c r="F113" s="228">
        <v>1</v>
      </c>
      <c r="G113" s="381" t="s">
        <v>300</v>
      </c>
      <c r="H113" s="398">
        <f>ROUND(F113/S23,4)</f>
        <v>0.22220000000000001</v>
      </c>
      <c r="I113" s="399">
        <f>ROUND(F113/T23,4)</f>
        <v>0.33329999999999999</v>
      </c>
      <c r="K113" s="236">
        <v>1</v>
      </c>
      <c r="L113" s="381" t="s">
        <v>300</v>
      </c>
      <c r="M113" s="412">
        <f>K113*S23</f>
        <v>4.5</v>
      </c>
      <c r="N113" s="413">
        <f>K113*T23</f>
        <v>3</v>
      </c>
    </row>
    <row r="114" spans="1:14">
      <c r="A114" s="449" t="s">
        <v>755</v>
      </c>
      <c r="B114" s="141">
        <v>0</v>
      </c>
      <c r="C114" s="377">
        <f>B114*J24</f>
        <v>0</v>
      </c>
      <c r="D114" s="378">
        <f>B114*K24</f>
        <v>0</v>
      </c>
      <c r="F114" s="209">
        <v>1</v>
      </c>
      <c r="G114" s="366" t="s">
        <v>301</v>
      </c>
      <c r="H114" s="379">
        <f>ROUND(F114/J24,4)</f>
        <v>7.0599999999999996E-2</v>
      </c>
      <c r="I114" s="380">
        <f>ROUND(F114/K24,4)</f>
        <v>0.18</v>
      </c>
      <c r="K114" s="208">
        <v>1</v>
      </c>
      <c r="L114" s="366" t="s">
        <v>301</v>
      </c>
      <c r="M114" s="408">
        <f>K114*J24</f>
        <v>14.166666666666666</v>
      </c>
      <c r="N114" s="409">
        <f>K114*K24</f>
        <v>5.5555555555555562</v>
      </c>
    </row>
    <row r="115" spans="1:14">
      <c r="A115" s="443" t="s">
        <v>754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302</v>
      </c>
      <c r="H115" s="124">
        <f>ROUND(F115/M24,4)</f>
        <v>7.0599999999999996E-2</v>
      </c>
      <c r="I115" s="130">
        <f>ROUND(F115/N24,4)</f>
        <v>0.18</v>
      </c>
      <c r="K115" s="208">
        <v>1</v>
      </c>
      <c r="L115" s="129" t="s">
        <v>302</v>
      </c>
      <c r="M115" s="193">
        <f>K115*M24</f>
        <v>14.166666666666666</v>
      </c>
      <c r="N115" s="194">
        <f>K115*N24</f>
        <v>5.5555555555555562</v>
      </c>
    </row>
    <row r="116" spans="1:14">
      <c r="A116" s="443" t="s">
        <v>753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6" t="s">
        <v>303</v>
      </c>
      <c r="H116" s="379">
        <f>ROUND(F116/P24,4)</f>
        <v>7.0599999999999996E-2</v>
      </c>
      <c r="I116" s="380">
        <f>ROUND(F116/Q24,4)</f>
        <v>0.18</v>
      </c>
      <c r="K116" s="208">
        <v>1</v>
      </c>
      <c r="L116" s="366" t="s">
        <v>303</v>
      </c>
      <c r="M116" s="408">
        <f>K116*P24</f>
        <v>14.166666666666666</v>
      </c>
      <c r="N116" s="409">
        <f>K116*Q24</f>
        <v>5.5555555555555562</v>
      </c>
    </row>
    <row r="117" spans="1:14">
      <c r="A117" s="454" t="s">
        <v>752</v>
      </c>
      <c r="B117" s="144">
        <v>0</v>
      </c>
      <c r="C117" s="220">
        <f>B117*S24</f>
        <v>0</v>
      </c>
      <c r="D117" s="221">
        <f>B117*T24</f>
        <v>0</v>
      </c>
      <c r="F117" s="228">
        <v>1</v>
      </c>
      <c r="G117" s="218" t="s">
        <v>304</v>
      </c>
      <c r="H117" s="229">
        <f>ROUND(F117/S24,4)</f>
        <v>0.22220000000000001</v>
      </c>
      <c r="I117" s="230">
        <f>ROUND(F117/T24,4)</f>
        <v>0.33329999999999999</v>
      </c>
      <c r="K117" s="236">
        <v>1</v>
      </c>
      <c r="L117" s="218" t="s">
        <v>304</v>
      </c>
      <c r="M117" s="237">
        <f>K117*S24</f>
        <v>4.5</v>
      </c>
      <c r="N117" s="238">
        <f>K117*T24</f>
        <v>3</v>
      </c>
    </row>
    <row r="118" spans="1:14">
      <c r="A118" s="451" t="s">
        <v>751</v>
      </c>
      <c r="B118" s="101">
        <v>0</v>
      </c>
      <c r="C118" s="368">
        <f>B118*J25</f>
        <v>0</v>
      </c>
      <c r="D118" s="369">
        <f>B118*K25</f>
        <v>0</v>
      </c>
      <c r="F118" s="209">
        <v>1</v>
      </c>
      <c r="G118" s="131" t="s">
        <v>305</v>
      </c>
      <c r="H118" s="125">
        <f>ROUND(F118/J25,4)</f>
        <v>6.3200000000000006E-2</v>
      </c>
      <c r="I118" s="132">
        <f>ROUND(F118/K25,4)</f>
        <v>0.16109999999999999</v>
      </c>
      <c r="K118" s="208">
        <v>1</v>
      </c>
      <c r="L118" s="131" t="s">
        <v>305</v>
      </c>
      <c r="M118" s="192">
        <f>K118*J25</f>
        <v>15.833333333333334</v>
      </c>
      <c r="N118" s="195">
        <f>K118*K25</f>
        <v>6.2091503267973867</v>
      </c>
    </row>
    <row r="119" spans="1:14">
      <c r="A119" s="445" t="s">
        <v>750</v>
      </c>
      <c r="B119" s="101">
        <v>0</v>
      </c>
      <c r="C119" s="142">
        <f>B119*M25</f>
        <v>0</v>
      </c>
      <c r="D119" s="143">
        <f>B119*N25</f>
        <v>0</v>
      </c>
      <c r="F119" s="209">
        <v>1</v>
      </c>
      <c r="G119" s="367" t="s">
        <v>306</v>
      </c>
      <c r="H119" s="370">
        <f>ROUND(F119/M25,4)</f>
        <v>6.3200000000000006E-2</v>
      </c>
      <c r="I119" s="371">
        <f>ROUND(F119/N25,4)</f>
        <v>0.16109999999999999</v>
      </c>
      <c r="K119" s="208">
        <v>1</v>
      </c>
      <c r="L119" s="367" t="s">
        <v>306</v>
      </c>
      <c r="M119" s="414">
        <f>K119*M25</f>
        <v>15.833333333333334</v>
      </c>
      <c r="N119" s="415">
        <f>K119*N25</f>
        <v>6.2091503267973867</v>
      </c>
    </row>
    <row r="120" spans="1:14">
      <c r="A120" s="451" t="s">
        <v>749</v>
      </c>
      <c r="B120" s="101">
        <v>0</v>
      </c>
      <c r="C120" s="368">
        <f>B120*P25</f>
        <v>0</v>
      </c>
      <c r="D120" s="369">
        <f>B120*Q25</f>
        <v>0</v>
      </c>
      <c r="F120" s="209">
        <v>1</v>
      </c>
      <c r="G120" s="131" t="s">
        <v>307</v>
      </c>
      <c r="H120" s="125">
        <f>ROUND(F120/P25,4)</f>
        <v>6.3200000000000006E-2</v>
      </c>
      <c r="I120" s="132">
        <f>ROUND(F120/Q25,4)</f>
        <v>0.16109999999999999</v>
      </c>
      <c r="K120" s="208">
        <v>1</v>
      </c>
      <c r="L120" s="131" t="s">
        <v>307</v>
      </c>
      <c r="M120" s="192">
        <f>K120*P25</f>
        <v>15.833333333333334</v>
      </c>
      <c r="N120" s="195">
        <f>K120*Q25</f>
        <v>6.2091503267973867</v>
      </c>
    </row>
    <row r="121" spans="1:14">
      <c r="A121" s="445" t="s">
        <v>748</v>
      </c>
      <c r="B121" s="101">
        <v>0</v>
      </c>
      <c r="C121" s="142">
        <f>B121*S25</f>
        <v>0</v>
      </c>
      <c r="D121" s="143">
        <f>B121*T25</f>
        <v>0</v>
      </c>
      <c r="F121" s="209">
        <v>1</v>
      </c>
      <c r="G121" s="367" t="s">
        <v>308</v>
      </c>
      <c r="H121" s="370">
        <f>ROUND(F121/S25,4)</f>
        <v>0.22220000000000001</v>
      </c>
      <c r="I121" s="371">
        <f>ROUND(F121/T25,4)</f>
        <v>0.33329999999999999</v>
      </c>
      <c r="K121" s="208">
        <v>1</v>
      </c>
      <c r="L121" s="367" t="s">
        <v>308</v>
      </c>
      <c r="M121" s="414">
        <f>K121*S25</f>
        <v>4.5</v>
      </c>
      <c r="N121" s="415">
        <f>K121*T25</f>
        <v>3</v>
      </c>
    </row>
    <row r="122" spans="1:14">
      <c r="A122" s="455" t="s">
        <v>725</v>
      </c>
      <c r="B122" s="222">
        <v>0</v>
      </c>
      <c r="C122" s="145">
        <f>B122*V25</f>
        <v>0</v>
      </c>
      <c r="D122" s="146">
        <f>B122*W25</f>
        <v>0</v>
      </c>
      <c r="F122" s="228">
        <v>1</v>
      </c>
      <c r="G122" s="133" t="s">
        <v>540</v>
      </c>
      <c r="H122" s="134">
        <f>ROUND(F122/V25,4)</f>
        <v>0.18179999999999999</v>
      </c>
      <c r="I122" s="135">
        <f>ROUND(F122/W25,4)</f>
        <v>0.2727</v>
      </c>
      <c r="K122" s="236">
        <v>1</v>
      </c>
      <c r="L122" s="133" t="s">
        <v>540</v>
      </c>
      <c r="M122" s="196">
        <f>K122*V25</f>
        <v>5.5</v>
      </c>
      <c r="N122" s="197">
        <f>K122*W25</f>
        <v>3.6666666666666665</v>
      </c>
    </row>
    <row r="123" spans="1:14">
      <c r="A123" s="449" t="s">
        <v>747</v>
      </c>
      <c r="B123" s="101">
        <v>0</v>
      </c>
      <c r="C123" s="377">
        <f>B123*J26</f>
        <v>0</v>
      </c>
      <c r="D123" s="378">
        <f>B123*K26</f>
        <v>0</v>
      </c>
      <c r="F123" s="209">
        <v>1</v>
      </c>
      <c r="G123" s="129" t="s">
        <v>309</v>
      </c>
      <c r="H123" s="124">
        <f>ROUND(F123/J26,4)</f>
        <v>4.4400000000000002E-2</v>
      </c>
      <c r="I123" s="130">
        <f>ROUND(F123/K26,4)</f>
        <v>0.1133</v>
      </c>
      <c r="K123" s="208">
        <v>1</v>
      </c>
      <c r="L123" s="129" t="s">
        <v>309</v>
      </c>
      <c r="M123" s="193">
        <f>K123*J26</f>
        <v>22.5</v>
      </c>
      <c r="N123" s="194">
        <f>K123*K26</f>
        <v>8.8235294117647065</v>
      </c>
    </row>
    <row r="124" spans="1:14">
      <c r="A124" s="443" t="s">
        <v>746</v>
      </c>
      <c r="B124" s="101">
        <v>0</v>
      </c>
      <c r="C124" s="139">
        <f>B124*M26</f>
        <v>0</v>
      </c>
      <c r="D124" s="140">
        <f>B124*N26</f>
        <v>0</v>
      </c>
      <c r="F124" s="209">
        <v>1</v>
      </c>
      <c r="G124" s="366" t="s">
        <v>310</v>
      </c>
      <c r="H124" s="379">
        <f>ROUND(F124/M26,4)</f>
        <v>4.4400000000000002E-2</v>
      </c>
      <c r="I124" s="380">
        <f>ROUND(F124/N26,4)</f>
        <v>0.1133</v>
      </c>
      <c r="K124" s="208">
        <v>1</v>
      </c>
      <c r="L124" s="366" t="s">
        <v>310</v>
      </c>
      <c r="M124" s="408">
        <f>K124*M26</f>
        <v>22.5</v>
      </c>
      <c r="N124" s="409">
        <f>K124*N26</f>
        <v>8.8235294117647065</v>
      </c>
    </row>
    <row r="125" spans="1:14">
      <c r="A125" s="449" t="s">
        <v>745</v>
      </c>
      <c r="B125" s="101">
        <v>0</v>
      </c>
      <c r="C125" s="377">
        <f>B125*P26</f>
        <v>0</v>
      </c>
      <c r="D125" s="378">
        <f>B125*Q26</f>
        <v>0</v>
      </c>
      <c r="F125" s="209">
        <v>1</v>
      </c>
      <c r="G125" s="129" t="s">
        <v>311</v>
      </c>
      <c r="H125" s="124">
        <f>ROUND(F125/P26,4)</f>
        <v>4.4400000000000002E-2</v>
      </c>
      <c r="I125" s="130">
        <f>ROUND(F125/Q26,4)</f>
        <v>0.1133</v>
      </c>
      <c r="K125" s="208">
        <v>1</v>
      </c>
      <c r="L125" s="129" t="s">
        <v>311</v>
      </c>
      <c r="M125" s="193">
        <f>K125*P26</f>
        <v>22.5</v>
      </c>
      <c r="N125" s="194">
        <f>K125*Q26</f>
        <v>8.8235294117647065</v>
      </c>
    </row>
    <row r="126" spans="1:14">
      <c r="A126" s="443" t="s">
        <v>744</v>
      </c>
      <c r="B126" s="101">
        <v>0</v>
      </c>
      <c r="C126" s="139">
        <f>B126*S26</f>
        <v>0</v>
      </c>
      <c r="D126" s="140">
        <f>B126*T26</f>
        <v>0</v>
      </c>
      <c r="F126" s="209">
        <v>1</v>
      </c>
      <c r="G126" s="366" t="s">
        <v>312</v>
      </c>
      <c r="H126" s="379">
        <f>ROUND(F126/S26,4)</f>
        <v>0.22220000000000001</v>
      </c>
      <c r="I126" s="380">
        <f>ROUND(F126/T26,4)</f>
        <v>0.33329999999999999</v>
      </c>
      <c r="K126" s="208">
        <v>1</v>
      </c>
      <c r="L126" s="366" t="s">
        <v>312</v>
      </c>
      <c r="M126" s="408">
        <f>K126*S26</f>
        <v>4.5</v>
      </c>
      <c r="N126" s="409">
        <f>K126*T26</f>
        <v>3</v>
      </c>
    </row>
    <row r="127" spans="1:14">
      <c r="A127" s="454" t="s">
        <v>726</v>
      </c>
      <c r="B127" s="144">
        <v>0</v>
      </c>
      <c r="C127" s="220">
        <f>B127*V26</f>
        <v>0</v>
      </c>
      <c r="D127" s="221">
        <f>B127*W26</f>
        <v>0</v>
      </c>
      <c r="F127" s="228">
        <v>1</v>
      </c>
      <c r="G127" s="218" t="s">
        <v>541</v>
      </c>
      <c r="H127" s="229">
        <f>ROUND(F127/V26,4)</f>
        <v>0.18179999999999999</v>
      </c>
      <c r="I127" s="230">
        <f>ROUND(F127/W26,4)</f>
        <v>0.2727</v>
      </c>
      <c r="K127" s="236">
        <v>1</v>
      </c>
      <c r="L127" s="218" t="s">
        <v>541</v>
      </c>
      <c r="M127" s="237">
        <f>K127*V26</f>
        <v>5.5</v>
      </c>
      <c r="N127" s="238">
        <f>K127*W26</f>
        <v>3.6666666666666665</v>
      </c>
    </row>
    <row r="128" spans="1:14">
      <c r="A128" s="451" t="s">
        <v>743</v>
      </c>
      <c r="B128" s="101">
        <v>0</v>
      </c>
      <c r="C128" s="368">
        <f>B128*J27</f>
        <v>0</v>
      </c>
      <c r="D128" s="369">
        <f>B128*K27</f>
        <v>0</v>
      </c>
      <c r="F128" s="209">
        <v>1</v>
      </c>
      <c r="G128" s="131" t="s">
        <v>313</v>
      </c>
      <c r="H128" s="125">
        <f>ROUND(F128/J27,4)</f>
        <v>3.8699999999999998E-2</v>
      </c>
      <c r="I128" s="132">
        <f>ROUND(F128/K27,4)</f>
        <v>9.8699999999999996E-2</v>
      </c>
      <c r="K128" s="208">
        <v>1</v>
      </c>
      <c r="L128" s="131" t="s">
        <v>313</v>
      </c>
      <c r="M128" s="192">
        <f>K128*J27</f>
        <v>25.833333333333332</v>
      </c>
      <c r="N128" s="195">
        <f>K128*K27</f>
        <v>10.130718954248367</v>
      </c>
    </row>
    <row r="129" spans="1:14">
      <c r="A129" s="445" t="s">
        <v>742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7" t="s">
        <v>314</v>
      </c>
      <c r="H129" s="370">
        <f>ROUND(F129/M27,4)</f>
        <v>3.8699999999999998E-2</v>
      </c>
      <c r="I129" s="371">
        <f>ROUND(F129/N27,4)</f>
        <v>9.8699999999999996E-2</v>
      </c>
      <c r="K129" s="208">
        <v>1</v>
      </c>
      <c r="L129" s="367" t="s">
        <v>314</v>
      </c>
      <c r="M129" s="414">
        <f>K129*M27</f>
        <v>25.833333333333332</v>
      </c>
      <c r="N129" s="415">
        <f>K129*N27</f>
        <v>10.130718954248367</v>
      </c>
    </row>
    <row r="130" spans="1:14">
      <c r="A130" s="451" t="s">
        <v>741</v>
      </c>
      <c r="B130" s="101">
        <v>0</v>
      </c>
      <c r="C130" s="368">
        <f>B130*P27</f>
        <v>0</v>
      </c>
      <c r="D130" s="369">
        <f>B130*Q27</f>
        <v>0</v>
      </c>
      <c r="F130" s="209">
        <v>1</v>
      </c>
      <c r="G130" s="131" t="s">
        <v>315</v>
      </c>
      <c r="H130" s="125">
        <f>ROUND(F130/P27,4)</f>
        <v>3.8699999999999998E-2</v>
      </c>
      <c r="I130" s="132">
        <f>ROUND(F130/Q27,4)</f>
        <v>9.8699999999999996E-2</v>
      </c>
      <c r="K130" s="208">
        <v>1</v>
      </c>
      <c r="L130" s="131" t="s">
        <v>315</v>
      </c>
      <c r="M130" s="192">
        <f>K130*P27</f>
        <v>25.833333333333332</v>
      </c>
      <c r="N130" s="195">
        <f>K130*Q27</f>
        <v>10.130718954248367</v>
      </c>
    </row>
    <row r="131" spans="1:14">
      <c r="A131" s="448" t="s">
        <v>740</v>
      </c>
      <c r="B131" s="144">
        <v>0</v>
      </c>
      <c r="C131" s="382">
        <f>B131*S27</f>
        <v>0</v>
      </c>
      <c r="D131" s="383">
        <f>B131*T27</f>
        <v>0</v>
      </c>
      <c r="F131" s="228">
        <v>1</v>
      </c>
      <c r="G131" s="381" t="s">
        <v>316</v>
      </c>
      <c r="H131" s="398">
        <f>ROUND(F131/S27,4)</f>
        <v>0.22220000000000001</v>
      </c>
      <c r="I131" s="399">
        <f>ROUND(F131/T27,4)</f>
        <v>0.33329999999999999</v>
      </c>
      <c r="K131" s="236">
        <v>1</v>
      </c>
      <c r="L131" s="381" t="s">
        <v>316</v>
      </c>
      <c r="M131" s="412">
        <f>K131*S27</f>
        <v>4.5</v>
      </c>
      <c r="N131" s="413">
        <f>K131*T27</f>
        <v>3</v>
      </c>
    </row>
    <row r="132" spans="1:14">
      <c r="A132" s="443" t="s">
        <v>739</v>
      </c>
      <c r="B132" s="101">
        <v>0</v>
      </c>
      <c r="C132" s="139">
        <f>B132*J28</f>
        <v>0</v>
      </c>
      <c r="D132" s="140">
        <f>B132*K28</f>
        <v>0</v>
      </c>
      <c r="F132" s="209">
        <v>1</v>
      </c>
      <c r="G132" s="366" t="s">
        <v>317</v>
      </c>
      <c r="H132" s="379">
        <f>ROUND(F132/J28,4)</f>
        <v>0.02</v>
      </c>
      <c r="I132" s="380">
        <f>ROUND(F132/K28,4)</f>
        <v>5.0999999999999997E-2</v>
      </c>
      <c r="K132" s="208">
        <v>1</v>
      </c>
      <c r="L132" s="366" t="s">
        <v>317</v>
      </c>
      <c r="M132" s="408">
        <f>K132*J28</f>
        <v>50</v>
      </c>
      <c r="N132" s="409">
        <f>K132*K28</f>
        <v>19.607843137254903</v>
      </c>
    </row>
    <row r="133" spans="1:14">
      <c r="A133" s="449" t="s">
        <v>738</v>
      </c>
      <c r="B133" s="101">
        <v>0</v>
      </c>
      <c r="C133" s="377">
        <f>B133*M28</f>
        <v>0</v>
      </c>
      <c r="D133" s="378">
        <f>B133*N28</f>
        <v>0</v>
      </c>
      <c r="F133" s="209">
        <v>1</v>
      </c>
      <c r="G133" s="129" t="s">
        <v>318</v>
      </c>
      <c r="H133" s="124">
        <f>ROUND(F133/M28,4)</f>
        <v>0.02</v>
      </c>
      <c r="I133" s="130">
        <f>ROUND(F133/N28,4)</f>
        <v>5.0999999999999997E-2</v>
      </c>
      <c r="K133" s="208">
        <v>1</v>
      </c>
      <c r="L133" s="129" t="s">
        <v>318</v>
      </c>
      <c r="M133" s="193">
        <f>K133*M28</f>
        <v>50</v>
      </c>
      <c r="N133" s="194">
        <f>K133*N28</f>
        <v>19.607843137254903</v>
      </c>
    </row>
    <row r="134" spans="1:14">
      <c r="A134" s="443" t="s">
        <v>737</v>
      </c>
      <c r="B134" s="101">
        <v>0</v>
      </c>
      <c r="C134" s="139">
        <f>B134*P28</f>
        <v>0</v>
      </c>
      <c r="D134" s="140">
        <f>B134*Q28</f>
        <v>0</v>
      </c>
      <c r="F134" s="209">
        <v>1</v>
      </c>
      <c r="G134" s="366" t="s">
        <v>319</v>
      </c>
      <c r="H134" s="379">
        <f>ROUND(F134/P28,4)</f>
        <v>0.02</v>
      </c>
      <c r="I134" s="380">
        <f>ROUND(F134/Q28,4)</f>
        <v>5.0999999999999997E-2</v>
      </c>
      <c r="K134" s="208">
        <v>1</v>
      </c>
      <c r="L134" s="366" t="s">
        <v>319</v>
      </c>
      <c r="M134" s="408">
        <f>K134*P28</f>
        <v>50</v>
      </c>
      <c r="N134" s="409">
        <f>K134*Q28</f>
        <v>19.607843137254903</v>
      </c>
    </row>
    <row r="135" spans="1:14">
      <c r="A135" s="449" t="s">
        <v>736</v>
      </c>
      <c r="B135" s="101">
        <v>0</v>
      </c>
      <c r="C135" s="377">
        <f>B135*S28</f>
        <v>0</v>
      </c>
      <c r="D135" s="378">
        <f>B135*T28</f>
        <v>0</v>
      </c>
      <c r="F135" s="209">
        <v>1</v>
      </c>
      <c r="G135" s="129" t="s">
        <v>320</v>
      </c>
      <c r="H135" s="124">
        <f>ROUND(F135/S28,4)</f>
        <v>0.22220000000000001</v>
      </c>
      <c r="I135" s="130">
        <f>ROUND(F135/T28,4)</f>
        <v>0.33329999999999999</v>
      </c>
      <c r="K135" s="208">
        <v>1</v>
      </c>
      <c r="L135" s="129" t="s">
        <v>320</v>
      </c>
      <c r="M135" s="193">
        <f>K135*S28</f>
        <v>4.5</v>
      </c>
      <c r="N135" s="194">
        <f>K135*T28</f>
        <v>3</v>
      </c>
    </row>
    <row r="136" spans="1:14">
      <c r="A136" s="450" t="s">
        <v>727</v>
      </c>
      <c r="B136" s="222">
        <v>0</v>
      </c>
      <c r="C136" s="373">
        <f>B136*Y28</f>
        <v>0</v>
      </c>
      <c r="D136" s="374">
        <f>B136*Z28</f>
        <v>0</v>
      </c>
      <c r="F136" s="228">
        <v>1</v>
      </c>
      <c r="G136" s="372" t="s">
        <v>542</v>
      </c>
      <c r="H136" s="403">
        <f>ROUND(F136/Y28,4)</f>
        <v>0.15379999999999999</v>
      </c>
      <c r="I136" s="404">
        <f>ROUND(F136/Z28,4)</f>
        <v>0.23080000000000001</v>
      </c>
      <c r="K136" s="236">
        <v>1</v>
      </c>
      <c r="L136" s="372" t="s">
        <v>542</v>
      </c>
      <c r="M136" s="375">
        <f>K136*Y28</f>
        <v>6.5</v>
      </c>
      <c r="N136" s="376">
        <f>K136*Z28</f>
        <v>4.333333333333333</v>
      </c>
    </row>
    <row r="137" spans="1:14">
      <c r="A137" s="445" t="s">
        <v>735</v>
      </c>
      <c r="B137" s="101">
        <v>0</v>
      </c>
      <c r="C137" s="142">
        <f>B137*J29</f>
        <v>0</v>
      </c>
      <c r="D137" s="143">
        <f>B137*K29</f>
        <v>0</v>
      </c>
      <c r="F137" s="209">
        <v>1</v>
      </c>
      <c r="G137" s="367" t="s">
        <v>524</v>
      </c>
      <c r="H137" s="370">
        <f>ROUND(F137/J29,4)</f>
        <v>1.4999999999999999E-2</v>
      </c>
      <c r="I137" s="371">
        <f>ROUND(F137/K29,4)</f>
        <v>3.8300000000000001E-2</v>
      </c>
      <c r="K137" s="208">
        <v>1</v>
      </c>
      <c r="L137" s="367" t="s">
        <v>524</v>
      </c>
      <c r="M137" s="414">
        <f>K137*J29</f>
        <v>66.666666666666671</v>
      </c>
      <c r="N137" s="415">
        <f>K137*K29</f>
        <v>26.143790849673206</v>
      </c>
    </row>
    <row r="138" spans="1:14">
      <c r="A138" s="451" t="s">
        <v>734</v>
      </c>
      <c r="B138" s="101">
        <v>0</v>
      </c>
      <c r="C138" s="368">
        <f>B138*M29</f>
        <v>0</v>
      </c>
      <c r="D138" s="369">
        <f>B138*N29</f>
        <v>0</v>
      </c>
      <c r="F138" s="209">
        <v>1</v>
      </c>
      <c r="G138" s="131" t="s">
        <v>525</v>
      </c>
      <c r="H138" s="125">
        <f>ROUND(F138/M29,4)</f>
        <v>1.4999999999999999E-2</v>
      </c>
      <c r="I138" s="132">
        <f>ROUND(F138/N29,4)</f>
        <v>3.8300000000000001E-2</v>
      </c>
      <c r="K138" s="208">
        <v>1</v>
      </c>
      <c r="L138" s="131" t="s">
        <v>525</v>
      </c>
      <c r="M138" s="192">
        <f>K138*M29</f>
        <v>66.666666666666671</v>
      </c>
      <c r="N138" s="195">
        <f>K138*N29</f>
        <v>26.143790849673206</v>
      </c>
    </row>
    <row r="139" spans="1:14">
      <c r="A139" s="445" t="s">
        <v>733</v>
      </c>
      <c r="B139" s="101">
        <v>0</v>
      </c>
      <c r="C139" s="142">
        <f>B139*P29</f>
        <v>0</v>
      </c>
      <c r="D139" s="143">
        <f>B139*Q29</f>
        <v>0</v>
      </c>
      <c r="F139" s="209">
        <v>1</v>
      </c>
      <c r="G139" s="367" t="s">
        <v>526</v>
      </c>
      <c r="H139" s="370">
        <f>ROUND(F139/P29,4)</f>
        <v>0.18179999999999999</v>
      </c>
      <c r="I139" s="371">
        <f>ROUND(F139/Q29,4)</f>
        <v>0.2727</v>
      </c>
      <c r="K139" s="208">
        <v>1</v>
      </c>
      <c r="L139" s="367" t="s">
        <v>526</v>
      </c>
      <c r="M139" s="414">
        <f>K139*P29</f>
        <v>5.5</v>
      </c>
      <c r="N139" s="415">
        <f>K139*Q29</f>
        <v>3.6666666666666665</v>
      </c>
    </row>
    <row r="140" spans="1:14">
      <c r="A140" s="455" t="s">
        <v>732</v>
      </c>
      <c r="B140" s="222">
        <v>0</v>
      </c>
      <c r="C140" s="145">
        <f>B140*S29</f>
        <v>0</v>
      </c>
      <c r="D140" s="146">
        <f>B140*T29</f>
        <v>0</v>
      </c>
      <c r="F140" s="228">
        <v>1</v>
      </c>
      <c r="G140" s="133" t="s">
        <v>527</v>
      </c>
      <c r="H140" s="134">
        <f>ROUND(F140/S29,4)</f>
        <v>0.15379999999999999</v>
      </c>
      <c r="I140" s="135">
        <f>ROUND(F140/T29,4)</f>
        <v>0.23080000000000001</v>
      </c>
      <c r="K140" s="236">
        <v>1</v>
      </c>
      <c r="L140" s="133" t="s">
        <v>527</v>
      </c>
      <c r="M140" s="196">
        <f>K140*S29</f>
        <v>6.5</v>
      </c>
      <c r="N140" s="197">
        <f>K140*T29</f>
        <v>4.333333333333333</v>
      </c>
    </row>
    <row r="141" spans="1:14">
      <c r="A141" s="449" t="s">
        <v>731</v>
      </c>
      <c r="B141" s="101">
        <v>0</v>
      </c>
      <c r="C141" s="377">
        <f>B141*J30</f>
        <v>0</v>
      </c>
      <c r="D141" s="378">
        <f>B141*K30</f>
        <v>0</v>
      </c>
      <c r="F141" s="209">
        <v>1</v>
      </c>
      <c r="G141" s="366" t="s">
        <v>790</v>
      </c>
      <c r="H141" s="124">
        <f>ROUND(F141/J30,4)</f>
        <v>1.2E-2</v>
      </c>
      <c r="I141" s="130">
        <f>ROUND(F141/K30,4)</f>
        <v>3.0599999999999999E-2</v>
      </c>
      <c r="K141" s="208">
        <v>1</v>
      </c>
      <c r="L141" s="129" t="s">
        <v>790</v>
      </c>
      <c r="M141" s="193">
        <f>K141*J30</f>
        <v>83.333333333333329</v>
      </c>
      <c r="N141" s="194">
        <f>K141*K30</f>
        <v>32.679738562091508</v>
      </c>
    </row>
    <row r="142" spans="1:14">
      <c r="A142" s="443" t="s">
        <v>730</v>
      </c>
      <c r="B142" s="101">
        <v>0</v>
      </c>
      <c r="C142" s="139">
        <f>B142*M30</f>
        <v>0</v>
      </c>
      <c r="D142" s="140">
        <f>B142*N30</f>
        <v>0</v>
      </c>
      <c r="F142" s="209">
        <v>1</v>
      </c>
      <c r="G142" s="129" t="s">
        <v>791</v>
      </c>
      <c r="H142" s="379">
        <f>ROUND(F142/M30,4)</f>
        <v>1.2E-2</v>
      </c>
      <c r="I142" s="380">
        <f>ROUND(F142/N30,4)</f>
        <v>3.0599999999999999E-2</v>
      </c>
      <c r="K142" s="208">
        <v>1</v>
      </c>
      <c r="L142" s="366" t="s">
        <v>791</v>
      </c>
      <c r="M142" s="408">
        <f>K142*M30</f>
        <v>83.333333333333329</v>
      </c>
      <c r="N142" s="409">
        <f>K142*N30</f>
        <v>32.679738562091508</v>
      </c>
    </row>
    <row r="143" spans="1:14">
      <c r="A143" s="449" t="s">
        <v>729</v>
      </c>
      <c r="B143" s="101">
        <v>0</v>
      </c>
      <c r="C143" s="377">
        <f>B143*P30</f>
        <v>0</v>
      </c>
      <c r="D143" s="378">
        <f>B143*Q30</f>
        <v>0</v>
      </c>
      <c r="F143" s="209">
        <v>1</v>
      </c>
      <c r="G143" s="366" t="s">
        <v>792</v>
      </c>
      <c r="H143" s="124">
        <f>ROUND(F143/P30,4)</f>
        <v>0.18179999999999999</v>
      </c>
      <c r="I143" s="130">
        <f>ROUND(F143/Q30,4)</f>
        <v>0.2727</v>
      </c>
      <c r="K143" s="208">
        <v>1</v>
      </c>
      <c r="L143" s="129" t="s">
        <v>792</v>
      </c>
      <c r="M143" s="193">
        <f>K143*P30</f>
        <v>5.5</v>
      </c>
      <c r="N143" s="194">
        <f>K143*Q30</f>
        <v>3.6666666666666665</v>
      </c>
    </row>
    <row r="144" spans="1:14">
      <c r="A144" s="450" t="s">
        <v>728</v>
      </c>
      <c r="B144" s="222">
        <v>0</v>
      </c>
      <c r="C144" s="373">
        <f>B144*S30</f>
        <v>0</v>
      </c>
      <c r="D144" s="374">
        <f>B144*T30</f>
        <v>0</v>
      </c>
      <c r="F144" s="228">
        <v>1</v>
      </c>
      <c r="G144" s="372" t="s">
        <v>793</v>
      </c>
      <c r="H144" s="403">
        <f>ROUND(F144/S30,4)</f>
        <v>0.1429</v>
      </c>
      <c r="I144" s="404">
        <f>ROUND(F144/T30,4)</f>
        <v>0.21429999999999999</v>
      </c>
      <c r="K144" s="236">
        <v>1</v>
      </c>
      <c r="L144" s="372" t="s">
        <v>793</v>
      </c>
      <c r="M144" s="375">
        <f>K144*S30</f>
        <v>7</v>
      </c>
      <c r="N144" s="376">
        <f>K144*T30</f>
        <v>4.666666666666667</v>
      </c>
    </row>
    <row r="145" spans="1:14">
      <c r="A145" s="445" t="s">
        <v>786</v>
      </c>
      <c r="B145" s="101">
        <v>1</v>
      </c>
      <c r="C145" s="142">
        <f>B145*J31</f>
        <v>100</v>
      </c>
      <c r="D145" s="143">
        <f>B145*K31</f>
        <v>39.215686274509807</v>
      </c>
      <c r="F145" s="209">
        <v>1</v>
      </c>
      <c r="G145" s="367" t="s">
        <v>794</v>
      </c>
      <c r="H145" s="370">
        <f>ROUND(F145/J31,4)</f>
        <v>0.01</v>
      </c>
      <c r="I145" s="371">
        <f>ROUND(F145/K31,4)</f>
        <v>2.5499999999999998E-2</v>
      </c>
      <c r="K145" s="208">
        <v>1</v>
      </c>
      <c r="L145" s="367" t="s">
        <v>794</v>
      </c>
      <c r="M145" s="414">
        <f>K145*J31</f>
        <v>100</v>
      </c>
      <c r="N145" s="415">
        <f>K145*K31</f>
        <v>39.215686274509807</v>
      </c>
    </row>
    <row r="146" spans="1:14">
      <c r="A146" s="451" t="s">
        <v>787</v>
      </c>
      <c r="B146" s="101">
        <v>1</v>
      </c>
      <c r="C146" s="368">
        <f>B146*M31</f>
        <v>5.5</v>
      </c>
      <c r="D146" s="369">
        <f>B146*N31</f>
        <v>3.6666666666666665</v>
      </c>
      <c r="F146" s="209">
        <v>1</v>
      </c>
      <c r="G146" s="131" t="s">
        <v>795</v>
      </c>
      <c r="H146" s="125">
        <f>ROUND(F146/M31,4)</f>
        <v>0.18179999999999999</v>
      </c>
      <c r="I146" s="132">
        <f>ROUND(F146/N31,4)</f>
        <v>0.2727</v>
      </c>
      <c r="K146" s="208">
        <v>1</v>
      </c>
      <c r="L146" s="131" t="s">
        <v>795</v>
      </c>
      <c r="M146" s="192">
        <f>K146*M31</f>
        <v>5.5</v>
      </c>
      <c r="N146" s="195">
        <f>K146*N31</f>
        <v>3.6666666666666665</v>
      </c>
    </row>
    <row r="147" spans="1:14">
      <c r="A147" s="445" t="s">
        <v>788</v>
      </c>
      <c r="B147" s="101">
        <v>1</v>
      </c>
      <c r="C147" s="142">
        <f>B147*P31</f>
        <v>5.5</v>
      </c>
      <c r="D147" s="143">
        <f>B147*Q31</f>
        <v>3.6666666666666665</v>
      </c>
      <c r="F147" s="209">
        <v>1</v>
      </c>
      <c r="G147" s="367" t="s">
        <v>796</v>
      </c>
      <c r="H147" s="370">
        <f>ROUND(F147/P31,4)</f>
        <v>0.18179999999999999</v>
      </c>
      <c r="I147" s="371">
        <f>ROUND(F147/Q31,4)</f>
        <v>0.2727</v>
      </c>
      <c r="K147" s="208">
        <v>1</v>
      </c>
      <c r="L147" s="367" t="s">
        <v>796</v>
      </c>
      <c r="M147" s="414">
        <f>K147*P31</f>
        <v>5.5</v>
      </c>
      <c r="N147" s="415">
        <f>K147*Q31</f>
        <v>3.6666666666666665</v>
      </c>
    </row>
    <row r="148" spans="1:14">
      <c r="A148" s="455" t="s">
        <v>789</v>
      </c>
      <c r="B148" s="222">
        <v>1</v>
      </c>
      <c r="C148" s="145">
        <f>B148*S31</f>
        <v>7</v>
      </c>
      <c r="D148" s="146">
        <f>B148*T31</f>
        <v>4.666666666666667</v>
      </c>
      <c r="F148" s="228">
        <v>1</v>
      </c>
      <c r="G148" s="133" t="s">
        <v>797</v>
      </c>
      <c r="H148" s="134">
        <f>ROUND(F148/S31,4)</f>
        <v>0.1429</v>
      </c>
      <c r="I148" s="135">
        <f>ROUND(F148/T31,4)</f>
        <v>0.21429999999999999</v>
      </c>
      <c r="K148" s="236">
        <v>1</v>
      </c>
      <c r="L148" s="133" t="s">
        <v>797</v>
      </c>
      <c r="M148" s="196">
        <f>K148*S31</f>
        <v>7</v>
      </c>
      <c r="N148" s="197">
        <f>K148*T31</f>
        <v>4.666666666666667</v>
      </c>
    </row>
    <row r="150" spans="1:14" ht="15.75" thickBot="1">
      <c r="A150" s="253"/>
      <c r="B150" s="254"/>
      <c r="C150" s="254"/>
      <c r="D150" s="255"/>
      <c r="F150" s="253" t="s">
        <v>400</v>
      </c>
      <c r="G150" s="254"/>
      <c r="H150" s="255" t="s">
        <v>401</v>
      </c>
    </row>
    <row r="151" spans="1:14" ht="16.5" thickTop="1" thickBot="1">
      <c r="A151" s="247"/>
      <c r="B151" s="39" t="s">
        <v>126</v>
      </c>
      <c r="C151" s="142">
        <f>ROUND(SUM(C62:C144),1)</f>
        <v>0</v>
      </c>
      <c r="D151" s="242">
        <f>ROUND(SUM(D62:D144),1)</f>
        <v>0</v>
      </c>
      <c r="F151" s="240" t="s">
        <v>392</v>
      </c>
      <c r="G151" s="248"/>
      <c r="H151" s="241" t="s">
        <v>544</v>
      </c>
    </row>
    <row r="152" spans="1:14" ht="15.75" thickTop="1">
      <c r="A152" s="243" t="s">
        <v>127</v>
      </c>
      <c r="B152" s="116">
        <v>5</v>
      </c>
      <c r="C152" s="256"/>
      <c r="D152" s="257"/>
      <c r="F152" s="247"/>
      <c r="G152" s="248"/>
      <c r="H152" s="249"/>
    </row>
    <row r="153" spans="1:14">
      <c r="A153" s="244" t="s">
        <v>47</v>
      </c>
      <c r="B153" s="245">
        <f>IFERROR(1-(B152/C151),0)</f>
        <v>0</v>
      </c>
      <c r="C153" s="258"/>
      <c r="D153" s="249"/>
      <c r="F153" s="247"/>
      <c r="G153" s="248"/>
      <c r="H153" s="249"/>
    </row>
    <row r="154" spans="1:14">
      <c r="A154" s="247"/>
      <c r="B154" s="248"/>
      <c r="C154" s="248"/>
      <c r="D154" s="249"/>
      <c r="F154" s="247"/>
      <c r="G154" s="248"/>
      <c r="H154" s="249"/>
    </row>
    <row r="155" spans="1:14">
      <c r="A155" s="250"/>
      <c r="B155" s="251"/>
      <c r="C155" s="251"/>
      <c r="D155" s="252"/>
      <c r="F155" s="250"/>
      <c r="G155" s="251"/>
      <c r="H155" s="252"/>
    </row>
    <row r="156" spans="1:14">
      <c r="F156" s="246" t="s">
        <v>685</v>
      </c>
    </row>
    <row r="160" spans="1:14">
      <c r="B160" s="494" t="s">
        <v>684</v>
      </c>
      <c r="C160" s="495"/>
    </row>
    <row r="161" spans="2:3">
      <c r="B161" s="126" t="s">
        <v>682</v>
      </c>
      <c r="C161" s="439" t="s">
        <v>683</v>
      </c>
    </row>
    <row r="162" spans="2:3">
      <c r="B162" s="440">
        <v>200</v>
      </c>
      <c r="C162" s="441">
        <v>100</v>
      </c>
    </row>
    <row r="163" spans="2:3">
      <c r="B163" s="442" t="s">
        <v>47</v>
      </c>
      <c r="C163" s="456">
        <f>1- (C162/B162)</f>
        <v>0.5</v>
      </c>
    </row>
  </sheetData>
  <mergeCells count="9">
    <mergeCell ref="B160:C160"/>
    <mergeCell ref="X15:Z15"/>
    <mergeCell ref="R15:T15"/>
    <mergeCell ref="U15:W15"/>
    <mergeCell ref="A56:O57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2</xdr:col>
                <xdr:colOff>333375</xdr:colOff>
                <xdr:row>152</xdr:row>
                <xdr:rowOff>76200</xdr:rowOff>
              </from>
              <to>
                <xdr:col>3</xdr:col>
                <xdr:colOff>647700</xdr:colOff>
                <xdr:row>154</xdr:row>
                <xdr:rowOff>95250</xdr:rowOff>
              </to>
            </anchor>
          </controlPr>
        </control>
      </mc:Choice>
      <mc:Fallback>
        <control shapeId="25601" r:id="rId4" name="CommandButton1"/>
      </mc:Fallback>
    </mc:AlternateContent>
    <mc:AlternateContent xmlns:mc="http://schemas.openxmlformats.org/markup-compatibility/2006">
      <mc:Choice Requires="x14">
        <control shapeId="25602" r:id="rId6" name="CommandButton2">
          <controlPr defaultSize="0" autoLine="0" r:id="rId7">
            <anchor moveWithCells="1">
              <from>
                <xdr:col>6</xdr:col>
                <xdr:colOff>19050</xdr:colOff>
                <xdr:row>152</xdr:row>
                <xdr:rowOff>76200</xdr:rowOff>
              </from>
              <to>
                <xdr:col>6</xdr:col>
                <xdr:colOff>1390650</xdr:colOff>
                <xdr:row>154</xdr:row>
                <xdr:rowOff>85725</xdr:rowOff>
              </to>
            </anchor>
          </controlPr>
        </control>
      </mc:Choice>
      <mc:Fallback>
        <control shapeId="25602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546</v>
      </c>
      <c r="B1" s="36"/>
      <c r="C1" s="36"/>
    </row>
    <row r="4" spans="1:3" ht="15.75">
      <c r="A4" s="36" t="s">
        <v>547</v>
      </c>
    </row>
    <row r="5" spans="1:3" ht="15.75">
      <c r="A5" s="418"/>
    </row>
    <row r="6" spans="1:3" ht="16.5" thickBot="1">
      <c r="A6" s="419"/>
    </row>
    <row r="7" spans="1:3" ht="16.5" thickBot="1">
      <c r="A7" s="420" t="s">
        <v>548</v>
      </c>
      <c r="B7" s="424">
        <v>130000</v>
      </c>
    </row>
    <row r="8" spans="1:3" ht="16.5" thickBot="1">
      <c r="A8" s="420" t="s">
        <v>549</v>
      </c>
      <c r="B8" s="424">
        <v>30</v>
      </c>
    </row>
    <row r="9" spans="1:3" ht="16.5" thickBot="1">
      <c r="A9" s="420" t="s">
        <v>550</v>
      </c>
      <c r="B9" s="424">
        <v>2</v>
      </c>
    </row>
    <row r="10" spans="1:3" ht="16.5" thickBot="1">
      <c r="A10" s="420" t="s">
        <v>551</v>
      </c>
      <c r="B10" s="424">
        <v>7</v>
      </c>
    </row>
    <row r="11" spans="1:3" ht="16.5" thickBot="1">
      <c r="A11" s="420" t="s">
        <v>552</v>
      </c>
      <c r="B11" s="425">
        <v>1</v>
      </c>
    </row>
    <row r="12" spans="1:3" ht="15.75" thickBot="1">
      <c r="A12" s="422"/>
      <c r="B12" s="422"/>
    </row>
    <row r="13" spans="1:3" ht="16.5" thickBot="1">
      <c r="A13" s="420" t="s">
        <v>553</v>
      </c>
      <c r="B13" s="421">
        <f>PRODUCT(B7:B11)</f>
        <v>54600000</v>
      </c>
    </row>
    <row r="14" spans="1:3" ht="15.75" thickBot="1">
      <c r="A14" s="422"/>
      <c r="B14" s="422"/>
    </row>
    <row r="15" spans="1:3" ht="16.5" thickBot="1">
      <c r="A15" s="420" t="s">
        <v>554</v>
      </c>
      <c r="B15" s="421">
        <f>ROUND(B13,-6)</f>
        <v>55000000</v>
      </c>
    </row>
    <row r="16" spans="1:3" ht="15.75" thickBot="1">
      <c r="A16" s="422"/>
      <c r="B16" s="422"/>
    </row>
    <row r="17" spans="1:2" ht="15.75" thickBot="1">
      <c r="A17" s="423" t="s">
        <v>555</v>
      </c>
      <c r="B17" s="423" t="s">
        <v>556</v>
      </c>
    </row>
    <row r="18" spans="1:2" ht="15.75" thickBot="1">
      <c r="A18" s="424">
        <v>0.25</v>
      </c>
      <c r="B18" s="421">
        <f>$B$15*A18</f>
        <v>13750000</v>
      </c>
    </row>
    <row r="19" spans="1:2" ht="15.75" thickBot="1">
      <c r="A19" s="424">
        <v>0.5</v>
      </c>
      <c r="B19" s="421">
        <f t="shared" ref="B19:B21" si="0">$B$15*A19</f>
        <v>27500000</v>
      </c>
    </row>
    <row r="20" spans="1:2" ht="15.75" thickBot="1">
      <c r="A20" s="424">
        <v>0.75</v>
      </c>
      <c r="B20" s="421">
        <f t="shared" si="0"/>
        <v>41250000</v>
      </c>
    </row>
    <row r="21" spans="1:2" ht="15.75" thickBot="1">
      <c r="A21" s="424">
        <v>1</v>
      </c>
      <c r="B21" s="421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4:L52"/>
  <sheetViews>
    <sheetView topLeftCell="A25" workbookViewId="0">
      <selection activeCell="K18" sqref="K18"/>
    </sheetView>
  </sheetViews>
  <sheetFormatPr defaultRowHeight="15"/>
  <cols>
    <col min="3" max="3" width="18.85546875" customWidth="1"/>
    <col min="4" max="4" width="14.85546875" customWidth="1"/>
    <col min="10" max="10" width="22.28515625" customWidth="1"/>
    <col min="11" max="11" width="45.85546875" customWidth="1"/>
    <col min="12" max="12" width="25.85546875" customWidth="1"/>
  </cols>
  <sheetData>
    <row r="4" spans="3:12" ht="15.75" thickBot="1">
      <c r="C4" s="428" t="s">
        <v>557</v>
      </c>
      <c r="D4" s="429" t="s">
        <v>558</v>
      </c>
      <c r="J4" s="428" t="s">
        <v>577</v>
      </c>
      <c r="K4" s="436" t="s">
        <v>578</v>
      </c>
      <c r="L4" s="429" t="s">
        <v>579</v>
      </c>
    </row>
    <row r="5" spans="3:12" ht="15.75" thickBot="1">
      <c r="C5" s="426" t="s">
        <v>720</v>
      </c>
      <c r="D5" s="427" t="s">
        <v>559</v>
      </c>
      <c r="J5" s="433" t="s">
        <v>580</v>
      </c>
      <c r="K5" s="432" t="s">
        <v>581</v>
      </c>
      <c r="L5" s="427" t="s">
        <v>582</v>
      </c>
    </row>
    <row r="6" spans="3:12" ht="15.75" thickBot="1">
      <c r="C6" s="426" t="s">
        <v>721</v>
      </c>
      <c r="D6" s="427" t="s">
        <v>560</v>
      </c>
      <c r="J6" s="433" t="s">
        <v>580</v>
      </c>
      <c r="K6" s="432" t="s">
        <v>583</v>
      </c>
      <c r="L6" s="427" t="s">
        <v>584</v>
      </c>
    </row>
    <row r="7" spans="3:12" ht="15.75" thickBot="1">
      <c r="C7" s="426" t="s">
        <v>722</v>
      </c>
      <c r="D7" s="427" t="s">
        <v>561</v>
      </c>
      <c r="J7" s="433" t="s">
        <v>580</v>
      </c>
      <c r="K7" s="432" t="s">
        <v>585</v>
      </c>
      <c r="L7" s="427" t="s">
        <v>586</v>
      </c>
    </row>
    <row r="8" spans="3:12" ht="15.75" thickBot="1">
      <c r="C8" s="426" t="s">
        <v>702</v>
      </c>
      <c r="D8" s="427" t="s">
        <v>559</v>
      </c>
      <c r="J8" s="433" t="s">
        <v>580</v>
      </c>
      <c r="K8" s="432" t="s">
        <v>587</v>
      </c>
      <c r="L8" s="427" t="s">
        <v>588</v>
      </c>
    </row>
    <row r="9" spans="3:12" ht="15.75" thickBot="1">
      <c r="C9" s="426" t="s">
        <v>703</v>
      </c>
      <c r="D9" s="427" t="s">
        <v>559</v>
      </c>
      <c r="J9" s="433" t="s">
        <v>580</v>
      </c>
      <c r="K9" s="432" t="s">
        <v>589</v>
      </c>
      <c r="L9" s="427" t="s">
        <v>590</v>
      </c>
    </row>
    <row r="10" spans="3:12" ht="15.75" thickBot="1">
      <c r="C10" s="426" t="s">
        <v>704</v>
      </c>
      <c r="D10" s="427" t="s">
        <v>560</v>
      </c>
      <c r="J10" s="433" t="s">
        <v>580</v>
      </c>
      <c r="K10" s="432" t="s">
        <v>591</v>
      </c>
      <c r="L10" s="427" t="s">
        <v>592</v>
      </c>
    </row>
    <row r="11" spans="3:12" ht="15.75" thickBot="1">
      <c r="C11" s="426" t="s">
        <v>705</v>
      </c>
      <c r="D11" s="427" t="s">
        <v>560</v>
      </c>
      <c r="J11" s="433" t="s">
        <v>580</v>
      </c>
      <c r="K11" s="432" t="s">
        <v>593</v>
      </c>
      <c r="L11" s="427" t="s">
        <v>594</v>
      </c>
    </row>
    <row r="12" spans="3:12" ht="15.75" thickBot="1">
      <c r="C12" s="426" t="s">
        <v>706</v>
      </c>
      <c r="D12" s="427" t="s">
        <v>561</v>
      </c>
      <c r="J12" s="434" t="s">
        <v>580</v>
      </c>
      <c r="K12" s="432" t="s">
        <v>595</v>
      </c>
      <c r="L12" s="427" t="s">
        <v>596</v>
      </c>
    </row>
    <row r="13" spans="3:12" ht="15.75" customHeight="1" thickBot="1">
      <c r="C13" s="426" t="s">
        <v>707</v>
      </c>
      <c r="D13" s="427" t="s">
        <v>561</v>
      </c>
      <c r="J13" s="433" t="s">
        <v>580</v>
      </c>
      <c r="K13" s="432" t="s">
        <v>597</v>
      </c>
      <c r="L13" s="427" t="s">
        <v>598</v>
      </c>
    </row>
    <row r="14" spans="3:12" ht="15.75" thickBot="1">
      <c r="C14" s="426" t="s">
        <v>708</v>
      </c>
      <c r="D14" s="427" t="s">
        <v>562</v>
      </c>
      <c r="J14" s="433" t="s">
        <v>580</v>
      </c>
      <c r="K14" s="432" t="s">
        <v>599</v>
      </c>
      <c r="L14" s="427" t="s">
        <v>600</v>
      </c>
    </row>
    <row r="15" spans="3:12" ht="15.75" thickBot="1">
      <c r="C15" s="426" t="s">
        <v>709</v>
      </c>
      <c r="D15" s="427" t="s">
        <v>562</v>
      </c>
      <c r="J15" s="434" t="s">
        <v>580</v>
      </c>
      <c r="K15" s="432" t="s">
        <v>601</v>
      </c>
      <c r="L15" s="427" t="s">
        <v>602</v>
      </c>
    </row>
    <row r="16" spans="3:12" ht="15.75" customHeight="1" thickBot="1">
      <c r="C16" s="426" t="s">
        <v>710</v>
      </c>
      <c r="D16" s="427" t="s">
        <v>563</v>
      </c>
      <c r="J16" s="433" t="s">
        <v>580</v>
      </c>
      <c r="K16" s="432" t="s">
        <v>603</v>
      </c>
      <c r="L16" s="427" t="s">
        <v>604</v>
      </c>
    </row>
    <row r="17" spans="3:12" ht="15.75" thickBot="1">
      <c r="C17" s="426" t="s">
        <v>711</v>
      </c>
      <c r="D17" s="427" t="s">
        <v>563</v>
      </c>
      <c r="J17" s="433" t="s">
        <v>580</v>
      </c>
      <c r="K17" s="432" t="s">
        <v>784</v>
      </c>
      <c r="L17" s="427"/>
    </row>
    <row r="18" spans="3:12" ht="15.75" thickBot="1">
      <c r="C18" s="426" t="s">
        <v>712</v>
      </c>
      <c r="D18" s="427" t="s">
        <v>564</v>
      </c>
      <c r="J18" s="435" t="s">
        <v>580</v>
      </c>
      <c r="K18" s="432" t="s">
        <v>605</v>
      </c>
      <c r="L18" s="427" t="s">
        <v>606</v>
      </c>
    </row>
    <row r="19" spans="3:12" ht="15.75" thickBot="1">
      <c r="C19" s="426" t="s">
        <v>713</v>
      </c>
      <c r="D19" s="427" t="s">
        <v>564</v>
      </c>
      <c r="J19" s="435" t="s">
        <v>580</v>
      </c>
      <c r="K19" s="432" t="s">
        <v>607</v>
      </c>
      <c r="L19" s="427" t="s">
        <v>608</v>
      </c>
    </row>
    <row r="20" spans="3:12" ht="15.75" thickBot="1">
      <c r="C20" s="426" t="s">
        <v>714</v>
      </c>
      <c r="D20" s="427" t="s">
        <v>565</v>
      </c>
      <c r="J20" s="435" t="s">
        <v>580</v>
      </c>
      <c r="K20" s="432" t="s">
        <v>609</v>
      </c>
      <c r="L20" s="427" t="s">
        <v>610</v>
      </c>
    </row>
    <row r="21" spans="3:12" ht="15.75" thickBot="1">
      <c r="C21" s="426" t="s">
        <v>715</v>
      </c>
      <c r="D21" s="427" t="s">
        <v>565</v>
      </c>
      <c r="J21" s="435" t="s">
        <v>580</v>
      </c>
      <c r="K21" s="432" t="s">
        <v>611</v>
      </c>
      <c r="L21" s="427" t="s">
        <v>612</v>
      </c>
    </row>
    <row r="22" spans="3:12" ht="15.75" thickBot="1">
      <c r="C22" s="426" t="s">
        <v>716</v>
      </c>
      <c r="D22" s="427" t="s">
        <v>566</v>
      </c>
      <c r="J22" s="435" t="s">
        <v>580</v>
      </c>
      <c r="K22" s="432" t="s">
        <v>613</v>
      </c>
      <c r="L22" s="427" t="s">
        <v>614</v>
      </c>
    </row>
    <row r="23" spans="3:12" ht="15.75" thickBot="1">
      <c r="C23" s="426" t="s">
        <v>717</v>
      </c>
      <c r="D23" s="427" t="s">
        <v>566</v>
      </c>
      <c r="J23" s="435" t="s">
        <v>580</v>
      </c>
      <c r="K23" s="432" t="s">
        <v>625</v>
      </c>
      <c r="L23" s="427" t="s">
        <v>626</v>
      </c>
    </row>
    <row r="24" spans="3:12" ht="15.75" thickBot="1">
      <c r="C24" s="426" t="s">
        <v>718</v>
      </c>
      <c r="D24" s="427" t="s">
        <v>567</v>
      </c>
      <c r="J24" s="435" t="s">
        <v>580</v>
      </c>
      <c r="K24" s="432" t="s">
        <v>627</v>
      </c>
      <c r="L24" s="427" t="s">
        <v>628</v>
      </c>
    </row>
    <row r="25" spans="3:12" ht="15.75" thickBot="1">
      <c r="C25" s="426" t="s">
        <v>719</v>
      </c>
      <c r="D25" s="427" t="s">
        <v>567</v>
      </c>
      <c r="J25" s="435" t="s">
        <v>580</v>
      </c>
      <c r="K25" s="432" t="s">
        <v>629</v>
      </c>
      <c r="L25" s="427" t="s">
        <v>630</v>
      </c>
    </row>
    <row r="26" spans="3:12" ht="15.75" thickBot="1">
      <c r="C26" s="426" t="s">
        <v>568</v>
      </c>
      <c r="D26" s="427" t="s">
        <v>569</v>
      </c>
      <c r="J26" s="435" t="s">
        <v>580</v>
      </c>
      <c r="K26" s="432" t="s">
        <v>631</v>
      </c>
      <c r="L26" s="427" t="s">
        <v>632</v>
      </c>
    </row>
    <row r="27" spans="3:12" ht="15.75" thickBot="1">
      <c r="C27" s="426" t="s">
        <v>570</v>
      </c>
      <c r="D27" s="427" t="s">
        <v>560</v>
      </c>
      <c r="J27" s="435" t="s">
        <v>580</v>
      </c>
      <c r="K27" s="432" t="s">
        <v>633</v>
      </c>
      <c r="L27" s="427" t="s">
        <v>634</v>
      </c>
    </row>
    <row r="28" spans="3:12" ht="15.75" thickBot="1">
      <c r="C28" s="426" t="s">
        <v>571</v>
      </c>
      <c r="D28" s="427" t="s">
        <v>561</v>
      </c>
      <c r="J28" s="435" t="s">
        <v>580</v>
      </c>
      <c r="K28" s="432" t="s">
        <v>635</v>
      </c>
      <c r="L28" s="427" t="s">
        <v>636</v>
      </c>
    </row>
    <row r="29" spans="3:12" ht="15.75" thickBot="1">
      <c r="C29" s="426" t="s">
        <v>572</v>
      </c>
      <c r="D29" s="427" t="s">
        <v>563</v>
      </c>
      <c r="J29" s="435" t="s">
        <v>580</v>
      </c>
      <c r="K29" s="432" t="s">
        <v>637</v>
      </c>
      <c r="L29" s="427" t="s">
        <v>638</v>
      </c>
    </row>
    <row r="30" spans="3:12" ht="15.75" thickBot="1">
      <c r="C30" s="426" t="s">
        <v>573</v>
      </c>
      <c r="D30" s="427" t="s">
        <v>566</v>
      </c>
      <c r="J30" s="435" t="s">
        <v>580</v>
      </c>
      <c r="K30" s="432" t="s">
        <v>639</v>
      </c>
      <c r="L30" s="427" t="s">
        <v>640</v>
      </c>
    </row>
    <row r="31" spans="3:12" ht="15.75" thickBot="1">
      <c r="C31" s="430" t="s">
        <v>574</v>
      </c>
      <c r="D31" s="431" t="s">
        <v>575</v>
      </c>
      <c r="J31" s="435" t="s">
        <v>580</v>
      </c>
      <c r="K31" s="432" t="s">
        <v>641</v>
      </c>
      <c r="L31" s="427" t="s">
        <v>642</v>
      </c>
    </row>
    <row r="32" spans="3:12" ht="15.75" thickBot="1">
      <c r="J32" s="435" t="s">
        <v>580</v>
      </c>
      <c r="K32" s="432" t="s">
        <v>643</v>
      </c>
      <c r="L32" s="427" t="s">
        <v>644</v>
      </c>
    </row>
    <row r="33" spans="10:12" ht="15.75" thickBot="1">
      <c r="J33" s="435" t="s">
        <v>580</v>
      </c>
      <c r="K33" s="432" t="s">
        <v>645</v>
      </c>
      <c r="L33" s="427" t="s">
        <v>646</v>
      </c>
    </row>
    <row r="34" spans="10:12" ht="15.75" thickBot="1">
      <c r="J34" s="435" t="s">
        <v>580</v>
      </c>
      <c r="K34" s="432" t="s">
        <v>647</v>
      </c>
      <c r="L34" s="427" t="s">
        <v>648</v>
      </c>
    </row>
    <row r="35" spans="10:12" ht="15.75" thickBot="1">
      <c r="J35" s="435" t="s">
        <v>580</v>
      </c>
      <c r="K35" s="432" t="s">
        <v>649</v>
      </c>
      <c r="L35" s="427" t="s">
        <v>650</v>
      </c>
    </row>
    <row r="36" spans="10:12" ht="15.75" thickBot="1">
      <c r="J36" s="435" t="s">
        <v>580</v>
      </c>
      <c r="K36" s="432" t="s">
        <v>651</v>
      </c>
      <c r="L36" s="427" t="s">
        <v>652</v>
      </c>
    </row>
    <row r="37" spans="10:12" ht="15.75" thickBot="1">
      <c r="J37" s="435" t="s">
        <v>580</v>
      </c>
      <c r="K37" s="432" t="s">
        <v>653</v>
      </c>
      <c r="L37" s="427" t="s">
        <v>654</v>
      </c>
    </row>
    <row r="38" spans="10:12" ht="15.75" thickBot="1">
      <c r="J38" s="435" t="s">
        <v>580</v>
      </c>
      <c r="K38" s="432" t="s">
        <v>655</v>
      </c>
      <c r="L38" s="427" t="s">
        <v>656</v>
      </c>
    </row>
    <row r="39" spans="10:12" ht="15.75" thickBot="1">
      <c r="J39" s="435" t="s">
        <v>615</v>
      </c>
      <c r="K39" s="432" t="s">
        <v>616</v>
      </c>
      <c r="L39" s="427" t="s">
        <v>617</v>
      </c>
    </row>
    <row r="40" spans="10:12" ht="15.75" thickBot="1">
      <c r="J40" s="435" t="s">
        <v>615</v>
      </c>
      <c r="K40" s="432" t="s">
        <v>618</v>
      </c>
      <c r="L40" s="427" t="s">
        <v>619</v>
      </c>
    </row>
    <row r="41" spans="10:12" ht="15.75" thickBot="1">
      <c r="J41" s="435" t="s">
        <v>620</v>
      </c>
      <c r="K41" s="432" t="s">
        <v>621</v>
      </c>
      <c r="L41" s="427" t="s">
        <v>622</v>
      </c>
    </row>
    <row r="42" spans="10:12" ht="15.75" thickBot="1">
      <c r="J42" s="435" t="s">
        <v>620</v>
      </c>
      <c r="K42" s="432" t="s">
        <v>623</v>
      </c>
      <c r="L42" s="427" t="s">
        <v>624</v>
      </c>
    </row>
    <row r="43" spans="10:12" ht="15.75" thickBot="1">
      <c r="J43" s="435" t="s">
        <v>657</v>
      </c>
      <c r="K43" s="432" t="s">
        <v>658</v>
      </c>
      <c r="L43" s="427" t="s">
        <v>659</v>
      </c>
    </row>
    <row r="44" spans="10:12" ht="15.75" thickBot="1">
      <c r="J44" s="435" t="s">
        <v>657</v>
      </c>
      <c r="K44" s="432" t="s">
        <v>660</v>
      </c>
      <c r="L44" s="427" t="s">
        <v>661</v>
      </c>
    </row>
    <row r="45" spans="10:12" ht="15.75" thickBot="1">
      <c r="J45" s="435" t="s">
        <v>662</v>
      </c>
      <c r="K45" s="432" t="s">
        <v>663</v>
      </c>
      <c r="L45" s="427" t="s">
        <v>664</v>
      </c>
    </row>
    <row r="46" spans="10:12" ht="15.75" thickBot="1">
      <c r="J46" s="435" t="s">
        <v>665</v>
      </c>
      <c r="K46" s="432" t="s">
        <v>666</v>
      </c>
      <c r="L46" s="427" t="s">
        <v>667</v>
      </c>
    </row>
    <row r="47" spans="10:12" ht="15.75" thickBot="1">
      <c r="J47" s="435" t="s">
        <v>665</v>
      </c>
      <c r="K47" s="432" t="s">
        <v>668</v>
      </c>
      <c r="L47" s="427" t="s">
        <v>669</v>
      </c>
    </row>
    <row r="48" spans="10:12" ht="15.75" thickBot="1">
      <c r="J48" s="435" t="s">
        <v>670</v>
      </c>
      <c r="K48" s="432" t="s">
        <v>671</v>
      </c>
      <c r="L48" s="427" t="s">
        <v>672</v>
      </c>
    </row>
    <row r="49" spans="10:12" ht="15.75" thickBot="1">
      <c r="J49" s="435" t="s">
        <v>670</v>
      </c>
      <c r="K49" s="432" t="s">
        <v>673</v>
      </c>
      <c r="L49" s="427" t="s">
        <v>674</v>
      </c>
    </row>
    <row r="50" spans="10:12" ht="15.75" thickBot="1">
      <c r="J50" s="435" t="s">
        <v>675</v>
      </c>
      <c r="K50" s="432" t="s">
        <v>676</v>
      </c>
      <c r="L50" s="427" t="s">
        <v>677</v>
      </c>
    </row>
    <row r="51" spans="10:12" ht="15.75" thickBot="1">
      <c r="J51" s="435" t="s">
        <v>675</v>
      </c>
      <c r="K51" s="432" t="s">
        <v>678</v>
      </c>
      <c r="L51" s="427" t="s">
        <v>679</v>
      </c>
    </row>
    <row r="52" spans="10:12">
      <c r="J52" s="437" t="s">
        <v>675</v>
      </c>
      <c r="K52" s="438" t="s">
        <v>680</v>
      </c>
      <c r="L52" s="431" t="s">
        <v>681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1733BD-FDAC-45AD-A0CD-7C4B6266E0CC}">
  <ds:schemaRefs/>
</ds:datastoreItem>
</file>

<file path=customXml/itemProps2.xml><?xml version="1.0" encoding="utf-8"?>
<ds:datastoreItem xmlns:ds="http://schemas.openxmlformats.org/officeDocument/2006/customXml" ds:itemID="{CA5FF991-C66A-4AAF-AC09-3E8322DE2999}">
  <ds:schemaRefs/>
</ds:datastoreItem>
</file>

<file path=customXml/itemProps3.xml><?xml version="1.0" encoding="utf-8"?>
<ds:datastoreItem xmlns:ds="http://schemas.openxmlformats.org/officeDocument/2006/customXml" ds:itemID="{E4A9B254-DDD8-464F-AF7A-4D112BB6FD8E}">
  <ds:schemaRefs/>
</ds:datastoreItem>
</file>

<file path=customXml/itemProps4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5.xml><?xml version="1.0" encoding="utf-8"?>
<ds:datastoreItem xmlns:ds="http://schemas.openxmlformats.org/officeDocument/2006/customXml" ds:itemID="{09DE11B8-3459-491D-8BA8-7D75F0234420}">
  <ds:schemaRefs/>
</ds:datastoreItem>
</file>

<file path=customXml/itemProps6.xml><?xml version="1.0" encoding="utf-8"?>
<ds:datastoreItem xmlns:ds="http://schemas.openxmlformats.org/officeDocument/2006/customXml" ds:itemID="{8428E760-B837-43D3-BFB6-FA3F00E4351C}">
  <ds:schemaRefs/>
</ds:datastoreItem>
</file>

<file path=customXml/itemProps7.xml><?xml version="1.0" encoding="utf-8"?>
<ds:datastoreItem xmlns:ds="http://schemas.openxmlformats.org/officeDocument/2006/customXml" ds:itemID="{E68C531D-A362-4FEB-8EB6-C7E4117D7A69}">
  <ds:schemaRefs/>
</ds:datastoreItem>
</file>

<file path=customXml/itemProps8.xml><?xml version="1.0" encoding="utf-8"?>
<ds:datastoreItem xmlns:ds="http://schemas.openxmlformats.org/officeDocument/2006/customXml" ds:itemID="{F8AB7AAD-CCBA-4D35-9A0D-E4DC6E01A4E1}">
  <ds:schemaRefs/>
</ds:datastoreItem>
</file>

<file path=customXml/itemProps9.xml><?xml version="1.0" encoding="utf-8"?>
<ds:datastoreItem xmlns:ds="http://schemas.openxmlformats.org/officeDocument/2006/customXml" ds:itemID="{4B5313D3-99C5-44BD-BE39-5926B1C15ED3}">
  <ds:schemaRefs/>
</ds:datastoreItem>
</file>

<file path=customXml/itemProps10.xml><?xml version="1.0" encoding="utf-8"?>
<ds:datastoreItem xmlns:ds="http://schemas.openxmlformats.org/officeDocument/2006/customXml" ds:itemID="{457F4C07-1709-4595-8EC4-6C0DABF04268}">
  <ds:schemaRefs/>
</ds:datastoreItem>
</file>

<file path=customXml/itemProps11.xml><?xml version="1.0" encoding="utf-8"?>
<ds:datastoreItem xmlns:ds="http://schemas.openxmlformats.org/officeDocument/2006/customXml" ds:itemID="{3B5C8196-2348-4D06-B408-7ECE9A09663C}">
  <ds:schemaRefs/>
</ds:datastoreItem>
</file>

<file path=customXml/itemProps12.xml><?xml version="1.0" encoding="utf-8"?>
<ds:datastoreItem xmlns:ds="http://schemas.openxmlformats.org/officeDocument/2006/customXml" ds:itemID="{73EAB481-866B-4C0F-8627-26832E150B4D}">
  <ds:schemaRefs/>
</ds:datastoreItem>
</file>

<file path=customXml/itemProps13.xml><?xml version="1.0" encoding="utf-8"?>
<ds:datastoreItem xmlns:ds="http://schemas.openxmlformats.org/officeDocument/2006/customXml" ds:itemID="{27B0BC59-0E6A-4278-957E-2A6158A5EF58}">
  <ds:schemaRefs/>
</ds:datastoreItem>
</file>

<file path=customXml/itemProps14.xml><?xml version="1.0" encoding="utf-8"?>
<ds:datastoreItem xmlns:ds="http://schemas.openxmlformats.org/officeDocument/2006/customXml" ds:itemID="{F92C5DF9-F10E-4F67-A74E-2A3531B26D44}">
  <ds:schemaRefs/>
</ds:datastoreItem>
</file>

<file path=customXml/itemProps15.xml><?xml version="1.0" encoding="utf-8"?>
<ds:datastoreItem xmlns:ds="http://schemas.openxmlformats.org/officeDocument/2006/customXml" ds:itemID="{72671333-EA01-4E61-9495-0C521CFF4E42}">
  <ds:schemaRefs/>
</ds:datastoreItem>
</file>

<file path=customXml/itemProps16.xml><?xml version="1.0" encoding="utf-8"?>
<ds:datastoreItem xmlns:ds="http://schemas.openxmlformats.org/officeDocument/2006/customXml" ds:itemID="{5C670962-9690-435C-A5BE-6413D7595FD6}">
  <ds:schemaRefs/>
</ds:datastoreItem>
</file>

<file path=customXml/itemProps17.xml><?xml version="1.0" encoding="utf-8"?>
<ds:datastoreItem xmlns:ds="http://schemas.openxmlformats.org/officeDocument/2006/customXml" ds:itemID="{A502F854-1DC8-4930-AC9B-4F60D9DD5EEF}">
  <ds:schemaRefs/>
</ds:datastoreItem>
</file>

<file path=customXml/itemProps18.xml><?xml version="1.0" encoding="utf-8"?>
<ds:datastoreItem xmlns:ds="http://schemas.openxmlformats.org/officeDocument/2006/customXml" ds:itemID="{498F0357-19EF-429B-ABBE-9EE0F18B7652}">
  <ds:schemaRefs/>
</ds:datastoreItem>
</file>

<file path=customXml/itemProps19.xml><?xml version="1.0" encoding="utf-8"?>
<ds:datastoreItem xmlns:ds="http://schemas.openxmlformats.org/officeDocument/2006/customXml" ds:itemID="{C5CBC30E-2F3A-4931-BF4A-9F61DD9D84E2}">
  <ds:schemaRefs/>
</ds:datastoreItem>
</file>

<file path=customXml/itemProps20.xml><?xml version="1.0" encoding="utf-8"?>
<ds:datastoreItem xmlns:ds="http://schemas.openxmlformats.org/officeDocument/2006/customXml" ds:itemID="{14FA3DBF-3D10-4CEC-9C13-2B643DF1E106}">
  <ds:schemaRefs/>
</ds:datastoreItem>
</file>

<file path=customXml/itemProps21.xml><?xml version="1.0" encoding="utf-8"?>
<ds:datastoreItem xmlns:ds="http://schemas.openxmlformats.org/officeDocument/2006/customXml" ds:itemID="{B0B7BE38-2889-44EA-9FB0-2D6FF9BB889A}">
  <ds:schemaRefs/>
</ds:datastoreItem>
</file>

<file path=customXml/itemProps22.xml><?xml version="1.0" encoding="utf-8"?>
<ds:datastoreItem xmlns:ds="http://schemas.openxmlformats.org/officeDocument/2006/customXml" ds:itemID="{A4A5620A-4296-4C7A-BA8C-7054E1FB2B7E}">
  <ds:schemaRefs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purl.org/dc/elements/1.1/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3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2020-04-20T13:47:18Z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