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7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R21" i="53" l="1"/>
  <c r="C26" i="53" s="1"/>
  <c r="R20" i="53"/>
  <c r="C25" i="53" s="1"/>
  <c r="R19" i="53"/>
  <c r="C24" i="53" s="1"/>
  <c r="R16" i="53" l="1"/>
  <c r="I95" i="53"/>
  <c r="I96" i="53"/>
  <c r="I97" i="53"/>
  <c r="G44" i="53" s="1"/>
  <c r="I94" i="53"/>
  <c r="I90" i="53"/>
  <c r="I91" i="53"/>
  <c r="I92" i="53"/>
  <c r="G43" i="53" s="1"/>
  <c r="I89" i="53"/>
  <c r="I87" i="53"/>
  <c r="G42" i="53" s="1"/>
  <c r="I85" i="53"/>
  <c r="I86" i="53"/>
  <c r="I84" i="53"/>
  <c r="I80" i="53"/>
  <c r="I81" i="53"/>
  <c r="I82" i="53"/>
  <c r="I79" i="53"/>
  <c r="I75" i="53"/>
  <c r="I76" i="53"/>
  <c r="I77" i="53"/>
  <c r="I74" i="53"/>
  <c r="I70" i="53"/>
  <c r="I71" i="53"/>
  <c r="I72" i="53"/>
  <c r="I69" i="53"/>
  <c r="I65" i="53"/>
  <c r="I66" i="53"/>
  <c r="I67" i="53"/>
  <c r="I64" i="53"/>
  <c r="I60" i="53"/>
  <c r="I61" i="53"/>
  <c r="I62" i="53"/>
  <c r="I59" i="53"/>
  <c r="I58" i="53"/>
  <c r="I57" i="53"/>
  <c r="I56" i="53"/>
  <c r="I55" i="53"/>
  <c r="I54" i="53"/>
  <c r="I53" i="53"/>
  <c r="I52" i="53"/>
  <c r="I51" i="53"/>
  <c r="I50" i="53"/>
  <c r="I49" i="53"/>
  <c r="F35" i="53" l="1"/>
  <c r="F40" i="53"/>
  <c r="F41" i="53"/>
  <c r="F44" i="53"/>
  <c r="C21" i="53"/>
  <c r="C30" i="53" s="1"/>
  <c r="F38" i="53"/>
  <c r="F43" i="53"/>
  <c r="C20" i="53" s="1"/>
  <c r="F39" i="53"/>
  <c r="F42" i="53"/>
  <c r="F36" i="53"/>
  <c r="F37" i="53"/>
  <c r="C17" i="53"/>
  <c r="R13" i="53"/>
  <c r="C16" i="53" s="1"/>
  <c r="C13" i="53"/>
  <c r="R10" i="53"/>
  <c r="C12" i="53" s="1"/>
  <c r="C29" i="53" l="1"/>
  <c r="H29" i="15" l="1"/>
  <c r="G29" i="15"/>
  <c r="G28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0" i="15" l="1"/>
  <c r="B7" i="15"/>
  <c r="C84" i="15" l="1"/>
  <c r="N124" i="15"/>
  <c r="N123" i="15"/>
  <c r="N122" i="15"/>
  <c r="N121" i="15"/>
  <c r="M124" i="15"/>
  <c r="M123" i="15"/>
  <c r="M122" i="15"/>
  <c r="M121" i="15"/>
  <c r="N120" i="15"/>
  <c r="N119" i="15"/>
  <c r="N118" i="15"/>
  <c r="N117" i="15"/>
  <c r="M120" i="15"/>
  <c r="M119" i="15"/>
  <c r="M118" i="15"/>
  <c r="M117" i="15"/>
  <c r="N116" i="15"/>
  <c r="N115" i="15"/>
  <c r="N114" i="15"/>
  <c r="N113" i="15"/>
  <c r="M116" i="15"/>
  <c r="M115" i="15"/>
  <c r="M114" i="15"/>
  <c r="M113" i="15"/>
  <c r="N112" i="15"/>
  <c r="N111" i="15"/>
  <c r="N110" i="15"/>
  <c r="N109" i="15"/>
  <c r="M112" i="15"/>
  <c r="M111" i="15"/>
  <c r="M110" i="15"/>
  <c r="M109" i="15"/>
  <c r="N108" i="15"/>
  <c r="N107" i="15"/>
  <c r="N106" i="15"/>
  <c r="N105" i="15"/>
  <c r="M108" i="15"/>
  <c r="M107" i="15"/>
  <c r="M106" i="15"/>
  <c r="M105" i="15"/>
  <c r="N104" i="15"/>
  <c r="N103" i="15"/>
  <c r="N102" i="15"/>
  <c r="N101" i="15"/>
  <c r="M104" i="15"/>
  <c r="M103" i="15"/>
  <c r="M102" i="15"/>
  <c r="M101" i="15"/>
  <c r="N100" i="15"/>
  <c r="M100" i="15"/>
  <c r="N99" i="15"/>
  <c r="N98" i="15"/>
  <c r="N97" i="15"/>
  <c r="M99" i="15"/>
  <c r="M98" i="15"/>
  <c r="M97" i="15"/>
  <c r="N96" i="15"/>
  <c r="N95" i="15"/>
  <c r="N94" i="15"/>
  <c r="M96" i="15"/>
  <c r="M95" i="15"/>
  <c r="M94" i="15"/>
  <c r="N93" i="15"/>
  <c r="N92" i="15"/>
  <c r="N91" i="15"/>
  <c r="M93" i="15"/>
  <c r="M92" i="15"/>
  <c r="M91" i="15"/>
  <c r="N90" i="15"/>
  <c r="M90" i="15"/>
  <c r="N89" i="15"/>
  <c r="N88" i="15"/>
  <c r="M89" i="15"/>
  <c r="M88" i="15"/>
  <c r="N87" i="15"/>
  <c r="N86" i="15"/>
  <c r="M87" i="15"/>
  <c r="M86" i="15"/>
  <c r="N84" i="15"/>
  <c r="M84" i="15"/>
  <c r="N85" i="15"/>
  <c r="M85" i="15"/>
  <c r="M73" i="15"/>
  <c r="I75" i="15"/>
  <c r="I76" i="15"/>
  <c r="I77" i="15"/>
  <c r="I78" i="15"/>
  <c r="I73" i="15"/>
  <c r="I74" i="15"/>
  <c r="I71" i="15"/>
  <c r="I72" i="15"/>
  <c r="I69" i="15"/>
  <c r="I70" i="15"/>
  <c r="H78" i="15"/>
  <c r="H75" i="15"/>
  <c r="H76" i="15"/>
  <c r="H77" i="15"/>
  <c r="H73" i="15"/>
  <c r="H74" i="15"/>
  <c r="H71" i="15"/>
  <c r="H72" i="15"/>
  <c r="H69" i="15"/>
  <c r="H70" i="15"/>
  <c r="I68" i="15"/>
  <c r="H68" i="15"/>
  <c r="I67" i="15"/>
  <c r="H67" i="15"/>
  <c r="I124" i="15"/>
  <c r="I123" i="15"/>
  <c r="I122" i="15"/>
  <c r="I121" i="15"/>
  <c r="H124" i="15"/>
  <c r="H123" i="15"/>
  <c r="H122" i="15"/>
  <c r="H121" i="15"/>
  <c r="I120" i="15"/>
  <c r="I119" i="15"/>
  <c r="I118" i="15"/>
  <c r="I117" i="15"/>
  <c r="H120" i="15"/>
  <c r="H119" i="15"/>
  <c r="H118" i="15"/>
  <c r="H117" i="15"/>
  <c r="I116" i="15"/>
  <c r="I115" i="15"/>
  <c r="I114" i="15"/>
  <c r="I113" i="15"/>
  <c r="H116" i="15"/>
  <c r="H115" i="15"/>
  <c r="H114" i="15"/>
  <c r="H113" i="15"/>
  <c r="I112" i="15"/>
  <c r="I111" i="15"/>
  <c r="I110" i="15"/>
  <c r="I109" i="15"/>
  <c r="H112" i="15"/>
  <c r="H111" i="15"/>
  <c r="H110" i="15"/>
  <c r="H109" i="15"/>
  <c r="I108" i="15"/>
  <c r="I107" i="15"/>
  <c r="I106" i="15"/>
  <c r="I105" i="15"/>
  <c r="H108" i="15"/>
  <c r="H107" i="15"/>
  <c r="H106" i="15"/>
  <c r="H105" i="15"/>
  <c r="I104" i="15"/>
  <c r="I103" i="15"/>
  <c r="I102" i="15"/>
  <c r="I101" i="15"/>
  <c r="H104" i="15"/>
  <c r="H103" i="15"/>
  <c r="H102" i="15"/>
  <c r="H101" i="15"/>
  <c r="I100" i="15"/>
  <c r="I99" i="15"/>
  <c r="I98" i="15"/>
  <c r="I97" i="15"/>
  <c r="H100" i="15"/>
  <c r="H99" i="15"/>
  <c r="H98" i="15"/>
  <c r="H97" i="15"/>
  <c r="I96" i="15"/>
  <c r="H96" i="15"/>
  <c r="I95" i="15"/>
  <c r="H95" i="15"/>
  <c r="I94" i="15"/>
  <c r="H94" i="15"/>
  <c r="I93" i="15"/>
  <c r="H93" i="15"/>
  <c r="I92" i="15"/>
  <c r="H92" i="15"/>
  <c r="I91" i="15"/>
  <c r="H91" i="15"/>
  <c r="I90" i="15"/>
  <c r="H90" i="15"/>
  <c r="I89" i="15"/>
  <c r="H89" i="15"/>
  <c r="I88" i="15"/>
  <c r="H88" i="15"/>
  <c r="I87" i="15"/>
  <c r="H87" i="15"/>
  <c r="I86" i="15"/>
  <c r="H86" i="15"/>
  <c r="I85" i="15"/>
  <c r="H85" i="15"/>
  <c r="I84" i="15"/>
  <c r="H84" i="15"/>
  <c r="D124" i="15"/>
  <c r="C124" i="15"/>
  <c r="D123" i="15"/>
  <c r="C123" i="15"/>
  <c r="D122" i="15"/>
  <c r="C122" i="15"/>
  <c r="D121" i="15"/>
  <c r="C121" i="15"/>
  <c r="D120" i="15"/>
  <c r="C120" i="15"/>
  <c r="D119" i="15"/>
  <c r="C119" i="15"/>
  <c r="D118" i="15"/>
  <c r="C118" i="15"/>
  <c r="D117" i="15"/>
  <c r="C117" i="15"/>
  <c r="D116" i="15"/>
  <c r="C116" i="15"/>
  <c r="D115" i="15"/>
  <c r="C115" i="15"/>
  <c r="D114" i="15"/>
  <c r="C114" i="15"/>
  <c r="D113" i="15"/>
  <c r="C113" i="15"/>
  <c r="D112" i="15"/>
  <c r="C112" i="15"/>
  <c r="D111" i="15"/>
  <c r="C111" i="15"/>
  <c r="D110" i="15"/>
  <c r="C110" i="15"/>
  <c r="C109" i="15"/>
  <c r="D109" i="15"/>
  <c r="D108" i="15"/>
  <c r="C108" i="15"/>
  <c r="D107" i="15"/>
  <c r="C107" i="15"/>
  <c r="D106" i="15"/>
  <c r="C106" i="15"/>
  <c r="D105" i="15"/>
  <c r="C105" i="15"/>
  <c r="D104" i="15"/>
  <c r="C104" i="15"/>
  <c r="D103" i="15"/>
  <c r="C103" i="15"/>
  <c r="D102" i="15"/>
  <c r="C102" i="15"/>
  <c r="D101" i="15"/>
  <c r="C101" i="15"/>
  <c r="D100" i="15"/>
  <c r="C100" i="15"/>
  <c r="D99" i="15"/>
  <c r="C99" i="15"/>
  <c r="D98" i="15"/>
  <c r="C98" i="15"/>
  <c r="D97" i="15"/>
  <c r="C97" i="15"/>
  <c r="D96" i="15"/>
  <c r="C96" i="15"/>
  <c r="D95" i="15"/>
  <c r="C95" i="15"/>
  <c r="D94" i="15"/>
  <c r="C94" i="15"/>
  <c r="D93" i="15"/>
  <c r="C93" i="15"/>
  <c r="D92" i="15"/>
  <c r="C92" i="15"/>
  <c r="D91" i="15"/>
  <c r="C91" i="15"/>
  <c r="D90" i="15"/>
  <c r="C90" i="15"/>
  <c r="D89" i="15"/>
  <c r="C89" i="15"/>
  <c r="D88" i="15"/>
  <c r="C88" i="15"/>
  <c r="D87" i="15"/>
  <c r="C87" i="15"/>
  <c r="D86" i="15"/>
  <c r="C86" i="15"/>
  <c r="D85" i="15"/>
  <c r="C85" i="15"/>
  <c r="D84" i="15"/>
  <c r="S26" i="15" l="1"/>
  <c r="S25" i="15"/>
  <c r="S24" i="15"/>
  <c r="S23" i="15"/>
  <c r="S22" i="15"/>
  <c r="S21" i="15"/>
  <c r="P26" i="15"/>
  <c r="P25" i="15"/>
  <c r="P24" i="15"/>
  <c r="P23" i="15"/>
  <c r="P22" i="15"/>
  <c r="P21" i="15"/>
  <c r="P20" i="15"/>
  <c r="P19" i="15"/>
  <c r="P18" i="15"/>
  <c r="M26" i="15"/>
  <c r="M25" i="15"/>
  <c r="M24" i="15"/>
  <c r="M23" i="15"/>
  <c r="M22" i="15"/>
  <c r="M21" i="15"/>
  <c r="M20" i="15"/>
  <c r="M19" i="15"/>
  <c r="M18" i="15"/>
  <c r="M17" i="15"/>
  <c r="M16" i="15"/>
  <c r="S27" i="15"/>
  <c r="P27" i="15"/>
  <c r="M27" i="15"/>
  <c r="J16" i="15"/>
  <c r="J26" i="15"/>
  <c r="J27" i="15"/>
  <c r="J25" i="15"/>
  <c r="J24" i="15"/>
  <c r="J23" i="15"/>
  <c r="J22" i="15"/>
  <c r="J21" i="15"/>
  <c r="J20" i="15"/>
  <c r="J19" i="15"/>
  <c r="J18" i="15"/>
  <c r="J17" i="15"/>
  <c r="G16" i="15"/>
  <c r="G18" i="15" l="1"/>
  <c r="F3" i="15"/>
  <c r="F2" i="15"/>
  <c r="B34" i="15" s="1"/>
  <c r="B30" i="15"/>
  <c r="B21" i="15"/>
  <c r="B20" i="15"/>
  <c r="G2" i="15" l="1"/>
  <c r="M59" i="15"/>
  <c r="F39" i="15"/>
  <c r="F12" i="15"/>
  <c r="F11" i="15"/>
  <c r="G12" i="15" l="1"/>
  <c r="M63" i="15" s="1"/>
  <c r="N39" i="15"/>
  <c r="C63" i="15" s="1"/>
  <c r="H63" i="15"/>
  <c r="J39" i="15"/>
  <c r="C62" i="15" s="1"/>
  <c r="H62" i="15"/>
  <c r="G11" i="15"/>
  <c r="M62" i="15" s="1"/>
  <c r="E34" i="15"/>
  <c r="F8" i="15"/>
  <c r="G8" i="15" s="1"/>
  <c r="F7" i="15"/>
  <c r="G7" i="15" s="1"/>
  <c r="F6" i="15"/>
  <c r="B22" i="15"/>
  <c r="B23" i="15"/>
  <c r="B24" i="15"/>
  <c r="B25" i="15"/>
  <c r="B39" i="15" l="1"/>
  <c r="G6" i="15"/>
  <c r="M58" i="15"/>
  <c r="H66" i="15"/>
  <c r="H65" i="15"/>
  <c r="H64" i="15"/>
  <c r="H61" i="15"/>
  <c r="H60" i="15"/>
  <c r="H59" i="15"/>
  <c r="H58" i="15"/>
  <c r="M65" i="15" l="1"/>
  <c r="C59" i="15" l="1"/>
  <c r="G32" i="15"/>
  <c r="G31" i="15"/>
  <c r="G30" i="15"/>
  <c r="M83" i="15" l="1"/>
  <c r="H83" i="15"/>
  <c r="M82" i="15"/>
  <c r="H82" i="15"/>
  <c r="M81" i="15"/>
  <c r="H81" i="15"/>
  <c r="M80" i="15"/>
  <c r="H80" i="15"/>
  <c r="M79" i="15"/>
  <c r="H79" i="15"/>
  <c r="C80" i="15"/>
  <c r="C83" i="15"/>
  <c r="C82" i="15"/>
  <c r="C81" i="15"/>
  <c r="C79" i="15"/>
  <c r="N9" i="4"/>
  <c r="C61" i="15" l="1"/>
  <c r="G3" i="15"/>
  <c r="M61" i="15" s="1"/>
  <c r="M60" i="15"/>
  <c r="L31" i="32" l="1"/>
  <c r="K31" i="32"/>
  <c r="J31" i="32"/>
  <c r="G27" i="15" l="1"/>
  <c r="M78" i="15" s="1"/>
  <c r="C78" i="15" l="1"/>
  <c r="G25" i="2"/>
  <c r="H47" i="2" s="1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6" i="15"/>
  <c r="M64" i="15"/>
  <c r="C58" i="15"/>
  <c r="G26" i="15"/>
  <c r="M77" i="15" s="1"/>
  <c r="G25" i="15"/>
  <c r="M76" i="15" s="1"/>
  <c r="G24" i="15"/>
  <c r="M75" i="15" s="1"/>
  <c r="G23" i="15"/>
  <c r="M74" i="15" s="1"/>
  <c r="G22" i="15"/>
  <c r="G21" i="15"/>
  <c r="M72" i="15" s="1"/>
  <c r="G20" i="15"/>
  <c r="M71" i="15" s="1"/>
  <c r="G19" i="15"/>
  <c r="M70" i="15" s="1"/>
  <c r="M69" i="15"/>
  <c r="G17" i="15"/>
  <c r="M68" i="15" s="1"/>
  <c r="M67" i="15"/>
  <c r="C72" i="15" l="1"/>
  <c r="C73" i="15"/>
  <c r="C74" i="15"/>
  <c r="C75" i="15"/>
  <c r="C70" i="15"/>
  <c r="C71" i="15"/>
  <c r="C76" i="15"/>
  <c r="C68" i="15"/>
  <c r="C69" i="15"/>
  <c r="C77" i="15"/>
  <c r="C67" i="15"/>
  <c r="B12" i="15"/>
  <c r="B4" i="15" s="1"/>
  <c r="T24" i="15" l="1"/>
  <c r="Q18" i="15"/>
  <c r="T27" i="15"/>
  <c r="T22" i="15"/>
  <c r="T25" i="15"/>
  <c r="N16" i="15"/>
  <c r="T21" i="15"/>
  <c r="Q19" i="15"/>
  <c r="T23" i="15"/>
  <c r="T26" i="15"/>
  <c r="Q20" i="15"/>
  <c r="N17" i="15"/>
  <c r="B40" i="15"/>
  <c r="B35" i="15"/>
  <c r="H19" i="15"/>
  <c r="N70" i="15" s="1"/>
  <c r="F40" i="15"/>
  <c r="D61" i="15" s="1"/>
  <c r="N40" i="15"/>
  <c r="D63" i="15" s="1"/>
  <c r="I63" i="15"/>
  <c r="I62" i="15"/>
  <c r="J40" i="15"/>
  <c r="D62" i="15" s="1"/>
  <c r="B17" i="15"/>
  <c r="H12" i="15"/>
  <c r="N63" i="15" s="1"/>
  <c r="H11" i="15"/>
  <c r="N62" i="15" s="1"/>
  <c r="N58" i="15"/>
  <c r="I58" i="15"/>
  <c r="I66" i="15"/>
  <c r="I61" i="15"/>
  <c r="I60" i="15"/>
  <c r="I64" i="15"/>
  <c r="I65" i="15"/>
  <c r="H32" i="15"/>
  <c r="H30" i="15"/>
  <c r="H31" i="15"/>
  <c r="H28" i="15"/>
  <c r="H3" i="15"/>
  <c r="N61" i="15" s="1"/>
  <c r="H2" i="15"/>
  <c r="N60" i="15" s="1"/>
  <c r="H27" i="15"/>
  <c r="N78" i="15" s="1"/>
  <c r="N12" i="4"/>
  <c r="H17" i="15"/>
  <c r="N68" i="15" s="1"/>
  <c r="H16" i="15"/>
  <c r="N67" i="15" s="1"/>
  <c r="H18" i="15"/>
  <c r="N69" i="15" s="1"/>
  <c r="H26" i="15"/>
  <c r="N77" i="15" s="1"/>
  <c r="H22" i="15"/>
  <c r="N73" i="15" s="1"/>
  <c r="H21" i="15"/>
  <c r="N72" i="15" s="1"/>
  <c r="H7" i="15"/>
  <c r="N65" i="15" s="1"/>
  <c r="H25" i="15"/>
  <c r="N76" i="15" s="1"/>
  <c r="H8" i="15"/>
  <c r="N66" i="15" s="1"/>
  <c r="H24" i="15"/>
  <c r="N75" i="15" s="1"/>
  <c r="H6" i="15"/>
  <c r="N64" i="15" s="1"/>
  <c r="H23" i="15"/>
  <c r="N74" i="15" s="1"/>
  <c r="H20" i="15"/>
  <c r="N71" i="15" s="1"/>
  <c r="B49" i="15"/>
  <c r="C66" i="15" s="1"/>
  <c r="B44" i="15"/>
  <c r="C65" i="15" s="1"/>
  <c r="C64" i="15"/>
  <c r="C60" i="15"/>
  <c r="C127" i="15" l="1"/>
  <c r="B129" i="15" s="1"/>
  <c r="N83" i="15"/>
  <c r="I83" i="15"/>
  <c r="N82" i="15"/>
  <c r="I82" i="15"/>
  <c r="N81" i="15"/>
  <c r="I81" i="15"/>
  <c r="N80" i="15"/>
  <c r="I80" i="15"/>
  <c r="N79" i="15"/>
  <c r="I79" i="15"/>
  <c r="N59" i="15"/>
  <c r="Q24" i="15"/>
  <c r="N21" i="15"/>
  <c r="K22" i="15"/>
  <c r="N20" i="15"/>
  <c r="Q22" i="15"/>
  <c r="N25" i="15"/>
  <c r="N27" i="15"/>
  <c r="K27" i="15"/>
  <c r="Q26" i="15"/>
  <c r="K16" i="15"/>
  <c r="Q23" i="15"/>
  <c r="K24" i="15"/>
  <c r="Q21" i="15"/>
  <c r="N24" i="15"/>
  <c r="N18" i="15"/>
  <c r="K18" i="15"/>
  <c r="N23" i="15"/>
  <c r="K20" i="15"/>
  <c r="Q27" i="15"/>
  <c r="K26" i="15"/>
  <c r="K17" i="15"/>
  <c r="K19" i="15"/>
  <c r="Q25" i="15"/>
  <c r="N22" i="15"/>
  <c r="K21" i="15"/>
  <c r="K23" i="15"/>
  <c r="N26" i="15"/>
  <c r="K25" i="15"/>
  <c r="N19" i="15"/>
  <c r="E35" i="15"/>
  <c r="D59" i="15"/>
  <c r="I59" i="15"/>
  <c r="D81" i="15"/>
  <c r="D72" i="15"/>
  <c r="D79" i="15"/>
  <c r="D74" i="15"/>
  <c r="D76" i="15"/>
  <c r="D70" i="15"/>
  <c r="D73" i="15"/>
  <c r="D82" i="15"/>
  <c r="D77" i="15"/>
  <c r="D69" i="15"/>
  <c r="D83" i="15"/>
  <c r="D71" i="15"/>
  <c r="D67" i="15"/>
  <c r="D80" i="15"/>
  <c r="D68" i="15"/>
  <c r="D75" i="15"/>
  <c r="D78" i="15"/>
  <c r="B9" i="15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1" i="15"/>
  <c r="B50" i="15"/>
  <c r="D66" i="15" s="1"/>
  <c r="B45" i="15" l="1"/>
  <c r="D65" i="15" s="1"/>
  <c r="D64" i="15"/>
  <c r="D60" i="15"/>
  <c r="D58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27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E9" authorId="0" shapeId="0">
      <text>
        <r>
          <rPr>
            <b/>
            <sz val="8"/>
            <color indexed="81"/>
            <rFont val="Tahoma"/>
            <charset val="1"/>
          </rPr>
          <t>chestRewardDefinitions</t>
        </r>
      </text>
    </comment>
    <comment ref="M9" authorId="0" shapeId="0">
      <text>
        <r>
          <rPr>
            <b/>
            <sz val="8"/>
            <color indexed="81"/>
            <rFont val="Tahoma"/>
            <charset val="1"/>
          </rPr>
          <t>How many missions we think this dragon can complete in a day</t>
        </r>
      </text>
    </comment>
    <comment ref="J10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K10" authorId="0" shapeId="0">
      <text>
        <r>
          <rPr>
            <b/>
            <sz val="8"/>
            <color indexed="81"/>
            <rFont val="Tahoma"/>
            <charset val="1"/>
          </rPr>
          <t>dailyRewardsDragonModifiersDefinitions</t>
        </r>
      </text>
    </comment>
    <comment ref="L10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E19" authorId="0" shapeId="0">
      <text>
        <r>
          <rPr>
            <b/>
            <sz val="8"/>
            <color indexed="81"/>
            <rFont val="Tahoma"/>
            <charset val="1"/>
          </rPr>
          <t>dailyRewardsDefinitions</t>
        </r>
      </text>
    </comment>
    <comment ref="E47" authorId="0" shapeId="0">
      <text>
        <r>
          <rPr>
            <b/>
            <sz val="8"/>
            <color indexed="81"/>
            <rFont val="Tahoma"/>
            <charset val="1"/>
          </rPr>
          <t>leaguesRewardsDefinitions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<sst xmlns="http://schemas.openxmlformats.org/spreadsheetml/2006/main" count="941" uniqueCount="466">
  <si>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</si>
  <si>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</si>
  <si>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</si>
  <si>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</si>
  <si>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</si>
  <si>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</si>
  <si>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</si>
  <si>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</si>
  <si>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</si>
  <si>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</si>
  <si>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</si>
  <si>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</si>
  <si>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</si>
  <si>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</si>
  <si>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</si>
  <si>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</si>
  <si>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</si>
  <si>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</si>
  <si>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</si>
  <si>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</si>
  <si>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</si>
  <si>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</si>
  <si>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</si>
  <si>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</si>
  <si>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</si>
  <si>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</si>
  <si>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</si>
  <si>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</si>
  <si>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</si>
  <si>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</si>
  <si>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</si>
  <si>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</si>
  <si>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</si>
  <si>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</si>
  <si>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</si>
  <si>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</si>
  <si>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</si>
  <si>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</si>
  <si>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</si>
  <si>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</si>
  <si>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</si>
  <si>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</si>
  <si>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</si>
  <si>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</si>
  <si>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</si>
  <si>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</si>
  <si>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</si>
  <si>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</si>
  <si>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</si>
  <si>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</si>
  <si>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</si>
  <si>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</si>
  <si>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</si>
  <si>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</si>
  <si>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</si>
  <si>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</si>
  <si>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</si>
  <si>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</si>
  <si>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</si>
  <si>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</si>
  <si>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</si>
  <si>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</si>
  <si>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</si>
  <si>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</si>
  <si>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</si>
  <si>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</si>
  <si>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</si>
  <si>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</si>
  <si>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</si>
  <si>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</si>
  <si>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</si>
  <si>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</si>
  <si>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</si>
  <si>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</si>
  <si>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</si>
  <si>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</si>
  <si>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</si>
  <si>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</si>
  <si>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</si>
  <si>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</si>
  <si>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</si>
  <si>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</si>
  <si>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</si>
  <si>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</si>
  <si>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</si>
  <si>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</si>
  <si>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</si>
  <si>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</si>
  <si>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</si>
  <si>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</si>
  <si>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</si>
  <si>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</si>
  <si>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</si>
  <si>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</si>
  <si>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</si>
  <si>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</si>
  <si>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</si>
  <si>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</si>
  <si>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</si>
  <si>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</si>
  <si>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</si>
  <si>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</si>
  <si>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</si>
  <si>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</si>
  <si>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</si>
  <si>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</si>
  <si>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</si>
  <si>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</si>
  <si>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</si>
  <si>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</si>
  <si>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</si>
  <si>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</si>
  <si>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</si>
  <si>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</si>
  <si>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</si>
  <si>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</si>
  <si>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</si>
  <si>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</si>
  <si>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</si>
  <si>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</si>
  <si>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</si>
  <si>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</si>
  <si>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</si>
  <si>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</si>
  <si>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</si>
  <si>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</si>
  <si>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</si>
  <si>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</si>
  <si>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</si>
  <si>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</si>
  <si>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</si>
  <si>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</si>
  <si>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</si>
  <si>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</si>
  <si>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</si>
  <si>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</si>
  <si>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</si>
  <si>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</si>
  <si>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</si>
  <si>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</si>
  <si>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</si>
  <si>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</si>
  <si>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</si>
  <si>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</si>
  <si>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</si>
  <si>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</si>
  <si>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</si>
  <si>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</si>
  <si>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</si>
  <si>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</si>
  <si>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</si>
  <si>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</si>
  <si>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</si>
  <si>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</si>
  <si>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</si>
  <si>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</si>
  <si>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</si>
  <si>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</si>
  <si>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</si>
  <si>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</si>
  <si>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</si>
  <si>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</si>
  <si>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</si>
  <si>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</si>
  <si>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</si>
  <si>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</si>
  <si>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</si>
  <si>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</si>
  <si>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</si>
  <si>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</si>
  <si>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</si>
  <si>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</si>
  <si>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</si>
  <si>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</si>
  <si>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</si>
  <si>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</si>
  <si>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</si>
  <si>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</si>
  <si>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</si>
  <si>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</si>
  <si>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</si>
  <si>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</si>
  <si>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</si>
  <si>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</si>
  <si>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</si>
  <si>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</si>
  <si>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</si>
  <si>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</si>
  <si>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</si>
  <si>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</si>
  <si>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</si>
  <si>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</si>
  <si>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</si>
  <si>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</si>
  <si>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</si>
  <si>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</si>
  <si>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</si>
  <si>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</si>
  <si>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</si>
  <si>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</si>
  <si>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</si>
  <si>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</si>
  <si>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</si>
  <si>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</si>
  <si>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</si>
  <si>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</si>
  <si>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</si>
  <si>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</si>
  <si>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</si>
  <si>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</si>
  <si>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</si>
  <si>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</si>
  <si>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</si>
  <si>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</si>
  <si>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</si>
  <si>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</si>
  <si>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</si>
  <si>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</si>
  <si>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</si>
  <si>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</si>
  <si>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</si>
  <si>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</si>
  <si>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</si>
  <si>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</si>
  <si>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</si>
  <si>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</si>
  <si>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</si>
  <si>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</si>
  <si>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</si>
  <si>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</si>
  <si>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</si>
  <si>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</si>
  <si>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</si>
  <si>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</si>
  <si>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</si>
  <si>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</si>
  <si>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</si>
  <si>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</si>
  <si>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</si>
  <si>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</si>
  <si>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</si>
  <si>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</si>
  <si>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</si>
  <si>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</si>
  <si>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</si>
  <si>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</si>
  <si>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</si>
  <si>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</si>
  <si>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</si>
  <si>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</si>
  <si>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</si>
  <si>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</si>
  <si>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</si>
  <si>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</si>
  <si>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</si>
  <si>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</si>
  <si>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</si>
  <si>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</si>
  <si>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</si>
  <si>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</si>
  <si>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</si>
  <si>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</si>
  <si>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</si>
  <si>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</si>
  <si>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</si>
  <si>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</si>
  <si>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</si>
  <si>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</si>
  <si>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</si>
  <si>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</si>
  <si>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</si>
  <si>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</si>
  <si>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</si>
  <si>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</si>
  <si>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</si>
  <si>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</si>
  <si>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</si>
  <si>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</si>
  <si>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</si>
  <si>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</si>
  <si>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</si>
  <si>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</si>
  <si>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</si>
  <si>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</si>
  <si>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</si>
  <si>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</si>
  <si>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</si>
  <si>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</si>
  <si>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</si>
  <si>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</si>
  <si>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</si>
  <si>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</si>
  <si>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</si>
  <si>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</si>
  <si>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</si>
  <si>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</si>
  <si>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</si>
  <si>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</si>
  <si>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</si>
  <si>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</si>
  <si>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</si>
  <si>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</si>
  <si>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</si>
  <si>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</si>
  <si>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</si>
  <si>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</si>
  <si>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</si>
  <si>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</si>
  <si>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</si>
  <si>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</si>
  <si>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</si>
  <si>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</si>
  <si>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</si>
  <si>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</si>
  <si>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</si>
  <si>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</si>
  <si>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</si>
  <si>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</si>
  <si>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</si>
  <si>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</si>
  <si>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</si>
  <si>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</si>
  <si>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</si>
  <si>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</si>
  <si>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</si>
  <si>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</si>
  <si>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</si>
  <si>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</si>
  <si>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</si>
  <si>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</si>
  <si>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</si>
  <si>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</si>
  <si>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</si>
  <si>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</si>
  <si>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</si>
  <si>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</si>
  <si>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</si>
  <si>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</si>
  <si>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</si>
  <si>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</si>
  <si>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</si>
  <si>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</si>
  <si>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</si>
  <si>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</si>
  <si>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</si>
  <si>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</si>
  <si>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</si>
  <si>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</si>
  <si>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</si>
  <si>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</si>
  <si>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</si>
  <si>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</si>
  <si>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</si>
  <si>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</si>
  <si>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</si>
  <si>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</si>
  <si>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</si>
  <si>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</si>
  <si>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</si>
  <si>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</si>
  <si>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</si>
  <si>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</si>
  <si>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</si>
  <si>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</si>
  <si>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</si>
  <si>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</si>
  <si>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</si>
  <si>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</si>
  <si>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</si>
  <si>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</si>
  <si>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</si>
  <si>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</si>
  <si>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</si>
  <si>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</si>
  <si>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</si>
  <si>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</si>
  <si>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</si>
  <si>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</si>
  <si>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</si>
  <si>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</si>
  <si>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</si>
  <si>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</si>
  <si>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</si>
  <si>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</si>
  <si>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</si>
  <si>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</si>
  <si>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</si>
  <si>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</si>
  <si>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</si>
  <si>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</si>
  <si>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</si>
  <si>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</si>
  <si>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</si>
  <si>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</si>
  <si>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</si>
  <si>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</si>
  <si>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</si>
  <si>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</si>
  <si>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</si>
  <si>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</si>
  <si>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</si>
  <si>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</si>
  <si>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</si>
  <si>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</si>
  <si>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</si>
  <si>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epic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</si>
  <si>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</si>
  <si>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</si>
  <si>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</si>
  <si>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</si>
  <si>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</si>
  <si>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</si>
  <si>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</si>
  <si>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</si>
  <si>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</si>
  <si>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</si>
  <si>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</si>
  <si>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DAILY REWARD</t>
  </si>
  <si>
    <t>LEAGUES</t>
  </si>
  <si>
    <t>MISSIONS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</si>
  <si>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</si>
  <si>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</si>
  <si>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</si>
  <si>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</si>
  <si>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</si>
  <si>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</si>
  <si>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</si>
  <si>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</si>
  <si>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</si>
  <si>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</si>
  <si>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</si>
  <si>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</si>
  <si>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</si>
  <si>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</si>
  <si>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</si>
  <si>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</si>
  <si>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SELECTED DRAGON CHEST MOD.</t>
  </si>
  <si>
    <t>SELECTED DRAGON DAILY MOD.</t>
  </si>
  <si>
    <t>days</t>
  </si>
  <si>
    <t>LEAGUE</t>
  </si>
  <si>
    <t>AVG COINS</t>
  </si>
  <si>
    <t>AVG GEMS</t>
  </si>
  <si>
    <t>TARGET</t>
  </si>
  <si>
    <t>AUX 1</t>
  </si>
  <si>
    <t>*Leagues duration</t>
  </si>
  <si>
    <t>DRAGON LEAGUE</t>
  </si>
  <si>
    <t>NUM. EASY</t>
  </si>
  <si>
    <t>NUM. MED.</t>
  </si>
  <si>
    <t>NUM. HARD</t>
  </si>
  <si>
    <t>MISSIONS PER DAY</t>
  </si>
  <si>
    <t>DAILY COINS EASY</t>
  </si>
  <si>
    <t>DAILY COINS MED.</t>
  </si>
  <si>
    <t>DAILY COINS HARD</t>
  </si>
  <si>
    <t>Select dragon here:</t>
  </si>
  <si>
    <t>MISSIONS REW. EASY</t>
  </si>
  <si>
    <t>MISSIONS REW. MED.</t>
  </si>
  <si>
    <t>MISSIONS REW. HARD</t>
  </si>
  <si>
    <t>LEAGUES REWARDS</t>
  </si>
  <si>
    <t>Data from content</t>
  </si>
  <si>
    <t>Data we introduce manually</t>
  </si>
  <si>
    <t>Data calculated here</t>
  </si>
  <si>
    <t>Daily Rewawrds:</t>
  </si>
  <si>
    <t>TOTAL</t>
  </si>
  <si>
    <t>1. Check values from tables are right (or set them to later update tables)</t>
  </si>
  <si>
    <t>2. Review manual data</t>
  </si>
  <si>
    <t>This calculator gives aproximate values for what a specific dragon could get daily, in coins and rewards. We suppose player gets all chests and play daily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</si>
</sst>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scheme val="minor"/>
    </font>
    <font>
      <b/>
      <sz val="8"/>
      <color indexed="81"/>
      <name val="Tahoma"/>
      <family val="2"/>
    </font>
    <font>
      <b/>
      <sz val="8"/>
      <color indexed="81"/>
      <name val="Tahoma"/>
      <charset val="1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63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164" fontId="0" fillId="0" borderId="0" xfId="2" applyFont="1"/>
    <xf numFmtId="0" fontId="6" fillId="0" borderId="0" xfId="0" applyFont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0" fillId="28" borderId="3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28" borderId="0" xfId="0" applyFont="1" applyFill="1" applyAlignment="1"/>
    <xf numFmtId="0" fontId="13" fillId="0" borderId="0" xfId="0" applyFont="1" applyBorder="1" applyAlignment="1"/>
    <xf numFmtId="0" fontId="13" fillId="28" borderId="0" xfId="0" applyFont="1" applyFill="1" applyBorder="1" applyAlignment="1"/>
    <xf numFmtId="0" fontId="0" fillId="0" borderId="20" xfId="0" applyFont="1" applyBorder="1" applyAlignment="1"/>
    <xf numFmtId="0" fontId="0" fillId="0" borderId="18" xfId="0" applyFont="1" applyBorder="1" applyAlignment="1"/>
    <xf numFmtId="0" fontId="0" fillId="28" borderId="20" xfId="0" applyFont="1" applyFill="1" applyBorder="1" applyAlignment="1"/>
    <xf numFmtId="0" fontId="0" fillId="28" borderId="18" xfId="0" applyFont="1" applyFill="1" applyBorder="1" applyAlignment="1"/>
    <xf numFmtId="0" fontId="0" fillId="28" borderId="59" xfId="0" applyFill="1" applyBorder="1"/>
    <xf numFmtId="0" fontId="3" fillId="8" borderId="59" xfId="0" applyFont="1" applyFill="1" applyBorder="1" applyAlignment="1">
      <alignment horizontal="center" vertical="center"/>
    </xf>
    <xf numFmtId="0" fontId="3" fillId="3" borderId="60" xfId="0" applyFont="1" applyFill="1" applyBorder="1"/>
    <xf numFmtId="0" fontId="0" fillId="37" borderId="0" xfId="0" applyFill="1"/>
    <xf numFmtId="0" fontId="7" fillId="3" borderId="60" xfId="0" applyFont="1" applyFill="1" applyBorder="1"/>
    <xf numFmtId="0" fontId="0" fillId="0" borderId="17" xfId="0" applyFont="1" applyBorder="1" applyAlignment="1"/>
    <xf numFmtId="0" fontId="0" fillId="28" borderId="31" xfId="0" applyFont="1" applyFill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62" xfId="0" applyFont="1" applyFill="1" applyBorder="1" applyAlignment="1">
      <alignment horizontal="center" vertical="center"/>
    </xf>
    <xf numFmtId="0" fontId="3" fillId="10" borderId="63" xfId="0" applyFont="1" applyFill="1" applyBorder="1" applyAlignment="1">
      <alignment horizontal="center" vertical="center"/>
    </xf>
    <xf numFmtId="0" fontId="3" fillId="10" borderId="64" xfId="0" applyFont="1" applyFill="1" applyBorder="1" applyAlignment="1">
      <alignment horizontal="center" vertical="center"/>
    </xf>
    <xf numFmtId="0" fontId="3" fillId="38" borderId="20" xfId="0" applyFont="1" applyFill="1" applyBorder="1"/>
    <xf numFmtId="0" fontId="3" fillId="38" borderId="56" xfId="0" applyFont="1" applyFill="1" applyBorder="1"/>
    <xf numFmtId="0" fontId="3" fillId="38" borderId="17" xfId="0" applyFont="1" applyFill="1" applyBorder="1"/>
    <xf numFmtId="0" fontId="3" fillId="38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18" xfId="0" applyFont="1" applyFill="1" applyBorder="1" applyAlignment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9" borderId="61" xfId="0" applyFill="1" applyBorder="1" applyAlignment="1">
      <alignment horizontal="center" vertical="center"/>
    </xf>
    <xf numFmtId="0" fontId="0" fillId="39" borderId="0" xfId="0" applyFill="1"/>
    <xf numFmtId="0" fontId="0" fillId="37" borderId="0" xfId="0" applyFill="1" applyBorder="1"/>
    <xf numFmtId="0" fontId="6" fillId="29" borderId="0" xfId="0" applyFont="1" applyFill="1"/>
    <xf numFmtId="0" fontId="0" fillId="29" borderId="0" xfId="0" applyFill="1"/>
    <xf numFmtId="0" fontId="0" fillId="37" borderId="65" xfId="0" applyFill="1" applyBorder="1"/>
    <xf numFmtId="0" fontId="0" fillId="37" borderId="66" xfId="0" applyFill="1" applyBorder="1"/>
    <xf numFmtId="0" fontId="0" fillId="37" borderId="67" xfId="0" applyFill="1" applyBorder="1"/>
    <xf numFmtId="0" fontId="0" fillId="29" borderId="67" xfId="0" applyFill="1" applyBorder="1"/>
    <xf numFmtId="0" fontId="6" fillId="39" borderId="68" xfId="0" applyFont="1" applyFill="1" applyBorder="1" applyAlignment="1">
      <alignment horizontal="center" vertical="center"/>
    </xf>
    <xf numFmtId="0" fontId="0" fillId="29" borderId="70" xfId="0" applyFill="1" applyBorder="1"/>
    <xf numFmtId="0" fontId="0" fillId="29" borderId="69" xfId="0" applyFill="1" applyBorder="1"/>
    <xf numFmtId="0" fontId="0" fillId="39" borderId="68" xfId="0" applyFont="1" applyFill="1" applyBorder="1" applyAlignment="1">
      <alignment horizontal="center" vertical="center"/>
    </xf>
    <xf numFmtId="0" fontId="0" fillId="39" borderId="31" xfId="0" applyFont="1" applyFill="1" applyBorder="1" applyAlignment="1"/>
    <xf numFmtId="0" fontId="0" fillId="39" borderId="22" xfId="0" applyFont="1" applyFill="1" applyBorder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8" borderId="20" xfId="0" applyFont="1" applyFill="1" applyBorder="1" applyAlignment="1">
      <alignment horizontal="center"/>
    </xf>
    <xf numFmtId="0" fontId="3" fillId="38" borderId="18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6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128</xdr:row>
          <xdr:rowOff>76200</xdr:rowOff>
        </xdr:from>
        <xdr:to>
          <xdr:col>3</xdr:col>
          <xdr:colOff>647700</xdr:colOff>
          <xdr:row>130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128</xdr:row>
          <xdr:rowOff>76200</xdr:rowOff>
        </xdr:from>
        <xdr:to>
          <xdr:col>6</xdr:col>
          <xdr:colOff>1390650</xdr:colOff>
          <xdr:row>130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160" dataDxfId="159">
  <autoFilter ref="A6:C19"/>
  <tableColumns count="3">
    <tableColumn id="1" name="Dragon ID / Level" dataDxfId="158"/>
    <tableColumn id="2" name="Max level" dataDxfId="157"/>
    <tableColumn id="24" name="Expected AVG time (mn)" dataDxfId="15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155" dataDxfId="154">
  <autoFilter ref="A3:U16"/>
  <tableColumns count="21">
    <tableColumn id="1" name="Dragon ID / Level" dataDxfId="153"/>
    <tableColumn id="2" name="1" dataDxfId="152"/>
    <tableColumn id="3" name="2" dataDxfId="151"/>
    <tableColumn id="4" name="3" dataDxfId="150"/>
    <tableColumn id="5" name="4" dataDxfId="149"/>
    <tableColumn id="6" name="5" dataDxfId="148"/>
    <tableColumn id="7" name="6" dataDxfId="147"/>
    <tableColumn id="8" name="7" dataDxfId="146"/>
    <tableColumn id="9" name="8" dataDxfId="145"/>
    <tableColumn id="10" name="9" dataDxfId="144"/>
    <tableColumn id="11" name="10" dataDxfId="143"/>
    <tableColumn id="12" name="11" dataDxfId="142"/>
    <tableColumn id="13" name="12" dataDxfId="141"/>
    <tableColumn id="14" name="13" dataDxfId="140"/>
    <tableColumn id="15" name="14" dataDxfId="139"/>
    <tableColumn id="16" name="15" dataDxfId="138"/>
    <tableColumn id="17" name="16" dataDxfId="137"/>
    <tableColumn id="18" name="17" dataDxfId="136"/>
    <tableColumn id="19" name="18" dataDxfId="135"/>
    <tableColumn id="20" name="19" dataDxfId="134"/>
    <tableColumn id="21" name="20" dataDxfId="13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32" dataDxfId="131">
  <autoFilter ref="B8:E12"/>
  <tableColumns count="4">
    <tableColumn id="1" name="Equivalence (min)" dataDxfId="130"/>
    <tableColumn id="2" name="HC" dataDxfId="129">
      <calculatedColumnFormula>IF(ROUND(HCtoSkipTimers[[#This Row],[Equivalence (min)]]*$F$3+$G$3,0)=0,1,ROUND(HCtoSkipTimers[[#This Row],[Equivalence (min)]]*$F$3+$G$3,0))</calculatedColumnFormula>
    </tableColumn>
    <tableColumn id="3" name="$ min" dataDxfId="128" dataCellStyle="Currency">
      <calculatedColumnFormula>C9/'Offer Simulator'!$B$3</calculatedColumnFormula>
    </tableColumn>
    <tableColumn id="4" name="$ max" dataDxfId="12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126" dataDxfId="125">
  <autoFilter ref="A58:T71"/>
  <tableColumns count="20">
    <tableColumn id="1" name="Dragon ID / Step XP per Level" dataDxfId="124"/>
    <tableColumn id="2" name="1" dataDxfId="123">
      <calculatedColumnFormula>IF(OFFSET(F30,$A59,0)="","",ROUND(SUM(OFFSET($F30:F30,$A59,0)),0))</calculatedColumnFormula>
    </tableColumn>
    <tableColumn id="3" name="2" dataDxfId="122">
      <calculatedColumnFormula>IF(OFFSET(G30,$A59,0)="","",ROUND(SUM(OFFSET($F30:G30,$A59,0)),0))</calculatedColumnFormula>
    </tableColumn>
    <tableColumn id="4" name="3" dataDxfId="121">
      <calculatedColumnFormula>IF(OFFSET(H30,$A59,0)="","",ROUND(SUM(OFFSET($F30:H30,$A59,0)),0))</calculatedColumnFormula>
    </tableColumn>
    <tableColumn id="5" name="4" dataDxfId="120">
      <calculatedColumnFormula>IF(OFFSET(I30,$A59,0)="","",ROUND(SUM(OFFSET($F30:I30,$A59,0)),0))</calculatedColumnFormula>
    </tableColumn>
    <tableColumn id="6" name="5" dataDxfId="119">
      <calculatedColumnFormula>IF(OFFSET(J30,$A59,0)="","",ROUND(SUM(OFFSET($F30:J30,$A59,0)),0))</calculatedColumnFormula>
    </tableColumn>
    <tableColumn id="7" name="6" dataDxfId="118">
      <calculatedColumnFormula>IF(OFFSET(K30,$A59,0)="","",ROUND(SUM(OFFSET($F30:K30,$A59,0)),0))</calculatedColumnFormula>
    </tableColumn>
    <tableColumn id="8" name="7" dataDxfId="117">
      <calculatedColumnFormula>IF(OFFSET(L30,$A59,0)="","",ROUND(SUM(OFFSET($F30:L30,$A59,0)),0))</calculatedColumnFormula>
    </tableColumn>
    <tableColumn id="9" name="8" dataDxfId="116">
      <calculatedColumnFormula>IF(OFFSET(M30,$A59,0)="","",ROUND(SUM(OFFSET($F30:M30,$A59,0)),0))</calculatedColumnFormula>
    </tableColumn>
    <tableColumn id="10" name="9" dataDxfId="115">
      <calculatedColumnFormula>IF(OFFSET(N30,$A59,0)="","",ROUND(SUM(OFFSET($F30:N30,$A59,0)),0))</calculatedColumnFormula>
    </tableColumn>
    <tableColumn id="11" name="10" dataDxfId="114">
      <calculatedColumnFormula>IF(OFFSET(O30,$A59,0)="","",ROUND(SUM(OFFSET($F30:O30,$A59,0)),0))</calculatedColumnFormula>
    </tableColumn>
    <tableColumn id="12" name="11" dataDxfId="113">
      <calculatedColumnFormula>IF(OFFSET(P30,$A59,0)="","",ROUND(SUM(OFFSET($F30:P30,$A59,0)),0))</calculatedColumnFormula>
    </tableColumn>
    <tableColumn id="13" name="12" dataDxfId="112">
      <calculatedColumnFormula>IF(OFFSET(Q30,$A59,0)="","",ROUND(SUM(OFFSET($F30:Q30,$A59,0)),0))</calculatedColumnFormula>
    </tableColumn>
    <tableColumn id="14" name="13" dataDxfId="111">
      <calculatedColumnFormula>IF(OFFSET(R30,$A59,0)="","",ROUND(SUM(OFFSET($F30:R30,$A59,0)),0))</calculatedColumnFormula>
    </tableColumn>
    <tableColumn id="15" name="14" dataDxfId="110">
      <calculatedColumnFormula>IF(OFFSET(S30,$A59,0)="","",ROUND(SUM(OFFSET($F30:S30,$A59,0)),0))</calculatedColumnFormula>
    </tableColumn>
    <tableColumn id="16" name="15" dataDxfId="109">
      <calculatedColumnFormula>IF(OFFSET(T30,$A59,0)="","",ROUND(SUM(OFFSET($F30:T30,$A59,0)),0))</calculatedColumnFormula>
    </tableColumn>
    <tableColumn id="17" name="16" dataDxfId="108">
      <calculatedColumnFormula>IF(OFFSET(U30,$A59,0)="","",ROUND(SUM(OFFSET($F30:U30,$A59,0)),0))</calculatedColumnFormula>
    </tableColumn>
    <tableColumn id="18" name="17" dataDxfId="107">
      <calculatedColumnFormula>IF(OFFSET(V30,$A59,0)="","",ROUND(SUM(OFFSET($F30:V30,$A59,0)),0))</calculatedColumnFormula>
    </tableColumn>
    <tableColumn id="19" name="18" dataDxfId="106">
      <calculatedColumnFormula>IF(OFFSET(W30,$A59,0)="","",ROUND(SUM(OFFSET($F30:W30,$A59,0)),0))</calculatedColumnFormula>
    </tableColumn>
    <tableColumn id="20" name="19" dataDxfId="105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104" dataDxfId="103">
  <autoFilter ref="A74:C87"/>
  <tableColumns count="3">
    <tableColumn id="1" name="Dragon ID" dataDxfId="102"/>
    <tableColumn id="2" name="AVG_XP/min" dataDxfId="101">
      <calculatedColumnFormula>ROUND(AVERAGE(D11:D11),0)</calculatedColumnFormula>
    </tableColumn>
    <tableColumn id="3" name="AVG_TIME_TO_MAX_LEVEL" dataDxfId="100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99" dataDxfId="98">
  <autoFilter ref="E12:J30"/>
  <tableColumns count="6">
    <tableColumn id="1" name="Dragon" dataDxfId="97"/>
    <tableColumn id="2" name="Reward Multiplier" dataDxfId="96"/>
    <tableColumn id="6" name="Easy Mission Reward" dataDxfId="95">
      <calculatedColumnFormula>missionsDragonRelativeMetrics[[#This Row],[Reward Multiplier]]*$C$5</calculatedColumnFormula>
    </tableColumn>
    <tableColumn id="7" name="Medium Mission Reward" dataDxfId="94">
      <calculatedColumnFormula>missionsDragonRelativeMetrics[[#This Row],[Reward Multiplier]]*$C$6</calculatedColumnFormula>
    </tableColumn>
    <tableColumn id="3" name="Hard Mission Reward" dataDxfId="93">
      <calculatedColumnFormula>missionsDragonRelativeMetrics[[#This Row],[Reward Multiplier]]*$C$7</calculatedColumnFormula>
    </tableColumn>
    <tableColumn id="4" name="Max. Nb. Missions" dataDxfId="92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91" dataDxfId="90">
  <autoFilter ref="A4:C7"/>
  <tableColumns count="3">
    <tableColumn id="6" name="Difficulty" dataDxfId="89"/>
    <tableColumn id="1" name="Mission Level" dataDxfId="88" totalsRowDxfId="87"/>
    <tableColumn id="2" name="Max Reward" dataDxfId="86" totalsRowDxfId="85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B30" totalsRowShown="0" headerRowDxfId="84" dataDxfId="83" tableBorderDxfId="82">
  <autoFilter ref="A12:B30"/>
  <tableColumns count="2">
    <tableColumn id="1" name="Dragon" dataDxfId="81"/>
    <tableColumn id="2" name="QuantityModifier" dataDxfId="8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L73" totalsRowShown="0" headerRowDxfId="79" headerRowBorderDxfId="78" tableBorderDxfId="77">
  <autoFilter ref="B44:L73"/>
  <tableColumns count="11">
    <tableColumn id="1" name="MISSION TYPE"/>
    <tableColumn id="2" name="PARAM"/>
    <tableColumn id="3" name="HAS SINGLE RUN"/>
    <tableColumn id="4" name="OBJ. BASE. QU. MIN" dataDxfId="76"/>
    <tableColumn id="5" name="OBJ. BASE. QU. MAX" dataDxfId="75"/>
    <tableColumn id="6" name="OBJ. QU. RANGE" dataDxfId="74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73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72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E10:G15" totalsRowShown="0" headerRowDxfId="71" headerRowBorderDxfId="70" tableBorderDxfId="69">
  <autoFilter ref="E10:G15"/>
  <tableColumns count="3">
    <tableColumn id="1" name="CHESTS" dataDxfId="68"/>
    <tableColumn id="2" name="TYPE" dataDxfId="67"/>
    <tableColumn id="3" name="AMOUNT" dataDxfId="66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I10:O28" totalsRowShown="0" headerRowDxfId="65" headerRowBorderDxfId="64" tableBorderDxfId="63">
  <autoFilter ref="I10:O28"/>
  <tableColumns count="7">
    <tableColumn id="1" name="DRAGON" dataDxfId="62"/>
    <tableColumn id="2" name="CHEST REW. MOD." dataDxfId="61"/>
    <tableColumn id="3" name="DAILY REW. MOD." dataDxfId="60"/>
    <tableColumn id="4" name="LEAGUE" dataDxfId="59"/>
    <tableColumn id="5" name="NUM. EASY" dataDxfId="58"/>
    <tableColumn id="6" name="NUM. MED." dataDxfId="57"/>
    <tableColumn id="7" name="NUM. HARD" dataDxfId="56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E20:G28" totalsRowShown="0" headerRowDxfId="55" dataDxfId="53" headerRowBorderDxfId="54" tableBorderDxfId="52">
  <autoFilter ref="E20:G28"/>
  <tableColumns count="3">
    <tableColumn id="1" name="DAY" dataDxfId="51"/>
    <tableColumn id="2" name="TYPE" dataDxfId="50"/>
    <tableColumn id="3" name="AMOUNT" dataDxfId="4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E34:G44" totalsRowShown="0" headerRowDxfId="48" headerRowBorderDxfId="47" tableBorderDxfId="46">
  <autoFilter ref="E34:G44"/>
  <tableColumns count="3">
    <tableColumn id="1" name="LEAGUE" dataDxfId="45"/>
    <tableColumn id="2" name="AVG COINS" dataDxfId="44">
      <calculatedColumnFormula>SUM(I49:I53)/100</calculatedColumnFormula>
    </tableColumn>
    <tableColumn id="3" name="AVG GEMS" dataDxfId="43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E48:I98" totalsRowShown="0" headerRowDxfId="42" dataDxfId="40" headerRowBorderDxfId="41" tableBorderDxfId="39">
  <autoFilter ref="E48:I98"/>
  <tableColumns count="5">
    <tableColumn id="1" name="LEAGUE" dataDxfId="38"/>
    <tableColumn id="2" name="TYPE" dataDxfId="37"/>
    <tableColumn id="3" name="AMOUNT" dataDxfId="36"/>
    <tableColumn id="4" name="TARGET" dataDxfId="35"/>
    <tableColumn id="5" name="AUX 1" dataDxfId="34">
      <calculatedColumnFormula>Table13[[#This Row],[AMOUNT]]*(Table13[[#This Row],[TARGET]]/100)</calculatedColumnFormula>
    </tableColumn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47" name="Table47" displayName="Table47" ref="A6:C12" totalsRowShown="0" headerRowDxfId="33" dataDxfId="32" tableBorderDxfId="31">
  <autoFilter ref="A6:C12"/>
  <tableColumns count="3">
    <tableColumn id="1" name="Price" dataDxfId="30"/>
    <tableColumn id="2" name="HC earned" dataDxfId="29">
      <calculatedColumnFormula>ROUND(Table47[[#This Row],[Price]]*$B$3+Table47[[#This Row],[Price]]*$B$3*Table47[[#This Row],[Discount]],0)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8" name="Table479" displayName="Table479" ref="A19:C25" totalsRowShown="0" headerRowDxfId="27" dataDxfId="26" tableBorderDxfId="25">
  <autoFilter ref="A19:C25"/>
  <tableColumns count="3">
    <tableColumn id="1" name="Price HC" dataDxfId="24"/>
    <tableColumn id="2" name="SC earned" dataDxfId="23">
      <calculatedColumnFormula>ROUND((($B$16/$B$3)*Table479[[#This Row],[Price HC]])+((($B$16/$B$3)*Table479[[#This Row],[Price HC]])*Table479[[#This Row],[Discount]]),0)</calculatedColumnFormula>
    </tableColumn>
    <tableColumn id="3" name="Discount" dataDxfId="22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9" name="Table9" displayName="Table9" ref="E15:T32" totalsRowShown="0" headerRowDxfId="21" tableBorderDxfId="20">
  <autoFilter ref="E15:T32"/>
  <tableColumns count="16">
    <tableColumn id="1" name="Dragon" dataDxfId="19"/>
    <tableColumn id="2" name="pricing (HC)" dataDxfId="18"/>
    <tableColumn id="3" name="Equivalence Base" dataDxfId="17">
      <calculatedColumnFormula>F16/$B$3</calculatedColumnFormula>
    </tableColumn>
    <tableColumn id="4" name="Equivalence better" dataDxfId="16">
      <calculatedColumnFormula>ROUND(F16/$B$4,2)</calculatedColumnFormula>
    </tableColumn>
    <tableColumn id="5" name="Dis. 1 price (SC or HC)" dataDxfId="15"/>
    <tableColumn id="6" name="Dis. 1 Eq. Base" dataDxfId="14">
      <calculatedColumnFormula>(Table9[[#This Row],[Dis. 1 price (SC or HC)]]/($B$16/$B$3))/$B$3</calculatedColumnFormula>
    </tableColumn>
    <tableColumn id="7" name="Dis 1 Eq. better" dataDxfId="13">
      <calculatedColumnFormula>Table9[[#This Row],[Dis. 1 price (SC or HC)]]/$B$17</calculatedColumnFormula>
    </tableColumn>
    <tableColumn id="8" name="Dis. 2 price (SC or HC)" dataDxfId="12"/>
    <tableColumn id="9" name="Dis. 2 Eq. Base" dataDxfId="11"/>
    <tableColumn id="10" name="Dis 2 Eq. better" dataDxfId="10"/>
    <tableColumn id="11" name="Dis. 3 price (SC or HC)" dataDxfId="9"/>
    <tableColumn id="12" name="Dis. 3 Eq. Base" dataDxfId="8"/>
    <tableColumn id="13" name="Dis 3 Eq. better" dataDxfId="7"/>
    <tableColumn id="14" name="Dis. 4 price (SC or HC)" dataDxfId="6"/>
    <tableColumn id="15" name="Dis. 4 Eq. Base" dataDxfId="5"/>
    <tableColumn id="16" name="Dis 4 Eq. better" dataDxfId="4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1" name="Table11" displayName="Table11" ref="A29:B30" totalsRowShown="0" headerRowDxfId="3" tableBorderDxfId="2">
  <autoFilter ref="A29:B30"/>
  <tableColumns count="2">
    <tableColumn id="1" name="price HC" dataDxfId="1"/>
    <tableColumn id="2" name="Price $" dataDxfId="0">
      <calculatedColumnFormula>A30/B3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9.xml"/><Relationship Id="rId5" Type="http://schemas.openxmlformats.org/officeDocument/2006/relationships/image" Target="../media/image2.emf"/><Relationship Id="rId10" Type="http://schemas.openxmlformats.org/officeDocument/2006/relationships/table" Target="../tables/table18.xml"/><Relationship Id="rId4" Type="http://schemas.openxmlformats.org/officeDocument/2006/relationships/control" Target="../activeX/activeX1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106">
        <f>C10/'Offer Simulator'!$B$4</f>
        <v>1.3333333333333333</v>
      </c>
      <c r="D12" s="106">
        <f>D10/'Offer Simulator'!$B$4</f>
        <v>2.3333333333333335</v>
      </c>
      <c r="E12" s="106">
        <f>E10/'Offer Simulator'!$B$4</f>
        <v>2.6666666666666665</v>
      </c>
      <c r="F12" s="106">
        <f>F10/'Offer Simulator'!$B$4</f>
        <v>3.3333333333333335</v>
      </c>
      <c r="G12" s="106">
        <f>G10/'Offer Simulator'!$B$4</f>
        <v>5.333333333333333</v>
      </c>
      <c r="H12" s="106">
        <f>H10/'Offer Simulator'!$B$4</f>
        <v>6.666666666666667</v>
      </c>
      <c r="I12" s="106">
        <f>I10/'Offer Simulator'!$B$4</f>
        <v>9.3333333333333339</v>
      </c>
      <c r="J12" s="106">
        <f>J10/'Offer Simulator'!$B$4</f>
        <v>11.666666666666666</v>
      </c>
      <c r="K12" s="106">
        <f>K10/'Offer Simulator'!$B$4</f>
        <v>23.333333333333332</v>
      </c>
      <c r="L12" s="106">
        <f>L10/'Offer Simulator'!$B$4</f>
        <v>26.666666666666668</v>
      </c>
      <c r="M12" s="106">
        <f>M10/'Offer Simulator'!$B$4</f>
        <v>30</v>
      </c>
      <c r="N12" s="106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31">
        <v>13</v>
      </c>
      <c r="B19" s="132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9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22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20">
        <v>1</v>
      </c>
      <c r="J3" s="120">
        <v>10</v>
      </c>
      <c r="L3" s="40">
        <f t="array" ref="L3:M3">LINEST(I4:J4,I3:J3,TRUE,FALSE)</f>
        <v>86.111111111111114</v>
      </c>
      <c r="M3" s="40">
        <v>1513.8888888888889</v>
      </c>
      <c r="O3" s="121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20">
        <v>1600</v>
      </c>
      <c r="J4" s="120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47" t="s">
        <v>222</v>
      </c>
      <c r="I9" s="347"/>
      <c r="J9" s="347"/>
      <c r="L9" s="347" t="s">
        <v>225</v>
      </c>
      <c r="M9" s="347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22">
        <v>1100</v>
      </c>
      <c r="E11" s="75">
        <f>IF(ISNUMBER(D11),D11*'Run - Duration'!C7,C11*'Run - Duration'!C7)</f>
        <v>3300.0000000000005</v>
      </c>
      <c r="H11" s="135">
        <v>6</v>
      </c>
      <c r="I11" s="137">
        <f ca="1">H59</f>
        <v>14192</v>
      </c>
      <c r="J11" s="136">
        <f ca="1">ROUND(I11/H11,0)</f>
        <v>2365</v>
      </c>
      <c r="L11" s="129">
        <v>4</v>
      </c>
      <c r="M11" s="136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22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22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22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22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22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22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22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22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22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22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22">
        <v>10000</v>
      </c>
      <c r="E22" s="75">
        <f>IF(ISNUMBER(D22),D22*'Run - Duration'!C18,C22*'Run - Duration'!C18)</f>
        <v>90000</v>
      </c>
    </row>
    <row r="23" spans="1:25" x14ac:dyDescent="0.25">
      <c r="A23" s="131">
        <v>13</v>
      </c>
      <c r="B23" s="132">
        <v>20</v>
      </c>
      <c r="C23" s="75">
        <f t="shared" si="1"/>
        <v>2633.3333333333335</v>
      </c>
      <c r="D23" s="122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9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33">
        <v>13</v>
      </c>
      <c r="B54" s="133">
        <v>0</v>
      </c>
      <c r="C54" s="133">
        <f>ROUND(IF(B54=0,0,$C$27*POWER(A54,$C$28)),0)</f>
        <v>0</v>
      </c>
      <c r="D54" s="133"/>
      <c r="E54" s="133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33">
        <v>13</v>
      </c>
      <c r="B55" s="133">
        <v>19</v>
      </c>
      <c r="C55" s="133">
        <f>ROUND(IF(B55=0,0,$C$27*POWER(A55,$C$28)),0)</f>
        <v>86854</v>
      </c>
      <c r="D55" s="133">
        <f t="array" ref="D55:E55">LINEST(C54:C55,B54:B55,TRUE,FALSE)</f>
        <v>4571.2631578947367</v>
      </c>
      <c r="E55" s="133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4:L73"/>
  <sheetViews>
    <sheetView topLeftCell="A7" workbookViewId="0">
      <selection activeCell="D26" sqref="D26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4" spans="1:10" x14ac:dyDescent="0.25">
      <c r="A4" s="1" t="s">
        <v>74</v>
      </c>
      <c r="B4" s="1" t="s">
        <v>3</v>
      </c>
      <c r="C4" s="1" t="s">
        <v>45</v>
      </c>
    </row>
    <row r="5" spans="1:10" x14ac:dyDescent="0.25">
      <c r="A5" s="1" t="s">
        <v>67</v>
      </c>
      <c r="B5" s="1">
        <v>1</v>
      </c>
      <c r="C5" s="111">
        <v>200</v>
      </c>
    </row>
    <row r="6" spans="1:10" x14ac:dyDescent="0.25">
      <c r="A6" s="1" t="s">
        <v>68</v>
      </c>
      <c r="B6" s="1">
        <v>2</v>
      </c>
      <c r="C6" s="111">
        <v>300</v>
      </c>
    </row>
    <row r="7" spans="1:10" x14ac:dyDescent="0.25">
      <c r="A7" s="1" t="s">
        <v>69</v>
      </c>
      <c r="B7" s="1">
        <v>3</v>
      </c>
      <c r="C7" s="111">
        <v>600</v>
      </c>
    </row>
    <row r="10" spans="1:10" x14ac:dyDescent="0.25">
      <c r="E10" s="109" t="s">
        <v>129</v>
      </c>
    </row>
    <row r="12" spans="1:10" x14ac:dyDescent="0.25">
      <c r="A12" s="4" t="s">
        <v>4</v>
      </c>
      <c r="B12" s="4" t="s">
        <v>139</v>
      </c>
      <c r="E12" s="1" t="s">
        <v>4</v>
      </c>
      <c r="F12" s="1" t="s">
        <v>118</v>
      </c>
      <c r="G12" s="1" t="s">
        <v>70</v>
      </c>
      <c r="H12" s="1" t="s">
        <v>71</v>
      </c>
      <c r="I12" s="1" t="s">
        <v>72</v>
      </c>
      <c r="J12" s="1" t="s">
        <v>66</v>
      </c>
    </row>
    <row r="13" spans="1:10" x14ac:dyDescent="0.25">
      <c r="A13" s="113" t="s">
        <v>92</v>
      </c>
      <c r="B13" s="115">
        <v>0.1</v>
      </c>
      <c r="E13" s="113" t="s">
        <v>92</v>
      </c>
      <c r="F13" s="111">
        <v>2</v>
      </c>
      <c r="G13" s="107">
        <f>missionsDragonRelativeMetrics[[#This Row],[Reward Multiplier]]*$C$5</f>
        <v>400</v>
      </c>
      <c r="H13" s="107">
        <f>missionsDragonRelativeMetrics[[#This Row],[Reward Multiplier]]*$C$6</f>
        <v>600</v>
      </c>
      <c r="I13" s="107">
        <f>missionsDragonRelativeMetrics[[#This Row],[Reward Multiplier]]*$C$7</f>
        <v>1200</v>
      </c>
      <c r="J13" s="1">
        <v>3</v>
      </c>
    </row>
    <row r="14" spans="1:10" x14ac:dyDescent="0.25">
      <c r="A14" s="113" t="s">
        <v>93</v>
      </c>
      <c r="B14" s="115">
        <v>0.7</v>
      </c>
      <c r="E14" s="113" t="s">
        <v>93</v>
      </c>
      <c r="F14" s="111">
        <v>6</v>
      </c>
      <c r="G14" s="107">
        <f>missionsDragonRelativeMetrics[[#This Row],[Reward Multiplier]]*$C$5</f>
        <v>1200</v>
      </c>
      <c r="H14" s="107">
        <f>missionsDragonRelativeMetrics[[#This Row],[Reward Multiplier]]*$C$6</f>
        <v>1800</v>
      </c>
      <c r="I14" s="107">
        <f>missionsDragonRelativeMetrics[[#This Row],[Reward Multiplier]]*$C$7</f>
        <v>3600</v>
      </c>
      <c r="J14" s="1">
        <v>3</v>
      </c>
    </row>
    <row r="15" spans="1:10" x14ac:dyDescent="0.25">
      <c r="A15" s="113" t="s">
        <v>94</v>
      </c>
      <c r="B15" s="115">
        <v>1</v>
      </c>
      <c r="E15" s="113" t="s">
        <v>94</v>
      </c>
      <c r="F15" s="111">
        <v>12</v>
      </c>
      <c r="G15" s="107">
        <f>missionsDragonRelativeMetrics[[#This Row],[Reward Multiplier]]*$C$5</f>
        <v>2400</v>
      </c>
      <c r="H15" s="107">
        <f>missionsDragonRelativeMetrics[[#This Row],[Reward Multiplier]]*$C$6</f>
        <v>3600</v>
      </c>
      <c r="I15" s="107">
        <f>missionsDragonRelativeMetrics[[#This Row],[Reward Multiplier]]*$C$7</f>
        <v>7200</v>
      </c>
      <c r="J15" s="1">
        <v>3</v>
      </c>
    </row>
    <row r="16" spans="1:10" x14ac:dyDescent="0.25">
      <c r="A16" s="113" t="s">
        <v>95</v>
      </c>
      <c r="B16" s="115">
        <v>1.5</v>
      </c>
      <c r="E16" s="113" t="s">
        <v>95</v>
      </c>
      <c r="F16" s="111">
        <v>18</v>
      </c>
      <c r="G16" s="107">
        <f>missionsDragonRelativeMetrics[[#This Row],[Reward Multiplier]]*$C$5</f>
        <v>3600</v>
      </c>
      <c r="H16" s="107">
        <f>missionsDragonRelativeMetrics[[#This Row],[Reward Multiplier]]*$C$6</f>
        <v>5400</v>
      </c>
      <c r="I16" s="107">
        <f>missionsDragonRelativeMetrics[[#This Row],[Reward Multiplier]]*$C$7</f>
        <v>10800</v>
      </c>
      <c r="J16" s="1">
        <v>3</v>
      </c>
    </row>
    <row r="17" spans="1:10" x14ac:dyDescent="0.25">
      <c r="A17" s="113" t="s">
        <v>96</v>
      </c>
      <c r="B17" s="115">
        <v>2</v>
      </c>
      <c r="E17" s="113" t="s">
        <v>96</v>
      </c>
      <c r="F17" s="111">
        <v>26</v>
      </c>
      <c r="G17" s="107">
        <f>missionsDragonRelativeMetrics[[#This Row],[Reward Multiplier]]*$C$5</f>
        <v>5200</v>
      </c>
      <c r="H17" s="107">
        <f>missionsDragonRelativeMetrics[[#This Row],[Reward Multiplier]]*$C$6</f>
        <v>7800</v>
      </c>
      <c r="I17" s="107">
        <f>missionsDragonRelativeMetrics[[#This Row],[Reward Multiplier]]*$C$7</f>
        <v>15600</v>
      </c>
      <c r="J17" s="1">
        <v>3</v>
      </c>
    </row>
    <row r="18" spans="1:10" x14ac:dyDescent="0.25">
      <c r="A18" s="113" t="s">
        <v>97</v>
      </c>
      <c r="B18" s="115">
        <v>2.5</v>
      </c>
      <c r="E18" s="113" t="s">
        <v>97</v>
      </c>
      <c r="F18" s="111">
        <v>35</v>
      </c>
      <c r="G18" s="107">
        <f>missionsDragonRelativeMetrics[[#This Row],[Reward Multiplier]]*$C$5</f>
        <v>7000</v>
      </c>
      <c r="H18" s="107">
        <f>missionsDragonRelativeMetrics[[#This Row],[Reward Multiplier]]*$C$6</f>
        <v>10500</v>
      </c>
      <c r="I18" s="107">
        <f>missionsDragonRelativeMetrics[[#This Row],[Reward Multiplier]]*$C$7</f>
        <v>21000</v>
      </c>
      <c r="J18" s="1">
        <v>3</v>
      </c>
    </row>
    <row r="19" spans="1:10" x14ac:dyDescent="0.25">
      <c r="A19" s="113" t="s">
        <v>98</v>
      </c>
      <c r="B19" s="115">
        <v>3</v>
      </c>
      <c r="E19" s="113" t="s">
        <v>98</v>
      </c>
      <c r="F19" s="111">
        <v>45</v>
      </c>
      <c r="G19" s="107">
        <f>missionsDragonRelativeMetrics[[#This Row],[Reward Multiplier]]*$C$5</f>
        <v>9000</v>
      </c>
      <c r="H19" s="107">
        <f>missionsDragonRelativeMetrics[[#This Row],[Reward Multiplier]]*$C$6</f>
        <v>13500</v>
      </c>
      <c r="I19" s="107">
        <f>missionsDragonRelativeMetrics[[#This Row],[Reward Multiplier]]*$C$7</f>
        <v>27000</v>
      </c>
      <c r="J19" s="1">
        <v>3</v>
      </c>
    </row>
    <row r="20" spans="1:10" x14ac:dyDescent="0.25">
      <c r="A20" s="293" t="s">
        <v>99</v>
      </c>
      <c r="B20" s="294">
        <v>4</v>
      </c>
      <c r="E20" s="113" t="s">
        <v>99</v>
      </c>
      <c r="F20" s="111">
        <v>56</v>
      </c>
      <c r="G20" s="107">
        <f>missionsDragonRelativeMetrics[[#This Row],[Reward Multiplier]]*$C$5</f>
        <v>11200</v>
      </c>
      <c r="H20" s="107">
        <f>missionsDragonRelativeMetrics[[#This Row],[Reward Multiplier]]*$C$6</f>
        <v>16800</v>
      </c>
      <c r="I20" s="107">
        <f>missionsDragonRelativeMetrics[[#This Row],[Reward Multiplier]]*$C$7</f>
        <v>33600</v>
      </c>
      <c r="J20" s="1">
        <v>3</v>
      </c>
    </row>
    <row r="21" spans="1:10" x14ac:dyDescent="0.25">
      <c r="A21" s="293" t="s">
        <v>144</v>
      </c>
      <c r="B21" s="294">
        <v>4.5</v>
      </c>
      <c r="E21" s="113" t="s">
        <v>144</v>
      </c>
      <c r="F21" s="111">
        <v>62</v>
      </c>
      <c r="G21" s="107">
        <f>missionsDragonRelativeMetrics[[#This Row],[Reward Multiplier]]*$C$5</f>
        <v>12400</v>
      </c>
      <c r="H21" s="107">
        <f>missionsDragonRelativeMetrics[[#This Row],[Reward Multiplier]]*$C$6</f>
        <v>18600</v>
      </c>
      <c r="I21" s="107">
        <f>missionsDragonRelativeMetrics[[#This Row],[Reward Multiplier]]*$C$7</f>
        <v>37200</v>
      </c>
      <c r="J21" s="1">
        <v>3</v>
      </c>
    </row>
    <row r="22" spans="1:10" x14ac:dyDescent="0.25">
      <c r="A22" s="293" t="s">
        <v>100</v>
      </c>
      <c r="B22" s="294">
        <v>5</v>
      </c>
      <c r="E22" s="113" t="s">
        <v>100</v>
      </c>
      <c r="F22" s="111">
        <v>67</v>
      </c>
      <c r="G22" s="107">
        <f>missionsDragonRelativeMetrics[[#This Row],[Reward Multiplier]]*$C$5</f>
        <v>13400</v>
      </c>
      <c r="H22" s="107">
        <f>missionsDragonRelativeMetrics[[#This Row],[Reward Multiplier]]*$C$6</f>
        <v>20100</v>
      </c>
      <c r="I22" s="107">
        <f>missionsDragonRelativeMetrics[[#This Row],[Reward Multiplier]]*$C$7</f>
        <v>40200</v>
      </c>
      <c r="J22" s="1">
        <v>3</v>
      </c>
    </row>
    <row r="23" spans="1:10" x14ac:dyDescent="0.25">
      <c r="A23" s="293" t="s">
        <v>101</v>
      </c>
      <c r="B23" s="292">
        <v>7</v>
      </c>
      <c r="E23" s="113" t="s">
        <v>101</v>
      </c>
      <c r="F23" s="111">
        <v>80</v>
      </c>
      <c r="G23" s="117">
        <f>missionsDragonRelativeMetrics[[#This Row],[Reward Multiplier]]*$C$5</f>
        <v>16000</v>
      </c>
      <c r="H23" s="117">
        <f>missionsDragonRelativeMetrics[[#This Row],[Reward Multiplier]]*$C$6</f>
        <v>24000</v>
      </c>
      <c r="I23" s="107">
        <f>missionsDragonRelativeMetrics[[#This Row],[Reward Multiplier]]*$C$7</f>
        <v>48000</v>
      </c>
      <c r="J23" s="6">
        <v>3</v>
      </c>
    </row>
    <row r="24" spans="1:10" x14ac:dyDescent="0.25">
      <c r="A24" s="293" t="s">
        <v>145</v>
      </c>
      <c r="B24" s="292">
        <v>7.5</v>
      </c>
      <c r="E24" s="113" t="s">
        <v>145</v>
      </c>
      <c r="F24" s="111">
        <v>85</v>
      </c>
      <c r="G24" s="118">
        <f>missionsDragonRelativeMetrics[[#This Row],[Reward Multiplier]]*$C$5</f>
        <v>17000</v>
      </c>
      <c r="H24" s="118">
        <f>missionsDragonRelativeMetrics[[#This Row],[Reward Multiplier]]*$C$6</f>
        <v>25500</v>
      </c>
      <c r="I24" s="119">
        <f>missionsDragonRelativeMetrics[[#This Row],[Reward Multiplier]]*$C$7</f>
        <v>51000</v>
      </c>
      <c r="J24" s="98">
        <v>3</v>
      </c>
    </row>
    <row r="25" spans="1:10" x14ac:dyDescent="0.25">
      <c r="A25" s="291" t="s">
        <v>218</v>
      </c>
      <c r="B25" s="292">
        <v>8</v>
      </c>
      <c r="E25" s="134" t="s">
        <v>218</v>
      </c>
      <c r="F25" s="111">
        <v>90</v>
      </c>
      <c r="G25" s="118">
        <f>missionsDragonRelativeMetrics[[#This Row],[Reward Multiplier]]*$C$5</f>
        <v>18000</v>
      </c>
      <c r="H25" s="118">
        <f>missionsDragonRelativeMetrics[[#This Row],[Reward Multiplier]]*$C$6</f>
        <v>27000</v>
      </c>
      <c r="I25" s="119">
        <f>missionsDragonRelativeMetrics[[#This Row],[Reward Multiplier]]*$C$7</f>
        <v>54000</v>
      </c>
      <c r="J25" s="98">
        <v>3</v>
      </c>
    </row>
    <row r="26" spans="1:10" x14ac:dyDescent="0.25">
      <c r="A26" s="291" t="s">
        <v>408</v>
      </c>
      <c r="B26" s="292">
        <v>8</v>
      </c>
      <c r="E26" s="291" t="s">
        <v>408</v>
      </c>
      <c r="F26" s="111">
        <v>90</v>
      </c>
      <c r="G26" s="117">
        <f>missionsDragonRelativeMetrics[[#This Row],[Reward Multiplier]]*$C$5</f>
        <v>18000</v>
      </c>
      <c r="H26" s="117">
        <f>missionsDragonRelativeMetrics[[#This Row],[Reward Multiplier]]*$C$6</f>
        <v>27000</v>
      </c>
      <c r="I26" s="107">
        <f>missionsDragonRelativeMetrics[[#This Row],[Reward Multiplier]]*$C$7</f>
        <v>54000</v>
      </c>
      <c r="J26" s="6">
        <v>3</v>
      </c>
    </row>
    <row r="27" spans="1:10" x14ac:dyDescent="0.25">
      <c r="A27" s="291" t="s">
        <v>409</v>
      </c>
      <c r="B27" s="292">
        <v>8</v>
      </c>
      <c r="E27" s="291" t="s">
        <v>409</v>
      </c>
      <c r="F27" s="111">
        <v>90</v>
      </c>
      <c r="G27" s="117">
        <f>missionsDragonRelativeMetrics[[#This Row],[Reward Multiplier]]*$C$5</f>
        <v>18000</v>
      </c>
      <c r="H27" s="117">
        <f>missionsDragonRelativeMetrics[[#This Row],[Reward Multiplier]]*$C$6</f>
        <v>27000</v>
      </c>
      <c r="I27" s="107">
        <f>missionsDragonRelativeMetrics[[#This Row],[Reward Multiplier]]*$C$7</f>
        <v>54000</v>
      </c>
      <c r="J27" s="6">
        <v>3</v>
      </c>
    </row>
    <row r="28" spans="1:10" x14ac:dyDescent="0.25">
      <c r="A28" s="291" t="s">
        <v>410</v>
      </c>
      <c r="B28" s="292">
        <v>8</v>
      </c>
      <c r="E28" s="291" t="s">
        <v>410</v>
      </c>
      <c r="F28" s="111">
        <v>90</v>
      </c>
      <c r="G28" s="117">
        <f>missionsDragonRelativeMetrics[[#This Row],[Reward Multiplier]]*$C$5</f>
        <v>18000</v>
      </c>
      <c r="H28" s="117">
        <f>missionsDragonRelativeMetrics[[#This Row],[Reward Multiplier]]*$C$6</f>
        <v>27000</v>
      </c>
      <c r="I28" s="107">
        <f>missionsDragonRelativeMetrics[[#This Row],[Reward Multiplier]]*$C$7</f>
        <v>54000</v>
      </c>
      <c r="J28" s="6">
        <v>3</v>
      </c>
    </row>
    <row r="29" spans="1:10" x14ac:dyDescent="0.25">
      <c r="A29" s="291" t="s">
        <v>411</v>
      </c>
      <c r="B29" s="292">
        <v>8</v>
      </c>
      <c r="E29" s="291" t="s">
        <v>411</v>
      </c>
      <c r="F29" s="111">
        <v>90</v>
      </c>
      <c r="G29" s="117">
        <f>missionsDragonRelativeMetrics[[#This Row],[Reward Multiplier]]*$C$5</f>
        <v>18000</v>
      </c>
      <c r="H29" s="117">
        <f>missionsDragonRelativeMetrics[[#This Row],[Reward Multiplier]]*$C$6</f>
        <v>27000</v>
      </c>
      <c r="I29" s="107">
        <f>missionsDragonRelativeMetrics[[#This Row],[Reward Multiplier]]*$C$7</f>
        <v>54000</v>
      </c>
      <c r="J29" s="6">
        <v>3</v>
      </c>
    </row>
    <row r="30" spans="1:10" x14ac:dyDescent="0.25">
      <c r="A30" s="291" t="s">
        <v>412</v>
      </c>
      <c r="B30" s="292">
        <v>8</v>
      </c>
      <c r="E30" s="293" t="s">
        <v>412</v>
      </c>
      <c r="F30" s="111">
        <v>90</v>
      </c>
      <c r="G30" s="118">
        <f>missionsDragonRelativeMetrics[[#This Row],[Reward Multiplier]]*$C$5</f>
        <v>18000</v>
      </c>
      <c r="H30" s="118">
        <f>missionsDragonRelativeMetrics[[#This Row],[Reward Multiplier]]*$C$6</f>
        <v>27000</v>
      </c>
      <c r="I30" s="119">
        <f>missionsDragonRelativeMetrics[[#This Row],[Reward Multiplier]]*$C$7</f>
        <v>54000</v>
      </c>
      <c r="J30" s="98">
        <v>3</v>
      </c>
    </row>
    <row r="31" spans="1:10" x14ac:dyDescent="0.25">
      <c r="C31" s="1"/>
    </row>
    <row r="32" spans="1:10" x14ac:dyDescent="0.25">
      <c r="C32" s="1"/>
      <c r="D32" s="1"/>
      <c r="E32" s="109" t="s">
        <v>128</v>
      </c>
    </row>
    <row r="33" spans="1:12" x14ac:dyDescent="0.25">
      <c r="D33" s="1"/>
    </row>
    <row r="34" spans="1:12" x14ac:dyDescent="0.25">
      <c r="A34" s="4" t="s">
        <v>140</v>
      </c>
      <c r="B34" s="4" t="s">
        <v>139</v>
      </c>
      <c r="E34" s="103" t="s">
        <v>102</v>
      </c>
      <c r="F34" s="104" t="s">
        <v>91</v>
      </c>
      <c r="G34" s="104" t="s">
        <v>91</v>
      </c>
      <c r="H34" s="104" t="s">
        <v>91</v>
      </c>
      <c r="I34" s="100" t="s">
        <v>103</v>
      </c>
    </row>
    <row r="35" spans="1:12" x14ac:dyDescent="0.25">
      <c r="A35" s="114" t="b">
        <v>1</v>
      </c>
      <c r="B35" s="115">
        <v>0.7</v>
      </c>
      <c r="E35" s="110" t="s">
        <v>218</v>
      </c>
      <c r="F35" s="102" t="s">
        <v>115</v>
      </c>
      <c r="G35" s="102" t="s">
        <v>116</v>
      </c>
      <c r="H35" s="102" t="s">
        <v>117</v>
      </c>
      <c r="I35" s="111" t="b">
        <v>0</v>
      </c>
    </row>
    <row r="36" spans="1:12" x14ac:dyDescent="0.25">
      <c r="E36" s="103" t="s">
        <v>104</v>
      </c>
      <c r="F36" s="104" t="s">
        <v>105</v>
      </c>
      <c r="G36" s="104" t="s">
        <v>105</v>
      </c>
      <c r="H36" s="104" t="s">
        <v>105</v>
      </c>
      <c r="I36" s="100" t="s">
        <v>106</v>
      </c>
    </row>
    <row r="37" spans="1:12" x14ac:dyDescent="0.25">
      <c r="E37" s="101">
        <f>INDEX(Table1[QuantityModifier],MATCH(E35,Table1[Dragon],0))</f>
        <v>8</v>
      </c>
      <c r="F37" s="116">
        <v>0.05</v>
      </c>
      <c r="G37" s="116">
        <v>0.1</v>
      </c>
      <c r="H37" s="116">
        <v>0.2</v>
      </c>
      <c r="I37" s="105">
        <f>IF(I35,B35,0)</f>
        <v>0</v>
      </c>
    </row>
    <row r="40" spans="1:12" x14ac:dyDescent="0.25">
      <c r="E40" s="103" t="s">
        <v>107</v>
      </c>
      <c r="F40" s="108">
        <f>$E$37+F37</f>
        <v>8.0500000000000007</v>
      </c>
      <c r="G40" s="108">
        <f>$E$37+G37</f>
        <v>8.1</v>
      </c>
      <c r="H40" s="108">
        <f>$E$37+H37</f>
        <v>8.1999999999999993</v>
      </c>
      <c r="I40" t="s">
        <v>413</v>
      </c>
    </row>
    <row r="43" spans="1:12" x14ac:dyDescent="0.25">
      <c r="G43" s="348" t="s">
        <v>136</v>
      </c>
      <c r="H43" s="348"/>
      <c r="I43" s="349" t="s">
        <v>137</v>
      </c>
      <c r="J43" s="350"/>
      <c r="K43" s="351" t="s">
        <v>138</v>
      </c>
      <c r="L43" s="352"/>
    </row>
    <row r="44" spans="1:12" x14ac:dyDescent="0.25">
      <c r="B44" s="126" t="s">
        <v>130</v>
      </c>
      <c r="C44" s="126" t="s">
        <v>131</v>
      </c>
      <c r="D44" s="126" t="s">
        <v>141</v>
      </c>
      <c r="E44" s="126" t="s">
        <v>134</v>
      </c>
      <c r="F44" s="126" t="s">
        <v>135</v>
      </c>
      <c r="G44" s="127" t="s">
        <v>142</v>
      </c>
      <c r="H44" s="128" t="s">
        <v>143</v>
      </c>
      <c r="I44" s="127" t="s">
        <v>174</v>
      </c>
      <c r="J44" s="128" t="s">
        <v>178</v>
      </c>
      <c r="K44" s="127" t="s">
        <v>179</v>
      </c>
      <c r="L44" s="128" t="s">
        <v>175</v>
      </c>
    </row>
    <row r="45" spans="1:12" x14ac:dyDescent="0.25">
      <c r="B45" t="s">
        <v>0</v>
      </c>
      <c r="C45" t="s">
        <v>132</v>
      </c>
      <c r="D45" t="s">
        <v>133</v>
      </c>
      <c r="E45" s="112">
        <v>700</v>
      </c>
      <c r="F45" s="112">
        <v>750</v>
      </c>
      <c r="G45" t="str">
        <f t="shared" ref="G45:G73" si="0">CONCATENATE(ROUND((E45*$F$40)*(1-$I$37),0), " to ",ROUND((F45*$F$40)*(1-$I$37),0))</f>
        <v>5635 to 6038</v>
      </c>
      <c r="H45" t="str">
        <f>CONCATENATE(INDEX(missionsDragonRelativeMetrics[Easy Mission Reward],MATCH($E$35,missionsDragonRelativeMetrics[Dragon],0)), " coins")</f>
        <v>18000 coins</v>
      </c>
      <c r="I45" t="str">
        <f t="shared" ref="I45:I73" si="1">CONCATENATE(ROUND((E45*$G$40)*(1-$I$37),0), " to ",ROUND((F45*$G$40)*(1-$I$37),0))</f>
        <v>5670 to 6075</v>
      </c>
      <c r="J45" t="str">
        <f>CONCATENATE(INDEX(missionsDragonRelativeMetrics[Medium Mission Reward],MATCH($E$35,missionsDragonRelativeMetrics[Dragon],0)), " coins")</f>
        <v>27000 coins</v>
      </c>
      <c r="K45" t="str">
        <f t="shared" ref="K45:K73" si="2">CONCATENATE(ROUND((E45*$H$40)*(1-$I$37),0), " to ",ROUND((F45*$H$40)*(1-$I$37),0))</f>
        <v>5740 to 6150</v>
      </c>
      <c r="L45" t="str">
        <f>CONCATENATE(INDEX(missionsDragonRelativeMetrics[Hard Mission Reward],MATCH($E$35,missionsDragonRelativeMetrics[Dragon],0)), " coins")</f>
        <v>54000 coins</v>
      </c>
    </row>
    <row r="46" spans="1:12" x14ac:dyDescent="0.25">
      <c r="B46" t="s">
        <v>0</v>
      </c>
      <c r="C46" t="s">
        <v>147</v>
      </c>
      <c r="D46" t="s">
        <v>133</v>
      </c>
      <c r="E46" s="112">
        <v>25</v>
      </c>
      <c r="F46" s="112">
        <v>30</v>
      </c>
      <c r="G46" t="str">
        <f t="shared" si="0"/>
        <v>201 to 242</v>
      </c>
      <c r="H46" t="str">
        <f>CONCATENATE(INDEX(missionsDragonRelativeMetrics[Easy Mission Reward],MATCH($E$35,missionsDragonRelativeMetrics[Dragon],0)), " coins")</f>
        <v>18000 coins</v>
      </c>
      <c r="I46" t="str">
        <f t="shared" si="1"/>
        <v>203 to 243</v>
      </c>
      <c r="J46" t="str">
        <f>CONCATENATE(INDEX(missionsDragonRelativeMetrics[Medium Mission Reward],MATCH($E$35,missionsDragonRelativeMetrics[Dragon],0)), " coins")</f>
        <v>27000 coins</v>
      </c>
      <c r="K46" t="str">
        <f t="shared" si="2"/>
        <v>205 to 246</v>
      </c>
      <c r="L46" t="str">
        <f>CONCATENATE(INDEX(missionsDragonRelativeMetrics[Hard Mission Reward],MATCH($E$35,missionsDragonRelativeMetrics[Dragon],0)), " coins")</f>
        <v>54000 coins</v>
      </c>
    </row>
    <row r="47" spans="1:12" x14ac:dyDescent="0.25">
      <c r="B47" t="s">
        <v>148</v>
      </c>
      <c r="C47" t="s">
        <v>149</v>
      </c>
      <c r="D47" t="s">
        <v>150</v>
      </c>
      <c r="E47" s="112">
        <v>1000</v>
      </c>
      <c r="F47" s="112">
        <v>1200</v>
      </c>
      <c r="G47" t="str">
        <f t="shared" si="0"/>
        <v>8050 to 9660</v>
      </c>
      <c r="H47" t="str">
        <f>CONCATENATE(INDEX(missionsDragonRelativeMetrics[Easy Mission Reward],MATCH($E$35,missionsDragonRelativeMetrics[Dragon],0)), " coins")</f>
        <v>18000 coins</v>
      </c>
      <c r="I47" t="str">
        <f t="shared" si="1"/>
        <v>8100 to 9720</v>
      </c>
      <c r="J47" t="str">
        <f>CONCATENATE(INDEX(missionsDragonRelativeMetrics[Medium Mission Reward],MATCH($E$35,missionsDragonRelativeMetrics[Dragon],0)), " coins")</f>
        <v>27000 coins</v>
      </c>
      <c r="K47" t="str">
        <f t="shared" si="2"/>
        <v>8200 to 9840</v>
      </c>
      <c r="L47" t="str">
        <f>CONCATENATE(INDEX(missionsDragonRelativeMetrics[Hard Mission Reward],MATCH($E$35,missionsDragonRelativeMetrics[Dragon],0)), " coins")</f>
        <v>54000 coins</v>
      </c>
    </row>
    <row r="48" spans="1:12" x14ac:dyDescent="0.25">
      <c r="B48" t="s">
        <v>0</v>
      </c>
      <c r="C48" t="s">
        <v>5</v>
      </c>
      <c r="D48" t="s">
        <v>133</v>
      </c>
      <c r="E48" s="123">
        <v>10</v>
      </c>
      <c r="F48" s="123">
        <v>11</v>
      </c>
      <c r="G48" t="str">
        <f t="shared" si="0"/>
        <v>81 to 89</v>
      </c>
      <c r="H48" t="str">
        <f>CONCATENATE(INDEX(missionsDragonRelativeMetrics[Easy Mission Reward],MATCH($E$35,missionsDragonRelativeMetrics[Dragon],0)), " coins")</f>
        <v>18000 coins</v>
      </c>
      <c r="I48" t="str">
        <f t="shared" si="1"/>
        <v>81 to 89</v>
      </c>
      <c r="J48" t="str">
        <f>CONCATENATE(INDEX(missionsDragonRelativeMetrics[Medium Mission Reward],MATCH($E$35,missionsDragonRelativeMetrics[Dragon],0)), " coins")</f>
        <v>27000 coins</v>
      </c>
      <c r="K48" t="str">
        <f t="shared" si="2"/>
        <v>82 to 90</v>
      </c>
      <c r="L48" t="str">
        <f>CONCATENATE(INDEX(missionsDragonRelativeMetrics[Hard Mission Reward],MATCH($E$35,missionsDragonRelativeMetrics[Dragon],0)), " coins")</f>
        <v>54000 coins</v>
      </c>
    </row>
    <row r="49" spans="2:12" x14ac:dyDescent="0.25">
      <c r="B49" t="s">
        <v>151</v>
      </c>
      <c r="C49" s="124" t="s">
        <v>152</v>
      </c>
      <c r="D49" t="s">
        <v>133</v>
      </c>
      <c r="E49" s="123">
        <v>5</v>
      </c>
      <c r="F49" s="123">
        <v>6</v>
      </c>
      <c r="G49" s="125" t="str">
        <f t="shared" si="0"/>
        <v>40 to 48</v>
      </c>
      <c r="H49" t="str">
        <f>CONCATENATE(INDEX(missionsDragonRelativeMetrics[Easy Mission Reward],MATCH($E$35,missionsDragonRelativeMetrics[Dragon],0)), " coins")</f>
        <v>18000 coins</v>
      </c>
      <c r="I49" s="125" t="str">
        <f t="shared" si="1"/>
        <v>41 to 49</v>
      </c>
      <c r="J49" t="str">
        <f>CONCATENATE(INDEX(missionsDragonRelativeMetrics[Medium Mission Reward],MATCH($E$35,missionsDragonRelativeMetrics[Dragon],0)), " coins")</f>
        <v>27000 coins</v>
      </c>
      <c r="K49" s="125" t="str">
        <f t="shared" si="2"/>
        <v>41 to 49</v>
      </c>
      <c r="L49" t="str">
        <f>CONCATENATE(INDEX(missionsDragonRelativeMetrics[Hard Mission Reward],MATCH($E$35,missionsDragonRelativeMetrics[Dragon],0)), " coins")</f>
        <v>54000 coins</v>
      </c>
    </row>
    <row r="50" spans="2:12" x14ac:dyDescent="0.25">
      <c r="B50" t="s">
        <v>153</v>
      </c>
      <c r="C50" s="124" t="s">
        <v>152</v>
      </c>
      <c r="D50" t="s">
        <v>150</v>
      </c>
      <c r="E50" s="123">
        <v>350</v>
      </c>
      <c r="F50" s="123">
        <v>400</v>
      </c>
      <c r="G50" s="125" t="str">
        <f t="shared" si="0"/>
        <v>2818 to 3220</v>
      </c>
      <c r="H50" t="str">
        <f>CONCATENATE(INDEX(missionsDragonRelativeMetrics[Easy Mission Reward],MATCH($E$35,missionsDragonRelativeMetrics[Dragon],0)), " coins")</f>
        <v>18000 coins</v>
      </c>
      <c r="I50" s="125" t="str">
        <f t="shared" si="1"/>
        <v>2835 to 3240</v>
      </c>
      <c r="J50" t="str">
        <f>CONCATENATE(INDEX(missionsDragonRelativeMetrics[Medium Mission Reward],MATCH($E$35,missionsDragonRelativeMetrics[Dragon],0)), " coins")</f>
        <v>27000 coins</v>
      </c>
      <c r="K50" s="125" t="str">
        <f t="shared" si="2"/>
        <v>2870 to 3280</v>
      </c>
      <c r="L50" t="str">
        <f>CONCATENATE(INDEX(missionsDragonRelativeMetrics[Hard Mission Reward],MATCH($E$35,missionsDragonRelativeMetrics[Dragon],0)), " coins")</f>
        <v>54000 coins</v>
      </c>
    </row>
    <row r="51" spans="2:12" x14ac:dyDescent="0.25">
      <c r="B51" t="s">
        <v>154</v>
      </c>
      <c r="C51" s="124" t="s">
        <v>152</v>
      </c>
      <c r="D51" t="s">
        <v>150</v>
      </c>
      <c r="E51" s="123">
        <v>300</v>
      </c>
      <c r="F51" s="123">
        <v>400</v>
      </c>
      <c r="G51" s="125" t="str">
        <f t="shared" si="0"/>
        <v>2415 to 3220</v>
      </c>
      <c r="H51" t="str">
        <f>CONCATENATE(INDEX(missionsDragonRelativeMetrics[Easy Mission Reward],MATCH($E$35,missionsDragonRelativeMetrics[Dragon],0)), " coins")</f>
        <v>18000 coins</v>
      </c>
      <c r="I51" s="125" t="str">
        <f t="shared" si="1"/>
        <v>2430 to 3240</v>
      </c>
      <c r="J51" t="str">
        <f>CONCATENATE(INDEX(missionsDragonRelativeMetrics[Medium Mission Reward],MATCH($E$35,missionsDragonRelativeMetrics[Dragon],0)), " coins")</f>
        <v>27000 coins</v>
      </c>
      <c r="K51" s="125" t="str">
        <f t="shared" si="2"/>
        <v>2460 to 3280</v>
      </c>
      <c r="L51" t="str">
        <f>CONCATENATE(INDEX(missionsDragonRelativeMetrics[Hard Mission Reward],MATCH($E$35,missionsDragonRelativeMetrics[Dragon],0)), " coins")</f>
        <v>54000 coins</v>
      </c>
    </row>
    <row r="52" spans="2:12" x14ac:dyDescent="0.25">
      <c r="B52" t="s">
        <v>1</v>
      </c>
      <c r="C52" s="124" t="s">
        <v>152</v>
      </c>
      <c r="D52" t="s">
        <v>133</v>
      </c>
      <c r="E52" s="123">
        <v>400000</v>
      </c>
      <c r="F52" s="123">
        <v>500000</v>
      </c>
      <c r="G52" s="125" t="str">
        <f t="shared" si="0"/>
        <v>3220000 to 4025000</v>
      </c>
      <c r="H52" t="str">
        <f>CONCATENATE(INDEX(missionsDragonRelativeMetrics[Easy Mission Reward],MATCH($E$35,missionsDragonRelativeMetrics[Dragon],0)), " coins")</f>
        <v>18000 coins</v>
      </c>
      <c r="I52" s="125" t="str">
        <f t="shared" si="1"/>
        <v>3240000 to 4050000</v>
      </c>
      <c r="J52" t="str">
        <f>CONCATENATE(INDEX(missionsDragonRelativeMetrics[Medium Mission Reward],MATCH($E$35,missionsDragonRelativeMetrics[Dragon],0)), " coins")</f>
        <v>27000 coins</v>
      </c>
      <c r="K52" s="125" t="str">
        <f t="shared" si="2"/>
        <v>3280000 to 4100000</v>
      </c>
      <c r="L52" t="str">
        <f>CONCATENATE(INDEX(missionsDragonRelativeMetrics[Hard Mission Reward],MATCH($E$35,missionsDragonRelativeMetrics[Dragon],0)), " coins")</f>
        <v>54000 coins</v>
      </c>
    </row>
    <row r="53" spans="2:12" x14ac:dyDescent="0.25">
      <c r="B53" t="s">
        <v>0</v>
      </c>
      <c r="C53" t="s">
        <v>155</v>
      </c>
      <c r="D53" t="s">
        <v>133</v>
      </c>
      <c r="E53" s="123">
        <v>45</v>
      </c>
      <c r="F53" s="123">
        <v>55</v>
      </c>
      <c r="G53" s="125" t="str">
        <f t="shared" si="0"/>
        <v>362 to 443</v>
      </c>
      <c r="H53" t="str">
        <f>CONCATENATE(INDEX(missionsDragonRelativeMetrics[Easy Mission Reward],MATCH($E$35,missionsDragonRelativeMetrics[Dragon],0)), " coins")</f>
        <v>18000 coins</v>
      </c>
      <c r="I53" s="125" t="str">
        <f t="shared" si="1"/>
        <v>365 to 446</v>
      </c>
      <c r="J53" t="str">
        <f>CONCATENATE(INDEX(missionsDragonRelativeMetrics[Medium Mission Reward],MATCH($E$35,missionsDragonRelativeMetrics[Dragon],0)), " coins")</f>
        <v>27000 coins</v>
      </c>
      <c r="K53" s="125" t="str">
        <f t="shared" si="2"/>
        <v>369 to 451</v>
      </c>
      <c r="L53" t="str">
        <f>CONCATENATE(INDEX(missionsDragonRelativeMetrics[Hard Mission Reward],MATCH($E$35,missionsDragonRelativeMetrics[Dragon],0)), " coins")</f>
        <v>54000 coins</v>
      </c>
    </row>
    <row r="54" spans="2:12" x14ac:dyDescent="0.25">
      <c r="B54" t="s">
        <v>0</v>
      </c>
      <c r="C54" t="s">
        <v>156</v>
      </c>
      <c r="D54" t="s">
        <v>133</v>
      </c>
      <c r="E54" s="123">
        <v>40</v>
      </c>
      <c r="F54" s="123">
        <v>45</v>
      </c>
      <c r="G54" s="125" t="str">
        <f t="shared" si="0"/>
        <v>322 to 362</v>
      </c>
      <c r="H54" t="str">
        <f>CONCATENATE(INDEX(missionsDragonRelativeMetrics[Easy Mission Reward],MATCH($E$35,missionsDragonRelativeMetrics[Dragon],0)), " coins")</f>
        <v>18000 coins</v>
      </c>
      <c r="I54" s="125" t="str">
        <f t="shared" si="1"/>
        <v>324 to 365</v>
      </c>
      <c r="J54" t="str">
        <f>CONCATENATE(INDEX(missionsDragonRelativeMetrics[Medium Mission Reward],MATCH($E$35,missionsDragonRelativeMetrics[Dragon],0)), " coins")</f>
        <v>27000 coins</v>
      </c>
      <c r="K54" s="125" t="str">
        <f t="shared" si="2"/>
        <v>328 to 369</v>
      </c>
      <c r="L54" t="str">
        <f>CONCATENATE(INDEX(missionsDragonRelativeMetrics[Hard Mission Reward],MATCH($E$35,missionsDragonRelativeMetrics[Dragon],0)), " coins")</f>
        <v>54000 coins</v>
      </c>
    </row>
    <row r="55" spans="2:12" x14ac:dyDescent="0.25">
      <c r="B55" t="s">
        <v>0</v>
      </c>
      <c r="C55" t="s">
        <v>157</v>
      </c>
      <c r="D55" t="s">
        <v>133</v>
      </c>
      <c r="E55" s="123">
        <v>150</v>
      </c>
      <c r="F55" s="123">
        <v>200</v>
      </c>
      <c r="G55" s="125" t="str">
        <f t="shared" si="0"/>
        <v>1208 to 1610</v>
      </c>
      <c r="H55" t="str">
        <f>CONCATENATE(INDEX(missionsDragonRelativeMetrics[Easy Mission Reward],MATCH($E$35,missionsDragonRelativeMetrics[Dragon],0)), " coins")</f>
        <v>18000 coins</v>
      </c>
      <c r="I55" s="125" t="str">
        <f t="shared" si="1"/>
        <v>1215 to 1620</v>
      </c>
      <c r="J55" t="str">
        <f>CONCATENATE(INDEX(missionsDragonRelativeMetrics[Medium Mission Reward],MATCH($E$35,missionsDragonRelativeMetrics[Dragon],0)), " coins")</f>
        <v>27000 coins</v>
      </c>
      <c r="K55" s="125" t="str">
        <f t="shared" si="2"/>
        <v>1230 to 1640</v>
      </c>
      <c r="L55" t="str">
        <f>CONCATENATE(INDEX(missionsDragonRelativeMetrics[Hard Mission Reward],MATCH($E$35,missionsDragonRelativeMetrics[Dragon],0)), " coins")</f>
        <v>54000 coins</v>
      </c>
    </row>
    <row r="56" spans="2:12" x14ac:dyDescent="0.25">
      <c r="B56" t="s">
        <v>0</v>
      </c>
      <c r="C56" t="s">
        <v>158</v>
      </c>
      <c r="D56" t="s">
        <v>133</v>
      </c>
      <c r="E56" s="123">
        <v>5</v>
      </c>
      <c r="F56" s="123">
        <v>7</v>
      </c>
      <c r="G56" s="125" t="str">
        <f t="shared" si="0"/>
        <v>40 to 56</v>
      </c>
      <c r="H56" t="str">
        <f>CONCATENATE(INDEX(missionsDragonRelativeMetrics[Easy Mission Reward],MATCH($E$35,missionsDragonRelativeMetrics[Dragon],0)), " coins")</f>
        <v>18000 coins</v>
      </c>
      <c r="I56" s="125" t="str">
        <f t="shared" si="1"/>
        <v>41 to 57</v>
      </c>
      <c r="J56" t="str">
        <f>CONCATENATE(INDEX(missionsDragonRelativeMetrics[Medium Mission Reward],MATCH($E$35,missionsDragonRelativeMetrics[Dragon],0)), " coins")</f>
        <v>27000 coins</v>
      </c>
      <c r="K56" s="125" t="str">
        <f t="shared" si="2"/>
        <v>41 to 57</v>
      </c>
      <c r="L56" t="str">
        <f>CONCATENATE(INDEX(missionsDragonRelativeMetrics[Hard Mission Reward],MATCH($E$35,missionsDragonRelativeMetrics[Dragon],0)), " coins")</f>
        <v>54000 coins</v>
      </c>
    </row>
    <row r="57" spans="2:12" x14ac:dyDescent="0.25">
      <c r="B57" t="s">
        <v>0</v>
      </c>
      <c r="C57" t="s">
        <v>159</v>
      </c>
      <c r="D57" t="s">
        <v>133</v>
      </c>
      <c r="E57" s="123">
        <v>5</v>
      </c>
      <c r="F57" s="123">
        <v>7</v>
      </c>
      <c r="G57" s="125" t="str">
        <f t="shared" si="0"/>
        <v>40 to 56</v>
      </c>
      <c r="H57" t="str">
        <f>CONCATENATE(INDEX(missionsDragonRelativeMetrics[Easy Mission Reward],MATCH($E$35,missionsDragonRelativeMetrics[Dragon],0)), " coins")</f>
        <v>18000 coins</v>
      </c>
      <c r="I57" s="125" t="str">
        <f t="shared" si="1"/>
        <v>41 to 57</v>
      </c>
      <c r="J57" t="str">
        <f>CONCATENATE(INDEX(missionsDragonRelativeMetrics[Medium Mission Reward],MATCH($E$35,missionsDragonRelativeMetrics[Dragon],0)), " coins")</f>
        <v>27000 coins</v>
      </c>
      <c r="K57" s="125" t="str">
        <f t="shared" si="2"/>
        <v>41 to 57</v>
      </c>
      <c r="L57" t="str">
        <f>CONCATENATE(INDEX(missionsDragonRelativeMetrics[Hard Mission Reward],MATCH($E$35,missionsDragonRelativeMetrics[Dragon],0)), " coins")</f>
        <v>54000 coins</v>
      </c>
    </row>
    <row r="58" spans="2:12" x14ac:dyDescent="0.25">
      <c r="B58" t="s">
        <v>0</v>
      </c>
      <c r="C58" t="s">
        <v>160</v>
      </c>
      <c r="D58" t="s">
        <v>133</v>
      </c>
      <c r="E58" s="123">
        <v>3</v>
      </c>
      <c r="F58" s="123">
        <v>4</v>
      </c>
      <c r="G58" s="125" t="str">
        <f t="shared" si="0"/>
        <v>24 to 32</v>
      </c>
      <c r="H58" t="str">
        <f>CONCATENATE(INDEX(missionsDragonRelativeMetrics[Easy Mission Reward],MATCH($E$35,missionsDragonRelativeMetrics[Dragon],0)), " coins")</f>
        <v>18000 coins</v>
      </c>
      <c r="I58" s="125" t="str">
        <f t="shared" si="1"/>
        <v>24 to 32</v>
      </c>
      <c r="J58" t="str">
        <f>CONCATENATE(INDEX(missionsDragonRelativeMetrics[Medium Mission Reward],MATCH($E$35,missionsDragonRelativeMetrics[Dragon],0)), " coins")</f>
        <v>27000 coins</v>
      </c>
      <c r="K58" s="125" t="str">
        <f t="shared" si="2"/>
        <v>25 to 33</v>
      </c>
      <c r="L58" t="str">
        <f>CONCATENATE(INDEX(missionsDragonRelativeMetrics[Hard Mission Reward],MATCH($E$35,missionsDragonRelativeMetrics[Dragon],0)), " coins")</f>
        <v>54000 coins</v>
      </c>
    </row>
    <row r="59" spans="2:12" x14ac:dyDescent="0.25">
      <c r="B59" t="s">
        <v>0</v>
      </c>
      <c r="C59" t="s">
        <v>161</v>
      </c>
      <c r="D59" t="s">
        <v>133</v>
      </c>
      <c r="E59" s="123">
        <v>3</v>
      </c>
      <c r="F59" s="123">
        <v>3</v>
      </c>
      <c r="G59" s="125" t="str">
        <f t="shared" si="0"/>
        <v>24 to 24</v>
      </c>
      <c r="H59" t="str">
        <f>CONCATENATE(INDEX(missionsDragonRelativeMetrics[Easy Mission Reward],MATCH($E$35,missionsDragonRelativeMetrics[Dragon],0)), " coins")</f>
        <v>18000 coins</v>
      </c>
      <c r="I59" s="125" t="str">
        <f t="shared" si="1"/>
        <v>24 to 24</v>
      </c>
      <c r="J59" t="str">
        <f>CONCATENATE(INDEX(missionsDragonRelativeMetrics[Medium Mission Reward],MATCH($E$35,missionsDragonRelativeMetrics[Dragon],0)), " coins")</f>
        <v>27000 coins</v>
      </c>
      <c r="K59" s="125" t="str">
        <f t="shared" si="2"/>
        <v>25 to 25</v>
      </c>
      <c r="L59" t="str">
        <f>CONCATENATE(INDEX(missionsDragonRelativeMetrics[Hard Mission Reward],MATCH($E$35,missionsDragonRelativeMetrics[Dragon],0)), " coins")</f>
        <v>54000 coins</v>
      </c>
    </row>
    <row r="60" spans="2:12" x14ac:dyDescent="0.25">
      <c r="B60" t="s">
        <v>0</v>
      </c>
      <c r="C60" t="s">
        <v>162</v>
      </c>
      <c r="D60" t="s">
        <v>133</v>
      </c>
      <c r="E60" s="123">
        <v>8</v>
      </c>
      <c r="F60" s="123">
        <v>9</v>
      </c>
      <c r="G60" s="125" t="str">
        <f t="shared" si="0"/>
        <v>64 to 72</v>
      </c>
      <c r="H60" t="str">
        <f>CONCATENATE(INDEX(missionsDragonRelativeMetrics[Easy Mission Reward],MATCH($E$35,missionsDragonRelativeMetrics[Dragon],0)), " coins")</f>
        <v>18000 coins</v>
      </c>
      <c r="I60" s="125" t="str">
        <f t="shared" si="1"/>
        <v>65 to 73</v>
      </c>
      <c r="J60" t="str">
        <f>CONCATENATE(INDEX(missionsDragonRelativeMetrics[Medium Mission Reward],MATCH($E$35,missionsDragonRelativeMetrics[Dragon],0)), " coins")</f>
        <v>27000 coins</v>
      </c>
      <c r="K60" s="125" t="str">
        <f t="shared" si="2"/>
        <v>66 to 74</v>
      </c>
      <c r="L60" t="str">
        <f>CONCATENATE(INDEX(missionsDragonRelativeMetrics[Hard Mission Reward],MATCH($E$35,missionsDragonRelativeMetrics[Dragon],0)), " coins")</f>
        <v>54000 coins</v>
      </c>
    </row>
    <row r="61" spans="2:12" x14ac:dyDescent="0.25">
      <c r="B61" t="s">
        <v>0</v>
      </c>
      <c r="C61" t="s">
        <v>163</v>
      </c>
      <c r="D61" t="s">
        <v>133</v>
      </c>
      <c r="E61" s="123">
        <v>11</v>
      </c>
      <c r="F61" s="123">
        <v>12</v>
      </c>
      <c r="G61" s="125" t="str">
        <f t="shared" si="0"/>
        <v>89 to 97</v>
      </c>
      <c r="H61" t="str">
        <f>CONCATENATE(INDEX(missionsDragonRelativeMetrics[Easy Mission Reward],MATCH($E$35,missionsDragonRelativeMetrics[Dragon],0)), " coins")</f>
        <v>18000 coins</v>
      </c>
      <c r="I61" s="125" t="str">
        <f t="shared" si="1"/>
        <v>89 to 97</v>
      </c>
      <c r="J61" t="str">
        <f>CONCATENATE(INDEX(missionsDragonRelativeMetrics[Medium Mission Reward],MATCH($E$35,missionsDragonRelativeMetrics[Dragon],0)), " coins")</f>
        <v>27000 coins</v>
      </c>
      <c r="K61" s="125" t="str">
        <f t="shared" si="2"/>
        <v>90 to 98</v>
      </c>
      <c r="L61" t="str">
        <f>CONCATENATE(INDEX(missionsDragonRelativeMetrics[Hard Mission Reward],MATCH($E$35,missionsDragonRelativeMetrics[Dragon],0)), " coins")</f>
        <v>54000 coins</v>
      </c>
    </row>
    <row r="62" spans="2:12" x14ac:dyDescent="0.25">
      <c r="B62" t="s">
        <v>164</v>
      </c>
      <c r="C62" s="124" t="s">
        <v>152</v>
      </c>
      <c r="D62" t="s">
        <v>133</v>
      </c>
      <c r="E62" s="123">
        <v>6000</v>
      </c>
      <c r="F62" s="123">
        <v>7000</v>
      </c>
      <c r="G62" s="125" t="str">
        <f t="shared" si="0"/>
        <v>48300 to 56350</v>
      </c>
      <c r="H62" t="str">
        <f>CONCATENATE(INDEX(missionsDragonRelativeMetrics[Easy Mission Reward],MATCH($E$35,missionsDragonRelativeMetrics[Dragon],0)), " coins")</f>
        <v>18000 coins</v>
      </c>
      <c r="I62" s="125" t="str">
        <f t="shared" si="1"/>
        <v>48600 to 56700</v>
      </c>
      <c r="J62" t="str">
        <f>CONCATENATE(INDEX(missionsDragonRelativeMetrics[Medium Mission Reward],MATCH($E$35,missionsDragonRelativeMetrics[Dragon],0)), " coins")</f>
        <v>27000 coins</v>
      </c>
      <c r="K62" s="125" t="str">
        <f t="shared" si="2"/>
        <v>49200 to 57400</v>
      </c>
      <c r="L62" t="str">
        <f>CONCATENATE(INDEX(missionsDragonRelativeMetrics[Hard Mission Reward],MATCH($E$35,missionsDragonRelativeMetrics[Dragon],0)), " coins")</f>
        <v>54000 coins</v>
      </c>
    </row>
    <row r="63" spans="2:12" x14ac:dyDescent="0.25">
      <c r="B63" t="s">
        <v>165</v>
      </c>
      <c r="C63" s="124" t="s">
        <v>152</v>
      </c>
      <c r="D63" t="s">
        <v>133</v>
      </c>
      <c r="E63" s="123">
        <v>50</v>
      </c>
      <c r="F63" s="123">
        <v>55</v>
      </c>
      <c r="G63" s="125" t="str">
        <f t="shared" si="0"/>
        <v>403 to 443</v>
      </c>
      <c r="H63" t="str">
        <f>CONCATENATE(INDEX(missionsDragonRelativeMetrics[Easy Mission Reward],MATCH($E$35,missionsDragonRelativeMetrics[Dragon],0)), " coins")</f>
        <v>18000 coins</v>
      </c>
      <c r="I63" s="125" t="str">
        <f t="shared" si="1"/>
        <v>405 to 446</v>
      </c>
      <c r="J63" t="str">
        <f>CONCATENATE(INDEX(missionsDragonRelativeMetrics[Medium Mission Reward],MATCH($E$35,missionsDragonRelativeMetrics[Dragon],0)), " coins")</f>
        <v>27000 coins</v>
      </c>
      <c r="K63" s="125" t="str">
        <f t="shared" si="2"/>
        <v>410 to 451</v>
      </c>
      <c r="L63" t="str">
        <f>CONCATENATE(INDEX(missionsDragonRelativeMetrics[Hard Mission Reward],MATCH($E$35,missionsDragonRelativeMetrics[Dragon],0)), " coins")</f>
        <v>54000 coins</v>
      </c>
    </row>
    <row r="64" spans="2:12" x14ac:dyDescent="0.25">
      <c r="B64" t="s">
        <v>165</v>
      </c>
      <c r="C64" t="s">
        <v>166</v>
      </c>
      <c r="D64" t="s">
        <v>133</v>
      </c>
      <c r="E64" s="123">
        <v>4</v>
      </c>
      <c r="F64" s="123">
        <v>4</v>
      </c>
      <c r="G64" s="125" t="str">
        <f t="shared" si="0"/>
        <v>32 to 32</v>
      </c>
      <c r="H64" t="str">
        <f>CONCATENATE(INDEX(missionsDragonRelativeMetrics[Easy Mission Reward],MATCH($E$35,missionsDragonRelativeMetrics[Dragon],0)), " coins")</f>
        <v>18000 coins</v>
      </c>
      <c r="I64" s="125" t="str">
        <f t="shared" si="1"/>
        <v>32 to 32</v>
      </c>
      <c r="J64" t="str">
        <f>CONCATENATE(INDEX(missionsDragonRelativeMetrics[Medium Mission Reward],MATCH($E$35,missionsDragonRelativeMetrics[Dragon],0)), " coins")</f>
        <v>27000 coins</v>
      </c>
      <c r="K64" s="125" t="str">
        <f t="shared" si="2"/>
        <v>33 to 33</v>
      </c>
      <c r="L64" t="str">
        <f>CONCATENATE(INDEX(missionsDragonRelativeMetrics[Hard Mission Reward],MATCH($E$35,missionsDragonRelativeMetrics[Dragon],0)), " coins")</f>
        <v>54000 coins</v>
      </c>
    </row>
    <row r="65" spans="2:12" x14ac:dyDescent="0.25">
      <c r="B65" t="s">
        <v>165</v>
      </c>
      <c r="C65" t="s">
        <v>167</v>
      </c>
      <c r="D65" t="s">
        <v>133</v>
      </c>
      <c r="E65" s="123">
        <v>5</v>
      </c>
      <c r="F65" s="123">
        <v>5</v>
      </c>
      <c r="G65" s="125" t="str">
        <f t="shared" si="0"/>
        <v>40 to 40</v>
      </c>
      <c r="H65" t="str">
        <f>CONCATENATE(INDEX(missionsDragonRelativeMetrics[Easy Mission Reward],MATCH($E$35,missionsDragonRelativeMetrics[Dragon],0)), " coins")</f>
        <v>18000 coins</v>
      </c>
      <c r="I65" s="125" t="str">
        <f t="shared" si="1"/>
        <v>41 to 41</v>
      </c>
      <c r="J65" t="str">
        <f>CONCATENATE(INDEX(missionsDragonRelativeMetrics[Medium Mission Reward],MATCH($E$35,missionsDragonRelativeMetrics[Dragon],0)), " coins")</f>
        <v>27000 coins</v>
      </c>
      <c r="K65" s="125" t="str">
        <f t="shared" si="2"/>
        <v>41 to 41</v>
      </c>
      <c r="L65" t="str">
        <f>CONCATENATE(INDEX(missionsDragonRelativeMetrics[Hard Mission Reward],MATCH($E$35,missionsDragonRelativeMetrics[Dragon],0)), " coins")</f>
        <v>54000 coins</v>
      </c>
    </row>
    <row r="66" spans="2:12" x14ac:dyDescent="0.25">
      <c r="B66" t="s">
        <v>165</v>
      </c>
      <c r="C66" t="s">
        <v>156</v>
      </c>
      <c r="D66" t="s">
        <v>133</v>
      </c>
      <c r="E66" s="123">
        <v>17</v>
      </c>
      <c r="F66" s="123">
        <v>18</v>
      </c>
      <c r="G66" s="125" t="str">
        <f t="shared" si="0"/>
        <v>137 to 145</v>
      </c>
      <c r="H66" t="str">
        <f>CONCATENATE(INDEX(missionsDragonRelativeMetrics[Easy Mission Reward],MATCH($E$35,missionsDragonRelativeMetrics[Dragon],0)), " coins")</f>
        <v>18000 coins</v>
      </c>
      <c r="I66" s="125" t="str">
        <f t="shared" si="1"/>
        <v>138 to 146</v>
      </c>
      <c r="J66" t="str">
        <f>CONCATENATE(INDEX(missionsDragonRelativeMetrics[Medium Mission Reward],MATCH($E$35,missionsDragonRelativeMetrics[Dragon],0)), " coins")</f>
        <v>27000 coins</v>
      </c>
      <c r="K66" s="125" t="str">
        <f t="shared" si="2"/>
        <v>139 to 148</v>
      </c>
      <c r="L66" t="str">
        <f>CONCATENATE(INDEX(missionsDragonRelativeMetrics[Hard Mission Reward],MATCH($E$35,missionsDragonRelativeMetrics[Dragon],0)), " coins")</f>
        <v>54000 coins</v>
      </c>
    </row>
    <row r="67" spans="2:12" x14ac:dyDescent="0.25">
      <c r="B67" t="s">
        <v>2</v>
      </c>
      <c r="C67" t="s">
        <v>168</v>
      </c>
      <c r="D67" t="s">
        <v>150</v>
      </c>
      <c r="E67" s="123">
        <v>10</v>
      </c>
      <c r="F67" s="123">
        <v>12</v>
      </c>
      <c r="G67" s="125" t="str">
        <f t="shared" si="0"/>
        <v>81 to 97</v>
      </c>
      <c r="H67" t="str">
        <f>CONCATENATE(INDEX(missionsDragonRelativeMetrics[Easy Mission Reward],MATCH($E$35,missionsDragonRelativeMetrics[Dragon],0)), " coins")</f>
        <v>18000 coins</v>
      </c>
      <c r="I67" s="125" t="str">
        <f t="shared" si="1"/>
        <v>81 to 97</v>
      </c>
      <c r="J67" t="str">
        <f>CONCATENATE(INDEX(missionsDragonRelativeMetrics[Medium Mission Reward],MATCH($E$35,missionsDragonRelativeMetrics[Dragon],0)), " coins")</f>
        <v>27000 coins</v>
      </c>
      <c r="K67" s="125" t="str">
        <f t="shared" si="2"/>
        <v>82 to 98</v>
      </c>
      <c r="L67" t="str">
        <f>CONCATENATE(INDEX(missionsDragonRelativeMetrics[Hard Mission Reward],MATCH($E$35,missionsDragonRelativeMetrics[Dragon],0)), " coins")</f>
        <v>54000 coins</v>
      </c>
    </row>
    <row r="68" spans="2:12" x14ac:dyDescent="0.25">
      <c r="B68" t="s">
        <v>165</v>
      </c>
      <c r="C68" t="s">
        <v>169</v>
      </c>
      <c r="D68" t="s">
        <v>133</v>
      </c>
      <c r="E68" s="123">
        <v>3</v>
      </c>
      <c r="F68" s="123">
        <v>4</v>
      </c>
      <c r="G68" s="125" t="str">
        <f t="shared" si="0"/>
        <v>24 to 32</v>
      </c>
      <c r="H68" t="str">
        <f>CONCATENATE(INDEX(missionsDragonRelativeMetrics[Easy Mission Reward],MATCH($E$35,missionsDragonRelativeMetrics[Dragon],0)), " coins")</f>
        <v>18000 coins</v>
      </c>
      <c r="I68" s="125" t="str">
        <f t="shared" si="1"/>
        <v>24 to 32</v>
      </c>
      <c r="J68" t="str">
        <f>CONCATENATE(INDEX(missionsDragonRelativeMetrics[Medium Mission Reward],MATCH($E$35,missionsDragonRelativeMetrics[Dragon],0)), " coins")</f>
        <v>27000 coins</v>
      </c>
      <c r="K68" s="125" t="str">
        <f t="shared" si="2"/>
        <v>25 to 33</v>
      </c>
      <c r="L68" t="str">
        <f>CONCATENATE(INDEX(missionsDragonRelativeMetrics[Hard Mission Reward],MATCH($E$35,missionsDragonRelativeMetrics[Dragon],0)), " coins")</f>
        <v>54000 coins</v>
      </c>
    </row>
    <row r="69" spans="2:12" x14ac:dyDescent="0.25">
      <c r="B69" t="s">
        <v>165</v>
      </c>
      <c r="C69" t="s">
        <v>132</v>
      </c>
      <c r="D69" t="s">
        <v>133</v>
      </c>
      <c r="E69" s="123">
        <v>25</v>
      </c>
      <c r="F69" s="123">
        <v>27</v>
      </c>
      <c r="G69" s="125" t="str">
        <f t="shared" si="0"/>
        <v>201 to 217</v>
      </c>
      <c r="H69" t="str">
        <f>CONCATENATE(INDEX(missionsDragonRelativeMetrics[Easy Mission Reward],MATCH($E$35,missionsDragonRelativeMetrics[Dragon],0)), " coins")</f>
        <v>18000 coins</v>
      </c>
      <c r="I69" s="125" t="str">
        <f t="shared" si="1"/>
        <v>203 to 219</v>
      </c>
      <c r="J69" t="str">
        <f>CONCATENATE(INDEX(missionsDragonRelativeMetrics[Medium Mission Reward],MATCH($E$35,missionsDragonRelativeMetrics[Dragon],0)), " coins")</f>
        <v>27000 coins</v>
      </c>
      <c r="K69" s="125" t="str">
        <f t="shared" si="2"/>
        <v>205 to 221</v>
      </c>
      <c r="L69" t="str">
        <f>CONCATENATE(INDEX(missionsDragonRelativeMetrics[Hard Mission Reward],MATCH($E$35,missionsDragonRelativeMetrics[Dragon],0)), " coins")</f>
        <v>54000 coins</v>
      </c>
    </row>
    <row r="70" spans="2:12" x14ac:dyDescent="0.25">
      <c r="B70" t="s">
        <v>0</v>
      </c>
      <c r="C70" t="s">
        <v>170</v>
      </c>
      <c r="D70" t="s">
        <v>133</v>
      </c>
      <c r="E70" s="123">
        <v>10</v>
      </c>
      <c r="F70" s="123">
        <v>12</v>
      </c>
      <c r="G70" s="125" t="str">
        <f t="shared" si="0"/>
        <v>81 to 97</v>
      </c>
      <c r="H70" t="str">
        <f>CONCATENATE(INDEX(missionsDragonRelativeMetrics[Easy Mission Reward],MATCH($E$35,missionsDragonRelativeMetrics[Dragon],0)), " coins")</f>
        <v>18000 coins</v>
      </c>
      <c r="I70" s="125" t="str">
        <f t="shared" si="1"/>
        <v>81 to 97</v>
      </c>
      <c r="J70" t="str">
        <f>CONCATENATE(INDEX(missionsDragonRelativeMetrics[Medium Mission Reward],MATCH($E$35,missionsDragonRelativeMetrics[Dragon],0)), " coins")</f>
        <v>27000 coins</v>
      </c>
      <c r="K70" s="125" t="str">
        <f t="shared" si="2"/>
        <v>82 to 98</v>
      </c>
      <c r="L70" t="str">
        <f>CONCATENATE(INDEX(missionsDragonRelativeMetrics[Hard Mission Reward],MATCH($E$35,missionsDragonRelativeMetrics[Dragon],0)), " coins")</f>
        <v>54000 coins</v>
      </c>
    </row>
    <row r="71" spans="2:12" x14ac:dyDescent="0.25">
      <c r="B71" t="s">
        <v>165</v>
      </c>
      <c r="C71" t="s">
        <v>171</v>
      </c>
      <c r="D71" t="s">
        <v>133</v>
      </c>
      <c r="E71" s="123">
        <v>3</v>
      </c>
      <c r="F71" s="123">
        <v>3</v>
      </c>
      <c r="G71" s="125" t="str">
        <f t="shared" si="0"/>
        <v>24 to 24</v>
      </c>
      <c r="H71" t="str">
        <f>CONCATENATE(INDEX(missionsDragonRelativeMetrics[Easy Mission Reward],MATCH($E$35,missionsDragonRelativeMetrics[Dragon],0)), " coins")</f>
        <v>18000 coins</v>
      </c>
      <c r="I71" s="125" t="str">
        <f t="shared" si="1"/>
        <v>24 to 24</v>
      </c>
      <c r="J71" t="str">
        <f>CONCATENATE(INDEX(missionsDragonRelativeMetrics[Medium Mission Reward],MATCH($E$35,missionsDragonRelativeMetrics[Dragon],0)), " coins")</f>
        <v>27000 coins</v>
      </c>
      <c r="K71" s="125" t="str">
        <f t="shared" si="2"/>
        <v>25 to 25</v>
      </c>
      <c r="L71" t="str">
        <f>CONCATENATE(INDEX(missionsDragonRelativeMetrics[Hard Mission Reward],MATCH($E$35,missionsDragonRelativeMetrics[Dragon],0)), " coins")</f>
        <v>54000 coins</v>
      </c>
    </row>
    <row r="72" spans="2:12" x14ac:dyDescent="0.25">
      <c r="B72" t="s">
        <v>148</v>
      </c>
      <c r="C72" t="s">
        <v>172</v>
      </c>
      <c r="D72" t="s">
        <v>150</v>
      </c>
      <c r="E72" s="123">
        <v>1</v>
      </c>
      <c r="F72" s="123">
        <v>2</v>
      </c>
      <c r="G72" s="125" t="str">
        <f t="shared" si="0"/>
        <v>8 to 16</v>
      </c>
      <c r="H72" t="str">
        <f>CONCATENATE(INDEX(missionsDragonRelativeMetrics[Easy Mission Reward],MATCH($E$35,missionsDragonRelativeMetrics[Dragon],0)), " coins")</f>
        <v>18000 coins</v>
      </c>
      <c r="I72" s="125" t="str">
        <f t="shared" si="1"/>
        <v>8 to 16</v>
      </c>
      <c r="J72" t="str">
        <f>CONCATENATE(INDEX(missionsDragonRelativeMetrics[Medium Mission Reward],MATCH($E$35,missionsDragonRelativeMetrics[Dragon],0)), " coins")</f>
        <v>27000 coins</v>
      </c>
      <c r="K72" s="125" t="str">
        <f t="shared" si="2"/>
        <v>8 to 16</v>
      </c>
      <c r="L72" t="str">
        <f>CONCATENATE(INDEX(missionsDragonRelativeMetrics[Hard Mission Reward],MATCH($E$35,missionsDragonRelativeMetrics[Dragon],0)), " coins")</f>
        <v>54000 coins</v>
      </c>
    </row>
    <row r="73" spans="2:12" x14ac:dyDescent="0.25">
      <c r="B73" t="s">
        <v>0</v>
      </c>
      <c r="C73" t="s">
        <v>173</v>
      </c>
      <c r="D73" t="s">
        <v>133</v>
      </c>
      <c r="E73" s="123">
        <v>5</v>
      </c>
      <c r="F73" s="123">
        <v>6</v>
      </c>
      <c r="G73" s="125" t="str">
        <f t="shared" si="0"/>
        <v>40 to 48</v>
      </c>
      <c r="H73" t="str">
        <f>CONCATENATE(INDEX(missionsDragonRelativeMetrics[Easy Mission Reward],MATCH($E$35,missionsDragonRelativeMetrics[Dragon],0)), " coins")</f>
        <v>18000 coins</v>
      </c>
      <c r="I73" s="125" t="str">
        <f t="shared" si="1"/>
        <v>41 to 49</v>
      </c>
      <c r="J73" t="str">
        <f>CONCATENATE(INDEX(missionsDragonRelativeMetrics[Medium Mission Reward],MATCH($E$35,missionsDragonRelativeMetrics[Dragon],0)), " coins")</f>
        <v>27000 coins</v>
      </c>
      <c r="K73" s="125" t="str">
        <f t="shared" si="2"/>
        <v>41 to 49</v>
      </c>
      <c r="L73" t="str">
        <f>CONCATENATE(INDEX(missionsDragonRelativeMetrics[Hard Mission Reward],MATCH($E$35,missionsDragonRelativeMetrics[Dragon],0)), " coins")</f>
        <v>54000 coins</v>
      </c>
    </row>
  </sheetData>
  <mergeCells count="3">
    <mergeCell ref="G43:H43"/>
    <mergeCell ref="I43:J43"/>
    <mergeCell ref="K43:L43"/>
  </mergeCells>
  <dataValidations count="2">
    <dataValidation type="list" allowBlank="1" showInputMessage="1" showErrorMessage="1" sqref="I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0.39997558519241921"/>
  </sheetPr>
  <dimension ref="A1:R98"/>
  <sheetViews>
    <sheetView tabSelected="1" workbookViewId="0">
      <selection activeCell="I34" sqref="I34"/>
    </sheetView>
  </sheetViews>
  <sheetFormatPr defaultRowHeight="15" x14ac:dyDescent="0.25"/>
  <cols>
    <col min="2" max="2" width="25.7109375" customWidth="1"/>
    <col min="5" max="5" width="12.42578125" customWidth="1"/>
    <col min="6" max="6" width="12.85546875" customWidth="1"/>
    <col min="7" max="7" width="14.28515625" customWidth="1"/>
    <col min="8" max="8" width="9.7109375" customWidth="1"/>
    <col min="9" max="9" width="18.7109375" customWidth="1"/>
    <col min="10" max="10" width="19.5703125" customWidth="1"/>
    <col min="11" max="11" width="19.7109375" customWidth="1"/>
    <col min="12" max="12" width="10.5703125" customWidth="1"/>
    <col min="13" max="13" width="13.85546875" customWidth="1"/>
    <col min="14" max="14" width="13.7109375" customWidth="1"/>
    <col min="15" max="15" width="14.140625" customWidth="1"/>
    <col min="17" max="17" width="30.140625" customWidth="1"/>
    <col min="19" max="19" width="13" customWidth="1"/>
  </cols>
  <sheetData>
    <row r="1" spans="1:18" x14ac:dyDescent="0.25">
      <c r="E1" s="279" t="s">
        <v>465</v>
      </c>
      <c r="F1" s="336"/>
      <c r="G1" s="336"/>
      <c r="H1" s="336"/>
      <c r="I1" s="336"/>
      <c r="J1" s="336"/>
      <c r="K1" s="336"/>
      <c r="L1" s="336"/>
      <c r="M1" s="336"/>
      <c r="N1" s="336"/>
      <c r="O1" s="281"/>
    </row>
    <row r="2" spans="1:18" x14ac:dyDescent="0.25">
      <c r="B2" s="324" t="s">
        <v>458</v>
      </c>
      <c r="E2" s="279"/>
      <c r="F2" s="336"/>
      <c r="G2" s="336"/>
      <c r="H2" s="336"/>
      <c r="I2" s="336"/>
      <c r="J2" s="336"/>
      <c r="K2" s="336"/>
      <c r="L2" s="336"/>
      <c r="M2" s="336"/>
      <c r="N2" s="336"/>
      <c r="O2" s="281"/>
    </row>
    <row r="3" spans="1:18" x14ac:dyDescent="0.25">
      <c r="B3" s="115" t="s">
        <v>459</v>
      </c>
      <c r="E3" s="279" t="s">
        <v>463</v>
      </c>
      <c r="F3" s="336"/>
      <c r="G3" s="336"/>
      <c r="H3" s="336"/>
      <c r="I3" s="336"/>
      <c r="J3" s="336"/>
      <c r="K3" s="336"/>
      <c r="L3" s="336"/>
      <c r="M3" s="336"/>
      <c r="N3" s="336"/>
      <c r="O3" s="281"/>
    </row>
    <row r="4" spans="1:18" x14ac:dyDescent="0.25">
      <c r="B4" s="333" t="s">
        <v>460</v>
      </c>
      <c r="E4" s="279" t="s">
        <v>464</v>
      </c>
      <c r="F4" s="336"/>
      <c r="G4" s="336"/>
      <c r="H4" s="336"/>
      <c r="I4" s="336"/>
      <c r="J4" s="336"/>
      <c r="K4" s="336"/>
      <c r="L4" s="336"/>
      <c r="M4" s="336"/>
      <c r="N4" s="336"/>
      <c r="O4" s="281"/>
    </row>
    <row r="5" spans="1:18" ht="15.75" thickBot="1" x14ac:dyDescent="0.3">
      <c r="E5" s="282"/>
      <c r="F5" s="283"/>
      <c r="G5" s="283"/>
      <c r="H5" s="283"/>
      <c r="I5" s="283"/>
      <c r="J5" s="283"/>
      <c r="K5" s="283"/>
      <c r="L5" s="283"/>
      <c r="M5" s="283"/>
      <c r="N5" s="283"/>
      <c r="O5" s="284"/>
    </row>
    <row r="6" spans="1:18" ht="16.5" thickTop="1" thickBot="1" x14ac:dyDescent="0.3">
      <c r="A6" s="337" t="s">
        <v>453</v>
      </c>
      <c r="B6" s="337"/>
      <c r="C6" s="338"/>
    </row>
    <row r="7" spans="1:18" ht="15.75" thickBot="1" x14ac:dyDescent="0.3">
      <c r="A7" s="302"/>
      <c r="B7" s="300" t="s">
        <v>424</v>
      </c>
      <c r="C7" s="339"/>
    </row>
    <row r="8" spans="1:18" ht="15.75" thickBot="1" x14ac:dyDescent="0.3">
      <c r="A8" s="302"/>
      <c r="B8" s="299" t="s">
        <v>97</v>
      </c>
      <c r="C8" s="339"/>
    </row>
    <row r="9" spans="1:18" ht="15.75" thickBot="1" x14ac:dyDescent="0.3">
      <c r="A9" s="334"/>
      <c r="B9" s="334"/>
      <c r="C9" s="339"/>
      <c r="E9" s="353" t="s">
        <v>432</v>
      </c>
      <c r="F9" s="354"/>
      <c r="G9" s="355"/>
      <c r="J9" s="161"/>
      <c r="K9" s="306"/>
      <c r="L9" s="311"/>
      <c r="M9" s="357" t="s">
        <v>449</v>
      </c>
      <c r="N9" s="357"/>
      <c r="O9" s="357"/>
    </row>
    <row r="10" spans="1:18" ht="15.75" thickBot="1" x14ac:dyDescent="0.3">
      <c r="A10" s="334" t="s">
        <v>461</v>
      </c>
      <c r="B10" s="334"/>
      <c r="C10" s="339"/>
      <c r="E10" s="314" t="s">
        <v>416</v>
      </c>
      <c r="F10" s="315" t="s">
        <v>422</v>
      </c>
      <c r="G10" s="316" t="s">
        <v>423</v>
      </c>
      <c r="I10" s="322" t="s">
        <v>424</v>
      </c>
      <c r="J10" s="323" t="s">
        <v>435</v>
      </c>
      <c r="K10" s="321" t="s">
        <v>434</v>
      </c>
      <c r="L10" s="321" t="s">
        <v>439</v>
      </c>
      <c r="M10" s="321" t="s">
        <v>446</v>
      </c>
      <c r="N10" s="321" t="s">
        <v>447</v>
      </c>
      <c r="O10" s="321" t="s">
        <v>448</v>
      </c>
      <c r="Q10" s="301" t="s">
        <v>436</v>
      </c>
      <c r="R10" s="332">
        <f>INDEX(Table6[CHEST REW. MOD.],MATCH(B8,Table6[DRAGON],0))</f>
        <v>35</v>
      </c>
    </row>
    <row r="11" spans="1:18" ht="15.75" thickBot="1" x14ac:dyDescent="0.3">
      <c r="A11" s="334"/>
      <c r="B11" s="335" t="s">
        <v>416</v>
      </c>
      <c r="C11" s="340"/>
      <c r="E11" s="304">
        <v>1</v>
      </c>
      <c r="F11" s="327" t="s">
        <v>420</v>
      </c>
      <c r="G11" s="325">
        <v>100</v>
      </c>
      <c r="I11" s="304" t="s">
        <v>92</v>
      </c>
      <c r="J11" s="325">
        <v>2</v>
      </c>
      <c r="K11" s="325">
        <v>2</v>
      </c>
      <c r="L11" s="298">
        <v>1</v>
      </c>
      <c r="M11" s="115">
        <v>1</v>
      </c>
      <c r="N11" s="115">
        <v>1</v>
      </c>
      <c r="O11" s="312">
        <v>1</v>
      </c>
    </row>
    <row r="12" spans="1:18" ht="15.75" thickBot="1" x14ac:dyDescent="0.3">
      <c r="A12" s="334"/>
      <c r="B12" s="301" t="s">
        <v>425</v>
      </c>
      <c r="C12" s="344">
        <f>R10*(G11+G12+G13)</f>
        <v>15750</v>
      </c>
      <c r="E12" s="295">
        <v>2</v>
      </c>
      <c r="F12" s="327" t="s">
        <v>420</v>
      </c>
      <c r="G12" s="326">
        <v>150</v>
      </c>
      <c r="I12" s="295" t="s">
        <v>93</v>
      </c>
      <c r="J12" s="326">
        <v>6</v>
      </c>
      <c r="K12" s="326">
        <v>6</v>
      </c>
      <c r="L12" s="305">
        <v>2</v>
      </c>
      <c r="M12" s="115">
        <v>1</v>
      </c>
      <c r="N12" s="115">
        <v>1</v>
      </c>
      <c r="O12" s="313">
        <v>1</v>
      </c>
    </row>
    <row r="13" spans="1:18" ht="15.75" thickBot="1" x14ac:dyDescent="0.3">
      <c r="A13" s="334"/>
      <c r="B13" s="301" t="s">
        <v>426</v>
      </c>
      <c r="C13" s="344">
        <f>G14+G15</f>
        <v>3</v>
      </c>
      <c r="E13" s="295">
        <v>3</v>
      </c>
      <c r="F13" s="327" t="s">
        <v>420</v>
      </c>
      <c r="G13" s="326">
        <v>200</v>
      </c>
      <c r="I13" s="295" t="s">
        <v>94</v>
      </c>
      <c r="J13" s="326">
        <v>12</v>
      </c>
      <c r="K13" s="326">
        <v>10</v>
      </c>
      <c r="L13" s="305">
        <v>3</v>
      </c>
      <c r="M13" s="115">
        <v>1</v>
      </c>
      <c r="N13" s="115">
        <v>1</v>
      </c>
      <c r="O13" s="313">
        <v>1</v>
      </c>
      <c r="Q13" s="301" t="s">
        <v>437</v>
      </c>
      <c r="R13" s="332">
        <f>INDEX(Table6[DAILY REW. MOD.],MATCH(B8,Table6[DRAGON],0))</f>
        <v>25</v>
      </c>
    </row>
    <row r="14" spans="1:18" x14ac:dyDescent="0.25">
      <c r="A14" s="336"/>
      <c r="B14" s="336"/>
      <c r="C14" s="340"/>
      <c r="E14" s="295">
        <v>4</v>
      </c>
      <c r="F14" s="327" t="s">
        <v>421</v>
      </c>
      <c r="G14" s="326">
        <v>1</v>
      </c>
      <c r="I14" s="295" t="s">
        <v>95</v>
      </c>
      <c r="J14" s="326">
        <v>18</v>
      </c>
      <c r="K14" s="326">
        <v>15</v>
      </c>
      <c r="L14" s="305">
        <v>4</v>
      </c>
      <c r="M14" s="115">
        <v>1</v>
      </c>
      <c r="N14" s="115">
        <v>1</v>
      </c>
      <c r="O14" s="313">
        <v>1</v>
      </c>
    </row>
    <row r="15" spans="1:18" ht="15.75" thickBot="1" x14ac:dyDescent="0.3">
      <c r="A15" s="336"/>
      <c r="B15" s="335" t="s">
        <v>417</v>
      </c>
      <c r="C15" s="340"/>
      <c r="E15" s="295">
        <v>5</v>
      </c>
      <c r="F15" s="327" t="s">
        <v>421</v>
      </c>
      <c r="G15" s="326">
        <v>2</v>
      </c>
      <c r="I15" s="295" t="s">
        <v>96</v>
      </c>
      <c r="J15" s="326">
        <v>26</v>
      </c>
      <c r="K15" s="326">
        <v>20</v>
      </c>
      <c r="L15" s="305">
        <v>5</v>
      </c>
      <c r="M15" s="115">
        <v>1</v>
      </c>
      <c r="N15" s="115">
        <v>1</v>
      </c>
      <c r="O15" s="313">
        <v>1</v>
      </c>
    </row>
    <row r="16" spans="1:18" ht="15.75" thickBot="1" x14ac:dyDescent="0.3">
      <c r="A16" s="336"/>
      <c r="B16" s="301" t="s">
        <v>425</v>
      </c>
      <c r="C16" s="344">
        <f>ROUND((R13*(G21+G23+G25))/7,0)</f>
        <v>6250</v>
      </c>
      <c r="I16" s="295" t="s">
        <v>97</v>
      </c>
      <c r="J16" s="326">
        <v>35</v>
      </c>
      <c r="K16" s="326">
        <v>25</v>
      </c>
      <c r="L16" s="305">
        <v>6</v>
      </c>
      <c r="M16" s="115">
        <v>1</v>
      </c>
      <c r="N16" s="115">
        <v>1</v>
      </c>
      <c r="O16" s="313">
        <v>1</v>
      </c>
      <c r="Q16" s="301" t="s">
        <v>445</v>
      </c>
      <c r="R16" s="332">
        <f>INDEX(Table6[LEAGUE],MATCH(B8,Table6[DRAGON],0))</f>
        <v>6</v>
      </c>
    </row>
    <row r="17" spans="1:18" ht="15.75" thickBot="1" x14ac:dyDescent="0.3">
      <c r="A17" s="336"/>
      <c r="B17" s="301" t="s">
        <v>426</v>
      </c>
      <c r="C17" s="344">
        <f>ROUND((G22+G24+G26)/7,1)</f>
        <v>0.9</v>
      </c>
      <c r="I17" s="295" t="s">
        <v>98</v>
      </c>
      <c r="J17" s="326">
        <v>45</v>
      </c>
      <c r="K17" s="326">
        <v>30</v>
      </c>
      <c r="L17" s="305">
        <v>7</v>
      </c>
      <c r="M17" s="115">
        <v>1</v>
      </c>
      <c r="N17" s="115">
        <v>1</v>
      </c>
      <c r="O17" s="313">
        <v>1</v>
      </c>
    </row>
    <row r="18" spans="1:18" ht="15.75" thickBot="1" x14ac:dyDescent="0.3">
      <c r="A18" s="336"/>
      <c r="B18" s="336"/>
      <c r="C18" s="340"/>
      <c r="I18" s="295" t="s">
        <v>99</v>
      </c>
      <c r="J18" s="326">
        <v>56</v>
      </c>
      <c r="K18" s="326">
        <v>35</v>
      </c>
      <c r="L18" s="305">
        <v>8</v>
      </c>
      <c r="M18" s="115">
        <v>1</v>
      </c>
      <c r="N18" s="115">
        <v>1</v>
      </c>
      <c r="O18" s="313">
        <v>1</v>
      </c>
    </row>
    <row r="19" spans="1:18" ht="15.75" thickBot="1" x14ac:dyDescent="0.3">
      <c r="A19" s="336"/>
      <c r="B19" s="335" t="s">
        <v>418</v>
      </c>
      <c r="C19" s="340"/>
      <c r="E19" s="356" t="s">
        <v>433</v>
      </c>
      <c r="F19" s="356"/>
      <c r="G19" s="356"/>
      <c r="I19" s="295" t="s">
        <v>144</v>
      </c>
      <c r="J19" s="326">
        <v>62</v>
      </c>
      <c r="K19" s="326">
        <v>40</v>
      </c>
      <c r="L19" s="305">
        <v>9</v>
      </c>
      <c r="M19" s="115">
        <v>1</v>
      </c>
      <c r="N19" s="115">
        <v>1</v>
      </c>
      <c r="O19" s="313">
        <v>1</v>
      </c>
      <c r="Q19" s="301" t="s">
        <v>454</v>
      </c>
      <c r="R19" s="332">
        <f>INDEX(missionsDragonRelativeMetrics[Easy Mission Reward],MATCH(B8,missionsDragonRelativeMetrics[Dragon],0))</f>
        <v>7000</v>
      </c>
    </row>
    <row r="20" spans="1:18" ht="15.75" thickBot="1" x14ac:dyDescent="0.3">
      <c r="A20" s="336"/>
      <c r="B20" s="301" t="s">
        <v>425</v>
      </c>
      <c r="C20" s="344">
        <f>ROUND((INDEX(Table12[AVG COINS],MATCH(R16,Table12[LEAGUE],0))) / 2,0)</f>
        <v>3720</v>
      </c>
      <c r="E20" s="317" t="s">
        <v>431</v>
      </c>
      <c r="F20" s="317" t="s">
        <v>422</v>
      </c>
      <c r="G20" s="317" t="s">
        <v>423</v>
      </c>
      <c r="I20" s="295" t="s">
        <v>100</v>
      </c>
      <c r="J20" s="326">
        <v>67</v>
      </c>
      <c r="K20" s="326">
        <v>45</v>
      </c>
      <c r="L20" s="305">
        <v>9</v>
      </c>
      <c r="M20" s="115">
        <v>1</v>
      </c>
      <c r="N20" s="115">
        <v>1</v>
      </c>
      <c r="O20" s="313">
        <v>1</v>
      </c>
      <c r="Q20" s="301" t="s">
        <v>455</v>
      </c>
      <c r="R20" s="332">
        <f>INDEX(missionsDragonRelativeMetrics[Medium Mission Reward],MATCH(B8,missionsDragonRelativeMetrics[Dragon],0))</f>
        <v>10500</v>
      </c>
    </row>
    <row r="21" spans="1:18" ht="15.75" thickBot="1" x14ac:dyDescent="0.3">
      <c r="A21" s="336"/>
      <c r="B21" s="301" t="s">
        <v>426</v>
      </c>
      <c r="C21" s="344">
        <f>ROUND((INDEX(Table12[AVG GEMS],MATCH(R16,Table12[LEAGUE],0))) / 2,2)</f>
        <v>0</v>
      </c>
      <c r="E21" s="304">
        <v>1</v>
      </c>
      <c r="F21" s="326" t="s">
        <v>427</v>
      </c>
      <c r="G21" s="326">
        <v>250</v>
      </c>
      <c r="I21" s="295" t="s">
        <v>101</v>
      </c>
      <c r="J21" s="326">
        <v>80</v>
      </c>
      <c r="K21" s="326">
        <v>50</v>
      </c>
      <c r="L21" s="305">
        <v>10</v>
      </c>
      <c r="M21" s="115">
        <v>1</v>
      </c>
      <c r="N21" s="115">
        <v>1</v>
      </c>
      <c r="O21" s="313">
        <v>1</v>
      </c>
      <c r="Q21" s="301" t="s">
        <v>456</v>
      </c>
      <c r="R21" s="332">
        <f>INDEX(missionsDragonRelativeMetrics[Hard Mission Reward],MATCH(B8,missionsDragonRelativeMetrics[Dragon],0))</f>
        <v>21000</v>
      </c>
    </row>
    <row r="22" spans="1:18" x14ac:dyDescent="0.25">
      <c r="A22" s="336"/>
      <c r="B22" s="336"/>
      <c r="C22" s="340"/>
      <c r="E22" s="295">
        <v>2</v>
      </c>
      <c r="F22" s="326" t="s">
        <v>428</v>
      </c>
      <c r="G22" s="326">
        <v>1</v>
      </c>
      <c r="I22" s="295" t="s">
        <v>145</v>
      </c>
      <c r="J22" s="326">
        <v>85</v>
      </c>
      <c r="K22" s="326">
        <v>55</v>
      </c>
      <c r="L22" s="305">
        <v>10</v>
      </c>
      <c r="M22" s="115">
        <v>1</v>
      </c>
      <c r="N22" s="115">
        <v>1</v>
      </c>
      <c r="O22" s="313">
        <v>1</v>
      </c>
    </row>
    <row r="23" spans="1:18" ht="15.75" thickBot="1" x14ac:dyDescent="0.3">
      <c r="A23" s="336"/>
      <c r="B23" s="335" t="s">
        <v>419</v>
      </c>
      <c r="C23" s="340"/>
      <c r="E23" s="295">
        <v>3</v>
      </c>
      <c r="F23" s="326" t="s">
        <v>427</v>
      </c>
      <c r="G23" s="326">
        <v>500</v>
      </c>
      <c r="I23" s="296" t="s">
        <v>218</v>
      </c>
      <c r="J23" s="326">
        <v>90</v>
      </c>
      <c r="K23" s="326">
        <v>60</v>
      </c>
      <c r="L23" s="305">
        <v>10</v>
      </c>
      <c r="M23" s="115">
        <v>1</v>
      </c>
      <c r="N23" s="115">
        <v>1</v>
      </c>
      <c r="O23" s="313">
        <v>1</v>
      </c>
    </row>
    <row r="24" spans="1:18" ht="15.75" thickBot="1" x14ac:dyDescent="0.3">
      <c r="A24" s="336"/>
      <c r="B24" s="301" t="s">
        <v>450</v>
      </c>
      <c r="C24" s="344">
        <f>(INDEX(Table6[NUM. EASY],MATCH(B8,Table6[DRAGON],0))) *R19</f>
        <v>7000</v>
      </c>
      <c r="E24" s="295">
        <v>4</v>
      </c>
      <c r="F24" s="326" t="s">
        <v>428</v>
      </c>
      <c r="G24" s="326">
        <v>2</v>
      </c>
      <c r="I24" s="295" t="s">
        <v>408</v>
      </c>
      <c r="J24" s="326">
        <v>90</v>
      </c>
      <c r="K24" s="326">
        <v>60</v>
      </c>
      <c r="L24" s="305">
        <v>10</v>
      </c>
      <c r="M24" s="115">
        <v>1</v>
      </c>
      <c r="N24" s="115">
        <v>1</v>
      </c>
      <c r="O24" s="313">
        <v>1</v>
      </c>
    </row>
    <row r="25" spans="1:18" ht="15.75" thickBot="1" x14ac:dyDescent="0.3">
      <c r="A25" s="336"/>
      <c r="B25" s="301" t="s">
        <v>451</v>
      </c>
      <c r="C25" s="344">
        <f>(INDEX(Table6[NUM. MED.],MATCH(B8,Table6[DRAGON],0))) *R20</f>
        <v>10500</v>
      </c>
      <c r="E25" s="295">
        <v>5</v>
      </c>
      <c r="F25" s="326" t="s">
        <v>427</v>
      </c>
      <c r="G25" s="326">
        <v>1000</v>
      </c>
      <c r="I25" s="295" t="s">
        <v>409</v>
      </c>
      <c r="J25" s="326">
        <v>90</v>
      </c>
      <c r="K25" s="326">
        <v>60</v>
      </c>
      <c r="L25" s="305">
        <v>10</v>
      </c>
      <c r="M25" s="115">
        <v>1</v>
      </c>
      <c r="N25" s="115">
        <v>1</v>
      </c>
      <c r="O25" s="313">
        <v>1</v>
      </c>
    </row>
    <row r="26" spans="1:18" ht="15.75" thickBot="1" x14ac:dyDescent="0.3">
      <c r="A26" s="336"/>
      <c r="B26" s="301" t="s">
        <v>452</v>
      </c>
      <c r="C26" s="344">
        <f>(INDEX(Table6[NUM. HARD],MATCH(B8,Table6[DRAGON],0))) *R21</f>
        <v>21000</v>
      </c>
      <c r="E26" s="295">
        <v>6</v>
      </c>
      <c r="F26" s="326" t="s">
        <v>428</v>
      </c>
      <c r="G26" s="326">
        <v>3</v>
      </c>
      <c r="I26" s="295" t="s">
        <v>410</v>
      </c>
      <c r="J26" s="326">
        <v>90</v>
      </c>
      <c r="K26" s="326">
        <v>60</v>
      </c>
      <c r="L26" s="305">
        <v>10</v>
      </c>
      <c r="M26" s="115">
        <v>1</v>
      </c>
      <c r="N26" s="115">
        <v>1</v>
      </c>
      <c r="O26" s="313">
        <v>1</v>
      </c>
    </row>
    <row r="27" spans="1:18" x14ac:dyDescent="0.25">
      <c r="A27" s="336"/>
      <c r="B27" s="336"/>
      <c r="C27" s="340"/>
      <c r="E27" s="295">
        <v>7</v>
      </c>
      <c r="F27" s="326" t="s">
        <v>429</v>
      </c>
      <c r="G27" s="326">
        <v>1</v>
      </c>
      <c r="I27" s="295" t="s">
        <v>411</v>
      </c>
      <c r="J27" s="326">
        <v>90</v>
      </c>
      <c r="K27" s="326">
        <v>60</v>
      </c>
      <c r="L27" s="305">
        <v>10</v>
      </c>
      <c r="M27" s="115">
        <v>1</v>
      </c>
      <c r="N27" s="115">
        <v>1</v>
      </c>
      <c r="O27" s="313">
        <v>1</v>
      </c>
    </row>
    <row r="28" spans="1:18" ht="15.75" thickBot="1" x14ac:dyDescent="0.3">
      <c r="A28" s="336"/>
      <c r="B28" s="335" t="s">
        <v>462</v>
      </c>
      <c r="C28" s="340"/>
      <c r="E28" s="295">
        <v>14</v>
      </c>
      <c r="F28" s="328" t="s">
        <v>430</v>
      </c>
      <c r="G28" s="328">
        <v>1</v>
      </c>
      <c r="I28" s="295" t="s">
        <v>412</v>
      </c>
      <c r="J28" s="326">
        <v>90</v>
      </c>
      <c r="K28" s="326">
        <v>60</v>
      </c>
      <c r="L28" s="305">
        <v>10</v>
      </c>
      <c r="M28" s="115">
        <v>1</v>
      </c>
      <c r="N28" s="115">
        <v>1</v>
      </c>
      <c r="O28" s="313">
        <v>1</v>
      </c>
    </row>
    <row r="29" spans="1:18" ht="15.75" thickBot="1" x14ac:dyDescent="0.3">
      <c r="A29" s="336"/>
      <c r="B29" s="303" t="s">
        <v>425</v>
      </c>
      <c r="C29" s="341">
        <f>C12+C16+C20+C24+C25+C26</f>
        <v>64220</v>
      </c>
    </row>
    <row r="30" spans="1:18" ht="15.75" thickBot="1" x14ac:dyDescent="0.3">
      <c r="A30" s="336"/>
      <c r="B30" s="303" t="s">
        <v>426</v>
      </c>
      <c r="C30" s="341">
        <f>C13+C17+C21</f>
        <v>3.9</v>
      </c>
    </row>
    <row r="31" spans="1:18" x14ac:dyDescent="0.25">
      <c r="A31" s="336"/>
      <c r="B31" s="336"/>
      <c r="C31" s="340"/>
      <c r="E31" s="161" t="s">
        <v>444</v>
      </c>
    </row>
    <row r="32" spans="1:18" ht="15.75" thickBot="1" x14ac:dyDescent="0.3">
      <c r="A32" s="342"/>
      <c r="B32" s="342"/>
      <c r="C32" s="343"/>
      <c r="E32" s="317" t="s">
        <v>418</v>
      </c>
      <c r="F32" s="297">
        <v>2</v>
      </c>
      <c r="G32" t="s">
        <v>438</v>
      </c>
    </row>
    <row r="33" spans="5:9" ht="15.75" thickTop="1" x14ac:dyDescent="0.25"/>
    <row r="34" spans="5:9" x14ac:dyDescent="0.25">
      <c r="E34" s="318" t="s">
        <v>439</v>
      </c>
      <c r="F34" s="319" t="s">
        <v>440</v>
      </c>
      <c r="G34" s="320" t="s">
        <v>441</v>
      </c>
    </row>
    <row r="35" spans="5:9" x14ac:dyDescent="0.25">
      <c r="E35" s="307">
        <v>1</v>
      </c>
      <c r="F35" s="345">
        <f>ROUND(SUM(I49:I53)/100,0)</f>
        <v>753</v>
      </c>
      <c r="G35" s="346">
        <v>0</v>
      </c>
    </row>
    <row r="36" spans="5:9" x14ac:dyDescent="0.25">
      <c r="E36" s="308">
        <v>2</v>
      </c>
      <c r="F36" s="345">
        <f>ROUND(SUM(I54:I58)/100,0)</f>
        <v>1260</v>
      </c>
      <c r="G36" s="346">
        <v>0</v>
      </c>
    </row>
    <row r="37" spans="5:9" x14ac:dyDescent="0.25">
      <c r="E37" s="309">
        <v>3</v>
      </c>
      <c r="F37" s="345">
        <f>ROUND(SUM(I59:I62)/100,0)</f>
        <v>2985</v>
      </c>
      <c r="G37" s="346">
        <v>0</v>
      </c>
    </row>
    <row r="38" spans="5:9" x14ac:dyDescent="0.25">
      <c r="E38" s="308">
        <v>4</v>
      </c>
      <c r="F38" s="345">
        <f>ROUND(SUM(I64:I67)/100,0)</f>
        <v>4470</v>
      </c>
      <c r="G38" s="346">
        <v>0</v>
      </c>
    </row>
    <row r="39" spans="5:9" x14ac:dyDescent="0.25">
      <c r="E39" s="309">
        <v>5</v>
      </c>
      <c r="F39" s="345">
        <f>ROUND(SUM(I69:I72)/100,0)</f>
        <v>5955</v>
      </c>
      <c r="G39" s="346">
        <v>0</v>
      </c>
    </row>
    <row r="40" spans="5:9" x14ac:dyDescent="0.25">
      <c r="E40" s="308">
        <v>6</v>
      </c>
      <c r="F40" s="345">
        <f>ROUND(SUM(I74:I77)/100,0)</f>
        <v>7440</v>
      </c>
      <c r="G40" s="346">
        <v>0</v>
      </c>
    </row>
    <row r="41" spans="5:9" x14ac:dyDescent="0.25">
      <c r="E41" s="309">
        <v>7</v>
      </c>
      <c r="F41" s="345">
        <f>ROUND(SUM(I79:I82)/100,0)</f>
        <v>8925</v>
      </c>
      <c r="G41" s="346">
        <v>0</v>
      </c>
    </row>
    <row r="42" spans="5:9" x14ac:dyDescent="0.25">
      <c r="E42" s="308">
        <v>8</v>
      </c>
      <c r="F42" s="345">
        <f>ROUND(SUM(I84:I86)/100,0)</f>
        <v>9950</v>
      </c>
      <c r="G42" s="346">
        <f>ROUND(I87/100,2)</f>
        <v>0.2</v>
      </c>
    </row>
    <row r="43" spans="5:9" x14ac:dyDescent="0.25">
      <c r="E43" s="309">
        <v>9</v>
      </c>
      <c r="F43" s="345">
        <f>ROUND(SUM(I89:I91)/100,0)</f>
        <v>11375</v>
      </c>
      <c r="G43" s="346">
        <f>ROUND(I92/100,2)</f>
        <v>0.2</v>
      </c>
    </row>
    <row r="44" spans="5:9" x14ac:dyDescent="0.25">
      <c r="E44" s="310">
        <v>10</v>
      </c>
      <c r="F44" s="345">
        <f>ROUND(SUM(I94:I96)/100,0)</f>
        <v>12325</v>
      </c>
      <c r="G44" s="346">
        <f>ROUND(I97/100,2)</f>
        <v>0.4</v>
      </c>
    </row>
    <row r="47" spans="5:9" x14ac:dyDescent="0.25">
      <c r="E47" s="358" t="s">
        <v>457</v>
      </c>
      <c r="F47" s="358"/>
      <c r="G47" s="358"/>
      <c r="H47" s="358"/>
      <c r="I47" s="358"/>
    </row>
    <row r="48" spans="5:9" x14ac:dyDescent="0.25">
      <c r="E48" s="321" t="s">
        <v>439</v>
      </c>
      <c r="F48" s="321" t="s">
        <v>422</v>
      </c>
      <c r="G48" s="321" t="s">
        <v>423</v>
      </c>
      <c r="H48" s="321" t="s">
        <v>442</v>
      </c>
      <c r="I48" s="321" t="s">
        <v>443</v>
      </c>
    </row>
    <row r="49" spans="5:9" x14ac:dyDescent="0.25">
      <c r="E49" s="329">
        <v>1</v>
      </c>
      <c r="F49" s="329" t="s">
        <v>427</v>
      </c>
      <c r="G49" s="329">
        <v>400</v>
      </c>
      <c r="H49" s="329">
        <v>100</v>
      </c>
      <c r="I49" s="329">
        <f>Table13[[#This Row],[AMOUNT]]*(Table13[[#This Row],[TARGET]]-H50)</f>
        <v>12000</v>
      </c>
    </row>
    <row r="50" spans="5:9" x14ac:dyDescent="0.25">
      <c r="E50" s="330">
        <v>1</v>
      </c>
      <c r="F50" s="330" t="s">
        <v>427</v>
      </c>
      <c r="G50" s="330">
        <v>800</v>
      </c>
      <c r="H50" s="330">
        <v>70</v>
      </c>
      <c r="I50" s="330">
        <f>Table13[[#This Row],[AMOUNT]]*(Table13[[#This Row],[TARGET]]-H51)</f>
        <v>32000</v>
      </c>
    </row>
    <row r="51" spans="5:9" x14ac:dyDescent="0.25">
      <c r="E51" s="330">
        <v>1</v>
      </c>
      <c r="F51" s="330" t="s">
        <v>427</v>
      </c>
      <c r="G51" s="330">
        <v>1000</v>
      </c>
      <c r="H51" s="330">
        <v>30</v>
      </c>
      <c r="I51" s="330">
        <f>Table13[[#This Row],[AMOUNT]]*(Table13[[#This Row],[TARGET]]-H52)</f>
        <v>25000</v>
      </c>
    </row>
    <row r="52" spans="5:9" x14ac:dyDescent="0.25">
      <c r="E52" s="330">
        <v>1</v>
      </c>
      <c r="F52" s="330" t="s">
        <v>427</v>
      </c>
      <c r="G52" s="330">
        <v>1200</v>
      </c>
      <c r="H52" s="330">
        <v>5</v>
      </c>
      <c r="I52" s="330">
        <f>Table13[[#This Row],[AMOUNT]]*(Table13[[#This Row],[TARGET]]-H53)</f>
        <v>4800</v>
      </c>
    </row>
    <row r="53" spans="5:9" x14ac:dyDescent="0.25">
      <c r="E53" s="330">
        <v>1</v>
      </c>
      <c r="F53" s="330" t="s">
        <v>427</v>
      </c>
      <c r="G53" s="330">
        <v>1500</v>
      </c>
      <c r="H53" s="330">
        <v>1</v>
      </c>
      <c r="I53" s="330">
        <f>Table13[[#This Row],[AMOUNT]]</f>
        <v>1500</v>
      </c>
    </row>
    <row r="54" spans="5:9" x14ac:dyDescent="0.25">
      <c r="E54" s="330">
        <v>2</v>
      </c>
      <c r="F54" s="330" t="s">
        <v>427</v>
      </c>
      <c r="G54" s="330">
        <v>1000</v>
      </c>
      <c r="H54" s="330">
        <v>100</v>
      </c>
      <c r="I54" s="330">
        <f>Table13[[#This Row],[AMOUNT]]*(Table13[[#This Row],[TARGET]]-H55)</f>
        <v>30000</v>
      </c>
    </row>
    <row r="55" spans="5:9" x14ac:dyDescent="0.25">
      <c r="E55" s="330">
        <v>2</v>
      </c>
      <c r="F55" s="330" t="s">
        <v>427</v>
      </c>
      <c r="G55" s="330">
        <v>1200</v>
      </c>
      <c r="H55" s="330">
        <v>70</v>
      </c>
      <c r="I55" s="330">
        <f>Table13[[#This Row],[AMOUNT]]*(Table13[[#This Row],[TARGET]]-H56)</f>
        <v>48000</v>
      </c>
    </row>
    <row r="56" spans="5:9" x14ac:dyDescent="0.25">
      <c r="E56" s="330">
        <v>2</v>
      </c>
      <c r="F56" s="330" t="s">
        <v>427</v>
      </c>
      <c r="G56" s="330">
        <v>1500</v>
      </c>
      <c r="H56" s="330">
        <v>30</v>
      </c>
      <c r="I56" s="330">
        <f>Table13[[#This Row],[AMOUNT]]*(Table13[[#This Row],[TARGET]]-H57)</f>
        <v>37500</v>
      </c>
    </row>
    <row r="57" spans="5:9" x14ac:dyDescent="0.25">
      <c r="E57" s="330">
        <v>2</v>
      </c>
      <c r="F57" s="330" t="s">
        <v>427</v>
      </c>
      <c r="G57" s="330">
        <v>2000</v>
      </c>
      <c r="H57" s="330">
        <v>5</v>
      </c>
      <c r="I57" s="330">
        <f>Table13[[#This Row],[AMOUNT]]*(Table13[[#This Row],[TARGET]]-H58)</f>
        <v>8000</v>
      </c>
    </row>
    <row r="58" spans="5:9" x14ac:dyDescent="0.25">
      <c r="E58" s="330">
        <v>2</v>
      </c>
      <c r="F58" s="330" t="s">
        <v>427</v>
      </c>
      <c r="G58" s="330">
        <v>2500</v>
      </c>
      <c r="H58" s="330">
        <v>1</v>
      </c>
      <c r="I58" s="330">
        <f>Table13[[#This Row],[AMOUNT]]</f>
        <v>2500</v>
      </c>
    </row>
    <row r="59" spans="5:9" x14ac:dyDescent="0.25">
      <c r="E59" s="330">
        <v>3</v>
      </c>
      <c r="F59" s="330" t="s">
        <v>427</v>
      </c>
      <c r="G59" s="330">
        <v>2500</v>
      </c>
      <c r="H59" s="330">
        <v>100</v>
      </c>
      <c r="I59" s="330">
        <f>Table13[[#This Row],[AMOUNT]]*(Table13[[#This Row],[TARGET]]-H60)</f>
        <v>75000</v>
      </c>
    </row>
    <row r="60" spans="5:9" x14ac:dyDescent="0.25">
      <c r="E60" s="330">
        <v>3</v>
      </c>
      <c r="F60" s="330" t="s">
        <v>427</v>
      </c>
      <c r="G60" s="330">
        <v>3000</v>
      </c>
      <c r="H60" s="330">
        <v>70</v>
      </c>
      <c r="I60" s="330">
        <f>Table13[[#This Row],[AMOUNT]]*(Table13[[#This Row],[TARGET]]-H61)</f>
        <v>120000</v>
      </c>
    </row>
    <row r="61" spans="5:9" x14ac:dyDescent="0.25">
      <c r="E61" s="330">
        <v>3</v>
      </c>
      <c r="F61" s="330" t="s">
        <v>427</v>
      </c>
      <c r="G61" s="330">
        <v>3500</v>
      </c>
      <c r="H61" s="330">
        <v>30</v>
      </c>
      <c r="I61" s="330">
        <f>Table13[[#This Row],[AMOUNT]]*(Table13[[#This Row],[TARGET]]-H62)</f>
        <v>87500</v>
      </c>
    </row>
    <row r="62" spans="5:9" x14ac:dyDescent="0.25">
      <c r="E62" s="330">
        <v>3</v>
      </c>
      <c r="F62" s="330" t="s">
        <v>427</v>
      </c>
      <c r="G62" s="330">
        <v>4000</v>
      </c>
      <c r="H62" s="330">
        <v>5</v>
      </c>
      <c r="I62" s="330">
        <f>Table13[[#This Row],[AMOUNT]]*(Table13[[#This Row],[TARGET]]-H63)</f>
        <v>16000</v>
      </c>
    </row>
    <row r="63" spans="5:9" x14ac:dyDescent="0.25">
      <c r="E63" s="330">
        <v>3</v>
      </c>
      <c r="F63" s="330" t="s">
        <v>430</v>
      </c>
      <c r="G63" s="330" t="s">
        <v>229</v>
      </c>
      <c r="H63" s="330">
        <v>1</v>
      </c>
      <c r="I63" s="330"/>
    </row>
    <row r="64" spans="5:9" x14ac:dyDescent="0.25">
      <c r="E64" s="330">
        <v>4</v>
      </c>
      <c r="F64" s="330" t="s">
        <v>427</v>
      </c>
      <c r="G64" s="330">
        <v>4000</v>
      </c>
      <c r="H64" s="330">
        <v>100</v>
      </c>
      <c r="I64" s="330">
        <f>Table13[[#This Row],[AMOUNT]]*(Table13[[#This Row],[TARGET]]-H65)</f>
        <v>120000</v>
      </c>
    </row>
    <row r="65" spans="5:9" x14ac:dyDescent="0.25">
      <c r="E65" s="330">
        <v>4</v>
      </c>
      <c r="F65" s="330" t="s">
        <v>427</v>
      </c>
      <c r="G65" s="330">
        <v>4500</v>
      </c>
      <c r="H65" s="330">
        <v>70</v>
      </c>
      <c r="I65" s="330">
        <f>Table13[[#This Row],[AMOUNT]]*(Table13[[#This Row],[TARGET]]-H66)</f>
        <v>180000</v>
      </c>
    </row>
    <row r="66" spans="5:9" x14ac:dyDescent="0.25">
      <c r="E66" s="330">
        <v>4</v>
      </c>
      <c r="F66" s="330" t="s">
        <v>427</v>
      </c>
      <c r="G66" s="330">
        <v>5000</v>
      </c>
      <c r="H66" s="330">
        <v>30</v>
      </c>
      <c r="I66" s="330">
        <f>Table13[[#This Row],[AMOUNT]]*(Table13[[#This Row],[TARGET]]-H67)</f>
        <v>125000</v>
      </c>
    </row>
    <row r="67" spans="5:9" x14ac:dyDescent="0.25">
      <c r="E67" s="330">
        <v>4</v>
      </c>
      <c r="F67" s="330" t="s">
        <v>427</v>
      </c>
      <c r="G67" s="330">
        <v>5500</v>
      </c>
      <c r="H67" s="330">
        <v>5</v>
      </c>
      <c r="I67" s="330">
        <f>Table13[[#This Row],[AMOUNT]]*(Table13[[#This Row],[TARGET]]-H68)</f>
        <v>22000</v>
      </c>
    </row>
    <row r="68" spans="5:9" x14ac:dyDescent="0.25">
      <c r="E68" s="330">
        <v>4</v>
      </c>
      <c r="F68" s="330" t="s">
        <v>430</v>
      </c>
      <c r="G68" s="330" t="s">
        <v>229</v>
      </c>
      <c r="H68" s="330">
        <v>1</v>
      </c>
      <c r="I68" s="330"/>
    </row>
    <row r="69" spans="5:9" x14ac:dyDescent="0.25">
      <c r="E69" s="330">
        <v>5</v>
      </c>
      <c r="F69" s="330" t="s">
        <v>427</v>
      </c>
      <c r="G69" s="330">
        <v>5500</v>
      </c>
      <c r="H69" s="330">
        <v>100</v>
      </c>
      <c r="I69" s="330">
        <f>Table13[[#This Row],[AMOUNT]]*(Table13[[#This Row],[TARGET]]-H70)</f>
        <v>165000</v>
      </c>
    </row>
    <row r="70" spans="5:9" x14ac:dyDescent="0.25">
      <c r="E70" s="330">
        <v>5</v>
      </c>
      <c r="F70" s="330" t="s">
        <v>427</v>
      </c>
      <c r="G70" s="330">
        <v>6000</v>
      </c>
      <c r="H70" s="330">
        <v>70</v>
      </c>
      <c r="I70" s="330">
        <f>Table13[[#This Row],[AMOUNT]]*(Table13[[#This Row],[TARGET]]-H71)</f>
        <v>240000</v>
      </c>
    </row>
    <row r="71" spans="5:9" x14ac:dyDescent="0.25">
      <c r="E71" s="330">
        <v>5</v>
      </c>
      <c r="F71" s="330" t="s">
        <v>427</v>
      </c>
      <c r="G71" s="330">
        <v>6500</v>
      </c>
      <c r="H71" s="330">
        <v>30</v>
      </c>
      <c r="I71" s="330">
        <f>Table13[[#This Row],[AMOUNT]]*(Table13[[#This Row],[TARGET]]-H72)</f>
        <v>162500</v>
      </c>
    </row>
    <row r="72" spans="5:9" x14ac:dyDescent="0.25">
      <c r="E72" s="330">
        <v>5</v>
      </c>
      <c r="F72" s="330" t="s">
        <v>427</v>
      </c>
      <c r="G72" s="330">
        <v>7000</v>
      </c>
      <c r="H72" s="330">
        <v>5</v>
      </c>
      <c r="I72" s="330">
        <f>Table13[[#This Row],[AMOUNT]]*(Table13[[#This Row],[TARGET]]-H73)</f>
        <v>28000</v>
      </c>
    </row>
    <row r="73" spans="5:9" x14ac:dyDescent="0.25">
      <c r="E73" s="330">
        <v>5</v>
      </c>
      <c r="F73" s="330" t="s">
        <v>430</v>
      </c>
      <c r="G73" s="330" t="s">
        <v>229</v>
      </c>
      <c r="H73" s="330">
        <v>1</v>
      </c>
      <c r="I73" s="330"/>
    </row>
    <row r="74" spans="5:9" x14ac:dyDescent="0.25">
      <c r="E74" s="330">
        <v>6</v>
      </c>
      <c r="F74" s="330" t="s">
        <v>427</v>
      </c>
      <c r="G74" s="330">
        <v>7000</v>
      </c>
      <c r="H74" s="330">
        <v>100</v>
      </c>
      <c r="I74" s="330">
        <f>Table13[[#This Row],[AMOUNT]]*(Table13[[#This Row],[TARGET]]-H75)</f>
        <v>210000</v>
      </c>
    </row>
    <row r="75" spans="5:9" x14ac:dyDescent="0.25">
      <c r="E75" s="330">
        <v>6</v>
      </c>
      <c r="F75" s="330" t="s">
        <v>427</v>
      </c>
      <c r="G75" s="330">
        <v>7500</v>
      </c>
      <c r="H75" s="330">
        <v>70</v>
      </c>
      <c r="I75" s="330">
        <f>Table13[[#This Row],[AMOUNT]]*(Table13[[#This Row],[TARGET]]-H76)</f>
        <v>300000</v>
      </c>
    </row>
    <row r="76" spans="5:9" x14ac:dyDescent="0.25">
      <c r="E76" s="330">
        <v>6</v>
      </c>
      <c r="F76" s="330" t="s">
        <v>427</v>
      </c>
      <c r="G76" s="330">
        <v>8000</v>
      </c>
      <c r="H76" s="330">
        <v>30</v>
      </c>
      <c r="I76" s="330">
        <f>Table13[[#This Row],[AMOUNT]]*(Table13[[#This Row],[TARGET]]-H77)</f>
        <v>200000</v>
      </c>
    </row>
    <row r="77" spans="5:9" x14ac:dyDescent="0.25">
      <c r="E77" s="330">
        <v>6</v>
      </c>
      <c r="F77" s="330" t="s">
        <v>427</v>
      </c>
      <c r="G77" s="330">
        <v>8500</v>
      </c>
      <c r="H77" s="330">
        <v>5</v>
      </c>
      <c r="I77" s="330">
        <f>Table13[[#This Row],[AMOUNT]]*(Table13[[#This Row],[TARGET]]-H78)</f>
        <v>34000</v>
      </c>
    </row>
    <row r="78" spans="5:9" x14ac:dyDescent="0.25">
      <c r="E78" s="330">
        <v>6</v>
      </c>
      <c r="F78" s="330" t="s">
        <v>430</v>
      </c>
      <c r="G78" s="330" t="s">
        <v>229</v>
      </c>
      <c r="H78" s="330">
        <v>1</v>
      </c>
      <c r="I78" s="330"/>
    </row>
    <row r="79" spans="5:9" x14ac:dyDescent="0.25">
      <c r="E79" s="330">
        <v>7</v>
      </c>
      <c r="F79" s="330" t="s">
        <v>427</v>
      </c>
      <c r="G79" s="330">
        <v>8500</v>
      </c>
      <c r="H79" s="330">
        <v>100</v>
      </c>
      <c r="I79" s="330">
        <f>Table13[[#This Row],[AMOUNT]]*(Table13[[#This Row],[TARGET]]-H80)</f>
        <v>255000</v>
      </c>
    </row>
    <row r="80" spans="5:9" x14ac:dyDescent="0.25">
      <c r="E80" s="330">
        <v>7</v>
      </c>
      <c r="F80" s="330" t="s">
        <v>427</v>
      </c>
      <c r="G80" s="330">
        <v>9000</v>
      </c>
      <c r="H80" s="330">
        <v>70</v>
      </c>
      <c r="I80" s="330">
        <f>Table13[[#This Row],[AMOUNT]]*(Table13[[#This Row],[TARGET]]-H81)</f>
        <v>360000</v>
      </c>
    </row>
    <row r="81" spans="5:9" x14ac:dyDescent="0.25">
      <c r="E81" s="330">
        <v>7</v>
      </c>
      <c r="F81" s="330" t="s">
        <v>427</v>
      </c>
      <c r="G81" s="330">
        <v>9500</v>
      </c>
      <c r="H81" s="330">
        <v>30</v>
      </c>
      <c r="I81" s="330">
        <f>Table13[[#This Row],[AMOUNT]]*(Table13[[#This Row],[TARGET]]-H82)</f>
        <v>237500</v>
      </c>
    </row>
    <row r="82" spans="5:9" x14ac:dyDescent="0.25">
      <c r="E82" s="330">
        <v>7</v>
      </c>
      <c r="F82" s="330" t="s">
        <v>427</v>
      </c>
      <c r="G82" s="330">
        <v>10000</v>
      </c>
      <c r="H82" s="330">
        <v>5</v>
      </c>
      <c r="I82" s="330">
        <f>Table13[[#This Row],[AMOUNT]]*(Table13[[#This Row],[TARGET]]-H83)</f>
        <v>40000</v>
      </c>
    </row>
    <row r="83" spans="5:9" x14ac:dyDescent="0.25">
      <c r="E83" s="330">
        <v>7</v>
      </c>
      <c r="F83" s="330" t="s">
        <v>430</v>
      </c>
      <c r="G83" s="330" t="s">
        <v>229</v>
      </c>
      <c r="H83" s="330">
        <v>1</v>
      </c>
      <c r="I83" s="330"/>
    </row>
    <row r="84" spans="5:9" x14ac:dyDescent="0.25">
      <c r="E84" s="330">
        <v>8</v>
      </c>
      <c r="F84" s="330" t="s">
        <v>427</v>
      </c>
      <c r="G84" s="330">
        <v>10000</v>
      </c>
      <c r="H84" s="330">
        <v>100</v>
      </c>
      <c r="I84" s="330">
        <f>Table13[[#This Row],[AMOUNT]]*(Table13[[#This Row],[TARGET]]-H85)</f>
        <v>300000</v>
      </c>
    </row>
    <row r="85" spans="5:9" x14ac:dyDescent="0.25">
      <c r="E85" s="330">
        <v>8</v>
      </c>
      <c r="F85" s="330" t="s">
        <v>427</v>
      </c>
      <c r="G85" s="330">
        <v>10500</v>
      </c>
      <c r="H85" s="330">
        <v>70</v>
      </c>
      <c r="I85" s="330">
        <f>Table13[[#This Row],[AMOUNT]]*(Table13[[#This Row],[TARGET]]-H86)</f>
        <v>420000</v>
      </c>
    </row>
    <row r="86" spans="5:9" x14ac:dyDescent="0.25">
      <c r="E86" s="330">
        <v>8</v>
      </c>
      <c r="F86" s="330" t="s">
        <v>427</v>
      </c>
      <c r="G86" s="330">
        <v>11000</v>
      </c>
      <c r="H86" s="330">
        <v>30</v>
      </c>
      <c r="I86" s="330">
        <f>Table13[[#This Row],[AMOUNT]]*(Table13[[#This Row],[TARGET]]-H87)</f>
        <v>275000</v>
      </c>
    </row>
    <row r="87" spans="5:9" x14ac:dyDescent="0.25">
      <c r="E87" s="330">
        <v>8</v>
      </c>
      <c r="F87" s="330" t="s">
        <v>421</v>
      </c>
      <c r="G87" s="330">
        <v>5</v>
      </c>
      <c r="H87" s="330">
        <v>5</v>
      </c>
      <c r="I87" s="330">
        <f>Table13[[#This Row],[AMOUNT]]*(Table13[[#This Row],[TARGET]]-H88)</f>
        <v>20</v>
      </c>
    </row>
    <row r="88" spans="5:9" x14ac:dyDescent="0.25">
      <c r="E88" s="330">
        <v>8</v>
      </c>
      <c r="F88" s="330" t="s">
        <v>430</v>
      </c>
      <c r="G88" s="330" t="s">
        <v>229</v>
      </c>
      <c r="H88" s="330">
        <v>1</v>
      </c>
      <c r="I88" s="330"/>
    </row>
    <row r="89" spans="5:9" x14ac:dyDescent="0.25">
      <c r="E89" s="330">
        <v>9</v>
      </c>
      <c r="F89" s="330" t="s">
        <v>427</v>
      </c>
      <c r="G89" s="330">
        <v>11500</v>
      </c>
      <c r="H89" s="330">
        <v>100</v>
      </c>
      <c r="I89" s="330">
        <f>Table13[[#This Row],[AMOUNT]]*(Table13[[#This Row],[TARGET]]-H90)</f>
        <v>345000</v>
      </c>
    </row>
    <row r="90" spans="5:9" x14ac:dyDescent="0.25">
      <c r="E90" s="330">
        <v>9</v>
      </c>
      <c r="F90" s="330" t="s">
        <v>427</v>
      </c>
      <c r="G90" s="330">
        <v>12000</v>
      </c>
      <c r="H90" s="330">
        <v>70</v>
      </c>
      <c r="I90" s="330">
        <f>Table13[[#This Row],[AMOUNT]]*(Table13[[#This Row],[TARGET]]-H91)</f>
        <v>480000</v>
      </c>
    </row>
    <row r="91" spans="5:9" x14ac:dyDescent="0.25">
      <c r="E91" s="330">
        <v>9</v>
      </c>
      <c r="F91" s="330" t="s">
        <v>427</v>
      </c>
      <c r="G91" s="330">
        <v>12500</v>
      </c>
      <c r="H91" s="330">
        <v>30</v>
      </c>
      <c r="I91" s="330">
        <f>Table13[[#This Row],[AMOUNT]]*(Table13[[#This Row],[TARGET]]-H92)</f>
        <v>312500</v>
      </c>
    </row>
    <row r="92" spans="5:9" x14ac:dyDescent="0.25">
      <c r="E92" s="330">
        <v>9</v>
      </c>
      <c r="F92" s="330" t="s">
        <v>421</v>
      </c>
      <c r="G92" s="330">
        <v>5</v>
      </c>
      <c r="H92" s="330">
        <v>5</v>
      </c>
      <c r="I92" s="330">
        <f>Table13[[#This Row],[AMOUNT]]*(Table13[[#This Row],[TARGET]]-H93)</f>
        <v>20</v>
      </c>
    </row>
    <row r="93" spans="5:9" x14ac:dyDescent="0.25">
      <c r="E93" s="330">
        <v>9</v>
      </c>
      <c r="F93" s="330" t="s">
        <v>430</v>
      </c>
      <c r="G93" s="330" t="s">
        <v>229</v>
      </c>
      <c r="H93" s="330">
        <v>1</v>
      </c>
      <c r="I93" s="330"/>
    </row>
    <row r="94" spans="5:9" x14ac:dyDescent="0.25">
      <c r="E94" s="330">
        <v>10</v>
      </c>
      <c r="F94" s="330" t="s">
        <v>427</v>
      </c>
      <c r="G94" s="330">
        <v>12500</v>
      </c>
      <c r="H94" s="330">
        <v>100</v>
      </c>
      <c r="I94" s="330">
        <f>Table13[[#This Row],[AMOUNT]]*(Table13[[#This Row],[TARGET]]-H95)</f>
        <v>375000</v>
      </c>
    </row>
    <row r="95" spans="5:9" x14ac:dyDescent="0.25">
      <c r="E95" s="330">
        <v>10</v>
      </c>
      <c r="F95" s="330" t="s">
        <v>427</v>
      </c>
      <c r="G95" s="330">
        <v>13000</v>
      </c>
      <c r="H95" s="330">
        <v>70</v>
      </c>
      <c r="I95" s="330">
        <f>Table13[[#This Row],[AMOUNT]]*(Table13[[#This Row],[TARGET]]-H96)</f>
        <v>520000</v>
      </c>
    </row>
    <row r="96" spans="5:9" x14ac:dyDescent="0.25">
      <c r="E96" s="330">
        <v>10</v>
      </c>
      <c r="F96" s="330" t="s">
        <v>427</v>
      </c>
      <c r="G96" s="330">
        <v>13500</v>
      </c>
      <c r="H96" s="330">
        <v>30</v>
      </c>
      <c r="I96" s="330">
        <f>Table13[[#This Row],[AMOUNT]]*(Table13[[#This Row],[TARGET]]-H97)</f>
        <v>337500</v>
      </c>
    </row>
    <row r="97" spans="5:9" x14ac:dyDescent="0.25">
      <c r="E97" s="330">
        <v>10</v>
      </c>
      <c r="F97" s="330" t="s">
        <v>421</v>
      </c>
      <c r="G97" s="330">
        <v>10</v>
      </c>
      <c r="H97" s="330">
        <v>5</v>
      </c>
      <c r="I97" s="330">
        <f>Table13[[#This Row],[AMOUNT]]*(Table13[[#This Row],[TARGET]]-H98)</f>
        <v>40</v>
      </c>
    </row>
    <row r="98" spans="5:9" x14ac:dyDescent="0.25">
      <c r="E98" s="331">
        <v>10</v>
      </c>
      <c r="F98" s="331" t="s">
        <v>430</v>
      </c>
      <c r="G98" s="331" t="s">
        <v>230</v>
      </c>
      <c r="H98" s="331">
        <v>1</v>
      </c>
      <c r="I98" s="331"/>
    </row>
  </sheetData>
  <mergeCells count="4">
    <mergeCell ref="E9:G9"/>
    <mergeCell ref="E19:G19"/>
    <mergeCell ref="M9:O9"/>
    <mergeCell ref="E47:I47"/>
  </mergeCells>
  <dataValidations count="3">
    <dataValidation allowBlank="1" showInputMessage="1" showErrorMessage="1" prompt="percentage [0..1]" sqref="F11:F15"/>
    <dataValidation allowBlank="1" showErrorMessage="1" prompt="percentage [0..1]" sqref="G11:G15"/>
    <dataValidation type="list" allowBlank="1" showInputMessage="1" showErrorMessage="1" sqref="B8">
      <formula1>$I$11:$I$28</formula1>
    </dataValidation>
  </dataValidations>
  <pageMargins left="0.7" right="0.7" top="0.75" bottom="0.75" header="0.3" footer="0.3"/>
  <pageSetup paperSize="9"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T132"/>
  <sheetViews>
    <sheetView workbookViewId="0">
      <selection activeCell="E82" sqref="E82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8.75" x14ac:dyDescent="0.3">
      <c r="A1" s="30" t="s">
        <v>180</v>
      </c>
      <c r="B1" s="36"/>
      <c r="C1" s="36"/>
      <c r="E1" s="191" t="s">
        <v>265</v>
      </c>
      <c r="F1" s="185" t="s">
        <v>182</v>
      </c>
      <c r="G1" s="185" t="s">
        <v>52</v>
      </c>
      <c r="H1" s="185" t="s">
        <v>53</v>
      </c>
      <c r="I1" s="164" t="s">
        <v>264</v>
      </c>
      <c r="K1" s="206" t="s">
        <v>266</v>
      </c>
    </row>
    <row r="2" spans="1:20" ht="15.75" thickBot="1" x14ac:dyDescent="0.3">
      <c r="E2" s="192" t="s">
        <v>229</v>
      </c>
      <c r="F2" s="181">
        <f>Table11[price HC]*I2</f>
        <v>10</v>
      </c>
      <c r="G2" s="186">
        <f>ROUND(F2/$B$3,2)</f>
        <v>1</v>
      </c>
      <c r="H2" s="186">
        <f>ROUND(F2/$B$4,2)</f>
        <v>0.67</v>
      </c>
      <c r="I2" s="203">
        <v>1</v>
      </c>
      <c r="K2" s="207" t="s">
        <v>327</v>
      </c>
    </row>
    <row r="3" spans="1:20" ht="15.75" thickBot="1" x14ac:dyDescent="0.3">
      <c r="A3" s="165" t="s">
        <v>52</v>
      </c>
      <c r="B3" s="166">
        <v>10</v>
      </c>
      <c r="C3" s="167" t="s">
        <v>54</v>
      </c>
      <c r="E3" s="193" t="s">
        <v>230</v>
      </c>
      <c r="F3" s="190">
        <f>Table11[price HC]*I3</f>
        <v>20</v>
      </c>
      <c r="G3" s="187">
        <f>ROUND(F3/$B$3,2)</f>
        <v>2</v>
      </c>
      <c r="H3" s="187">
        <f>ROUND(F3/$B$4,2)</f>
        <v>1.33</v>
      </c>
      <c r="I3" s="204">
        <v>2</v>
      </c>
    </row>
    <row r="4" spans="1:20" ht="15.75" thickBot="1" x14ac:dyDescent="0.3">
      <c r="A4" s="168" t="s">
        <v>53</v>
      </c>
      <c r="B4" s="169">
        <f>ROUND(B12/A12,0)</f>
        <v>15</v>
      </c>
      <c r="C4" s="170" t="s">
        <v>54</v>
      </c>
      <c r="D4" s="161"/>
    </row>
    <row r="5" spans="1:20" x14ac:dyDescent="0.25">
      <c r="A5" t="s">
        <v>259</v>
      </c>
      <c r="E5" s="163" t="s">
        <v>183</v>
      </c>
      <c r="F5" s="185" t="s">
        <v>187</v>
      </c>
      <c r="G5" s="185" t="s">
        <v>52</v>
      </c>
      <c r="H5" s="185" t="s">
        <v>53</v>
      </c>
      <c r="I5" s="164" t="s">
        <v>264</v>
      </c>
    </row>
    <row r="6" spans="1:20" x14ac:dyDescent="0.25">
      <c r="A6" s="119" t="s">
        <v>46</v>
      </c>
      <c r="B6" s="180" t="s">
        <v>48</v>
      </c>
      <c r="C6" s="119" t="s">
        <v>47</v>
      </c>
      <c r="E6" s="183" t="s">
        <v>184</v>
      </c>
      <c r="F6" s="181">
        <f>Table11[price HC]*I6</f>
        <v>20</v>
      </c>
      <c r="G6" s="186">
        <f>ROUND(F6/$B$3,2)</f>
        <v>2</v>
      </c>
      <c r="H6" s="186">
        <f>ROUND(F6/$B$4,2)</f>
        <v>1.33</v>
      </c>
      <c r="I6" s="203">
        <v>2</v>
      </c>
    </row>
    <row r="7" spans="1:20" x14ac:dyDescent="0.25">
      <c r="A7" s="171">
        <v>0.99</v>
      </c>
      <c r="B7" s="180">
        <f>ROUND(Table47[[#This Row],[Price]]*$B$3+Table47[[#This Row],[Price]]*$B$3*Table47[[#This Row],[Discount]],0)</f>
        <v>10</v>
      </c>
      <c r="C7" s="172">
        <v>0</v>
      </c>
      <c r="E7" s="188" t="s">
        <v>185</v>
      </c>
      <c r="F7" s="182">
        <f>Table11[price HC]*I7</f>
        <v>50</v>
      </c>
      <c r="G7" s="194">
        <f>ROUND(F7/$B$3,2)</f>
        <v>5</v>
      </c>
      <c r="H7" s="194">
        <f t="shared" ref="H7:H8" si="0">ROUND(F7/$B$4,2)</f>
        <v>3.33</v>
      </c>
      <c r="I7" s="203">
        <v>5</v>
      </c>
    </row>
    <row r="8" spans="1:20" ht="15.75" thickBot="1" x14ac:dyDescent="0.3">
      <c r="A8" s="173">
        <v>4.99</v>
      </c>
      <c r="B8" s="180">
        <f>ROUND(Table47[[#This Row],[Price]]*$B$3+Table47[[#This Row],[Price]]*$B$3*Table47[[#This Row],[Discount]],0)</f>
        <v>52</v>
      </c>
      <c r="C8" s="174">
        <v>0.05</v>
      </c>
      <c r="E8" s="189" t="s">
        <v>186</v>
      </c>
      <c r="F8" s="195">
        <f>Table11[price HC]*I8</f>
        <v>100</v>
      </c>
      <c r="G8" s="196">
        <f>ROUND(F8/$B$3,2)</f>
        <v>10</v>
      </c>
      <c r="H8" s="196">
        <f t="shared" si="0"/>
        <v>6.67</v>
      </c>
      <c r="I8" s="204">
        <v>10</v>
      </c>
    </row>
    <row r="9" spans="1:20" ht="15.75" thickBot="1" x14ac:dyDescent="0.3">
      <c r="A9" s="171">
        <v>9.99</v>
      </c>
      <c r="B9" s="180">
        <f>ROUND(Table47[[#This Row],[Price]]*$B$3+Table47[[#This Row],[Price]]*$B$3*Table47[[#This Row],[Discount]],0)</f>
        <v>110</v>
      </c>
      <c r="C9" s="172">
        <v>0.1</v>
      </c>
    </row>
    <row r="10" spans="1:20" x14ac:dyDescent="0.25">
      <c r="A10" s="173">
        <v>19.989999999999998</v>
      </c>
      <c r="B10" s="180">
        <f>ROUND(Table47[[#This Row],[Price]]*$B$3+Table47[[#This Row],[Price]]*$B$3*Table47[[#This Row],[Discount]],0)</f>
        <v>250</v>
      </c>
      <c r="C10" s="174">
        <v>0.25</v>
      </c>
      <c r="E10" s="163" t="s">
        <v>265</v>
      </c>
      <c r="F10" s="185" t="s">
        <v>182</v>
      </c>
      <c r="G10" s="185" t="s">
        <v>52</v>
      </c>
      <c r="H10" s="185" t="s">
        <v>53</v>
      </c>
      <c r="I10" s="164" t="s">
        <v>264</v>
      </c>
      <c r="M10" s="109"/>
    </row>
    <row r="11" spans="1:20" x14ac:dyDescent="0.25">
      <c r="A11" s="171">
        <v>39.99</v>
      </c>
      <c r="B11" s="180">
        <f>ROUND(Table47[[#This Row],[Price]]*$B$3+Table47[[#This Row],[Price]]*$B$3*Table47[[#This Row],[Discount]],0)</f>
        <v>560</v>
      </c>
      <c r="C11" s="172">
        <v>0.4</v>
      </c>
      <c r="E11" s="183" t="s">
        <v>251</v>
      </c>
      <c r="F11" s="181">
        <f>Table11[price HC]*I11</f>
        <v>30</v>
      </c>
      <c r="G11" s="186">
        <f>ROUND(F11/$B$3,2)</f>
        <v>3</v>
      </c>
      <c r="H11" s="186">
        <f>ROUND(F11/$B$4,2)</f>
        <v>2</v>
      </c>
      <c r="I11" s="203">
        <v>3</v>
      </c>
    </row>
    <row r="12" spans="1:20" ht="15.75" thickBot="1" x14ac:dyDescent="0.3">
      <c r="A12" s="173">
        <v>79.989999999999995</v>
      </c>
      <c r="B12" s="180">
        <f>ROUND(Table47[[#This Row],[Price]]*$B$3+Table47[[#This Row],[Price]]*$B$3*Table47[[#This Row],[Discount]],0)</f>
        <v>1200</v>
      </c>
      <c r="C12" s="174">
        <v>0.5</v>
      </c>
      <c r="E12" s="184" t="s">
        <v>252</v>
      </c>
      <c r="F12" s="190">
        <f>Table11[price HC]*I12</f>
        <v>50</v>
      </c>
      <c r="G12" s="187">
        <f>ROUND(F12/$B$3,2)</f>
        <v>5</v>
      </c>
      <c r="H12" s="187">
        <f>ROUND(F12/$B$4,2)</f>
        <v>3.33</v>
      </c>
      <c r="I12" s="204">
        <v>5</v>
      </c>
    </row>
    <row r="14" spans="1:20" ht="19.5" thickBot="1" x14ac:dyDescent="0.35">
      <c r="A14" s="30" t="s">
        <v>181</v>
      </c>
      <c r="B14" s="36"/>
      <c r="C14" s="36"/>
      <c r="F14" s="359" t="s">
        <v>203</v>
      </c>
      <c r="G14" s="360"/>
      <c r="H14" s="361"/>
      <c r="I14" s="359" t="s">
        <v>270</v>
      </c>
      <c r="J14" s="360"/>
      <c r="K14" s="361"/>
      <c r="L14" s="359" t="s">
        <v>281</v>
      </c>
      <c r="M14" s="360"/>
      <c r="N14" s="361"/>
      <c r="O14" s="359" t="s">
        <v>282</v>
      </c>
      <c r="P14" s="360"/>
      <c r="Q14" s="361"/>
      <c r="R14" s="359" t="s">
        <v>283</v>
      </c>
      <c r="S14" s="360"/>
      <c r="T14" s="361"/>
    </row>
    <row r="15" spans="1:20" ht="15.75" thickBot="1" x14ac:dyDescent="0.3">
      <c r="E15" s="119" t="s">
        <v>4</v>
      </c>
      <c r="F15" s="119" t="s">
        <v>187</v>
      </c>
      <c r="G15" s="217" t="s">
        <v>52</v>
      </c>
      <c r="H15" s="216" t="s">
        <v>53</v>
      </c>
      <c r="I15" s="215" t="s">
        <v>271</v>
      </c>
      <c r="J15" s="205" t="s">
        <v>268</v>
      </c>
      <c r="K15" s="219" t="s">
        <v>269</v>
      </c>
      <c r="L15" s="220" t="s">
        <v>272</v>
      </c>
      <c r="M15" s="205" t="s">
        <v>273</v>
      </c>
      <c r="N15" s="219" t="s">
        <v>274</v>
      </c>
      <c r="O15" s="222" t="s">
        <v>275</v>
      </c>
      <c r="P15" s="223" t="s">
        <v>276</v>
      </c>
      <c r="Q15" s="225" t="s">
        <v>277</v>
      </c>
      <c r="R15" s="222" t="s">
        <v>278</v>
      </c>
      <c r="S15" s="223" t="s">
        <v>279</v>
      </c>
      <c r="T15" s="224" t="s">
        <v>280</v>
      </c>
    </row>
    <row r="16" spans="1:20" x14ac:dyDescent="0.25">
      <c r="A16" s="165" t="s">
        <v>52</v>
      </c>
      <c r="B16" s="166">
        <v>6000</v>
      </c>
      <c r="C16" s="167" t="s">
        <v>54</v>
      </c>
      <c r="E16" s="119" t="s">
        <v>191</v>
      </c>
      <c r="F16" s="175">
        <v>20</v>
      </c>
      <c r="G16" s="186">
        <f>F16/$B$3</f>
        <v>2</v>
      </c>
      <c r="H16" s="178">
        <f t="shared" ref="H16:H32" si="1">ROUND(F16/$B$4,2)</f>
        <v>1.33</v>
      </c>
      <c r="I16" s="175">
        <v>1700</v>
      </c>
      <c r="J16" s="186">
        <f>Table9[[#This Row],[Dis. 1 price (SC or HC)]]/$B$16</f>
        <v>0.28333333333333333</v>
      </c>
      <c r="K16" s="186">
        <f>Table9[[#This Row],[Dis. 1 price (SC or HC)]]/$B$17</f>
        <v>0.11111111111111112</v>
      </c>
      <c r="L16" s="221">
        <v>5</v>
      </c>
      <c r="M16" s="186">
        <f>Table9[[#This Row],[Dis. 2 price (SC or HC)]]/$B$3</f>
        <v>0.5</v>
      </c>
      <c r="N16" s="186">
        <f>Table9[[#This Row],[Dis. 2 price (SC or HC)]]/$B$4</f>
        <v>0.33333333333333331</v>
      </c>
      <c r="O16" s="228" t="s">
        <v>152</v>
      </c>
      <c r="P16" s="186" t="s">
        <v>152</v>
      </c>
      <c r="Q16" s="186" t="s">
        <v>152</v>
      </c>
      <c r="R16" s="228" t="s">
        <v>152</v>
      </c>
      <c r="S16" s="186" t="s">
        <v>152</v>
      </c>
      <c r="T16" s="186" t="s">
        <v>152</v>
      </c>
    </row>
    <row r="17" spans="1:20" ht="15.75" thickBot="1" x14ac:dyDescent="0.3">
      <c r="A17" s="168" t="s">
        <v>53</v>
      </c>
      <c r="B17" s="169">
        <f>B25/(A25/B4)</f>
        <v>15299.999999999998</v>
      </c>
      <c r="C17" s="170" t="s">
        <v>54</v>
      </c>
      <c r="E17" s="119" t="s">
        <v>194</v>
      </c>
      <c r="F17" s="175">
        <v>35</v>
      </c>
      <c r="G17" s="194">
        <f t="shared" ref="G17:G32" si="2">F17/$B$3</f>
        <v>3.5</v>
      </c>
      <c r="H17" s="179">
        <f t="shared" si="1"/>
        <v>2.33</v>
      </c>
      <c r="I17" s="175">
        <v>5300</v>
      </c>
      <c r="J17" s="194">
        <f>Table9[[#This Row],[Dis. 1 price (SC or HC)]]/$B$16</f>
        <v>0.8833333333333333</v>
      </c>
      <c r="K17" s="194">
        <f>Table9[[#This Row],[Dis. 1 price (SC or HC)]]/$B$17</f>
        <v>0.34640522875816998</v>
      </c>
      <c r="L17" s="221">
        <v>10</v>
      </c>
      <c r="M17" s="194">
        <f>Table9[[#This Row],[Dis. 2 price (SC or HC)]]/$B$3</f>
        <v>1</v>
      </c>
      <c r="N17" s="194">
        <f>Table9[[#This Row],[Dis. 2 price (SC or HC)]]/$B$4</f>
        <v>0.66666666666666663</v>
      </c>
      <c r="O17" s="227" t="s">
        <v>152</v>
      </c>
      <c r="P17" s="194" t="s">
        <v>152</v>
      </c>
      <c r="Q17" s="194" t="s">
        <v>152</v>
      </c>
      <c r="R17" s="227" t="s">
        <v>152</v>
      </c>
      <c r="S17" s="194" t="s">
        <v>152</v>
      </c>
      <c r="T17" s="194" t="s">
        <v>152</v>
      </c>
    </row>
    <row r="18" spans="1:20" x14ac:dyDescent="0.25">
      <c r="A18" t="s">
        <v>259</v>
      </c>
      <c r="E18" s="119" t="s">
        <v>192</v>
      </c>
      <c r="F18" s="175">
        <v>40</v>
      </c>
      <c r="G18" s="186">
        <f>F18/$B$3</f>
        <v>4</v>
      </c>
      <c r="H18" s="178">
        <f t="shared" si="1"/>
        <v>2.67</v>
      </c>
      <c r="I18" s="175">
        <v>10000</v>
      </c>
      <c r="J18" s="186">
        <f>Table9[[#This Row],[Dis. 1 price (SC or HC)]]/$B$16</f>
        <v>1.6666666666666667</v>
      </c>
      <c r="K18" s="186">
        <f>Table9[[#This Row],[Dis. 1 price (SC or HC)]]/$B$17</f>
        <v>0.65359477124183019</v>
      </c>
      <c r="L18" s="221">
        <v>10000</v>
      </c>
      <c r="M18" s="186">
        <f>Table9[[#This Row],[Dis. 2 price (SC or HC)]]/$B$16</f>
        <v>1.6666666666666667</v>
      </c>
      <c r="N18" s="186">
        <f>Table9[[#This Row],[Dis. 2 price (SC or HC)]]/$B$17</f>
        <v>0.65359477124183019</v>
      </c>
      <c r="O18" s="221">
        <v>15</v>
      </c>
      <c r="P18" s="186">
        <f>Table9[[#This Row],[Dis. 3 price (SC or HC)]]/$B$3</f>
        <v>1.5</v>
      </c>
      <c r="Q18" s="186">
        <f>Table9[[#This Row],[Dis. 3 price (SC or HC)]]/$B$4</f>
        <v>1</v>
      </c>
      <c r="R18" s="227" t="s">
        <v>152</v>
      </c>
      <c r="S18" s="186" t="s">
        <v>152</v>
      </c>
      <c r="T18" s="186" t="s">
        <v>152</v>
      </c>
    </row>
    <row r="19" spans="1:20" x14ac:dyDescent="0.25">
      <c r="A19" s="119" t="s">
        <v>260</v>
      </c>
      <c r="B19" s="180" t="s">
        <v>50</v>
      </c>
      <c r="C19" s="119" t="s">
        <v>47</v>
      </c>
      <c r="E19" s="119" t="s">
        <v>193</v>
      </c>
      <c r="F19" s="175">
        <v>50</v>
      </c>
      <c r="G19" s="194">
        <f t="shared" si="2"/>
        <v>5</v>
      </c>
      <c r="H19" s="179">
        <f>ROUND(F19/$B$4,2)</f>
        <v>3.33</v>
      </c>
      <c r="I19" s="175">
        <v>30000</v>
      </c>
      <c r="J19" s="194">
        <f>Table9[[#This Row],[Dis. 1 price (SC or HC)]]/$B$16</f>
        <v>5</v>
      </c>
      <c r="K19" s="194">
        <f>Table9[[#This Row],[Dis. 1 price (SC or HC)]]/$B$17</f>
        <v>1.9607843137254903</v>
      </c>
      <c r="L19" s="221">
        <v>30000</v>
      </c>
      <c r="M19" s="194">
        <f>Table9[[#This Row],[Dis. 2 price (SC or HC)]]/$B$16</f>
        <v>5</v>
      </c>
      <c r="N19" s="194">
        <f>Table9[[#This Row],[Dis. 2 price (SC or HC)]]/$B$17</f>
        <v>1.9607843137254903</v>
      </c>
      <c r="O19" s="221">
        <v>15</v>
      </c>
      <c r="P19" s="194">
        <f>Table9[[#This Row],[Dis. 3 price (SC or HC)]]/$B$3</f>
        <v>1.5</v>
      </c>
      <c r="Q19" s="194">
        <f>Table9[[#This Row],[Dis. 3 price (SC or HC)]]/$B$4</f>
        <v>1</v>
      </c>
      <c r="R19" s="227" t="s">
        <v>152</v>
      </c>
      <c r="S19" s="194" t="s">
        <v>152</v>
      </c>
      <c r="T19" s="194" t="s">
        <v>152</v>
      </c>
    </row>
    <row r="20" spans="1:20" x14ac:dyDescent="0.25">
      <c r="A20" s="119">
        <v>5</v>
      </c>
      <c r="B20" s="180">
        <f>ROUND((($B$16/$B$3)*Table479[[#This Row],[Price HC]])+((($B$16/$B$3)*Table479[[#This Row],[Price HC]])*Table479[[#This Row],[Discount]]),0)</f>
        <v>3000</v>
      </c>
      <c r="C20" s="172">
        <v>0</v>
      </c>
      <c r="E20" s="119" t="s">
        <v>195</v>
      </c>
      <c r="F20" s="175">
        <v>80</v>
      </c>
      <c r="G20" s="186">
        <f t="shared" si="2"/>
        <v>8</v>
      </c>
      <c r="H20" s="178">
        <f t="shared" si="1"/>
        <v>5.33</v>
      </c>
      <c r="I20" s="175">
        <v>58000</v>
      </c>
      <c r="J20" s="186">
        <f>Table9[[#This Row],[Dis. 1 price (SC or HC)]]/$B$16</f>
        <v>9.6666666666666661</v>
      </c>
      <c r="K20" s="186">
        <f>Table9[[#This Row],[Dis. 1 price (SC or HC)]]/$B$17</f>
        <v>3.7908496732026147</v>
      </c>
      <c r="L20" s="221">
        <v>58000</v>
      </c>
      <c r="M20" s="186">
        <f>Table9[[#This Row],[Dis. 2 price (SC or HC)]]/$B$16</f>
        <v>9.6666666666666661</v>
      </c>
      <c r="N20" s="186">
        <f>Table9[[#This Row],[Dis. 2 price (SC or HC)]]/$B$17</f>
        <v>3.7908496732026147</v>
      </c>
      <c r="O20" s="221">
        <v>15</v>
      </c>
      <c r="P20" s="186">
        <f>Table9[[#This Row],[Dis. 3 price (SC or HC)]]/$B$3</f>
        <v>1.5</v>
      </c>
      <c r="Q20" s="186">
        <f>Table9[[#This Row],[Dis. 3 price (SC or HC)]]/$B$4</f>
        <v>1</v>
      </c>
      <c r="R20" s="227" t="s">
        <v>152</v>
      </c>
      <c r="S20" s="186" t="s">
        <v>152</v>
      </c>
      <c r="T20" s="186" t="s">
        <v>152</v>
      </c>
    </row>
    <row r="21" spans="1:20" x14ac:dyDescent="0.25">
      <c r="A21" s="119">
        <v>20</v>
      </c>
      <c r="B21" s="180">
        <f>ROUND((($B$16/$B$3)*Table479[[#This Row],[Price HC]])+((($B$16/$B$3)*Table479[[#This Row],[Price HC]])*Table479[[#This Row],[Discount]]),0)</f>
        <v>13200</v>
      </c>
      <c r="C21" s="174">
        <v>0.1</v>
      </c>
      <c r="E21" s="119" t="s">
        <v>196</v>
      </c>
      <c r="F21" s="175">
        <v>100</v>
      </c>
      <c r="G21" s="194">
        <f t="shared" si="2"/>
        <v>10</v>
      </c>
      <c r="H21" s="179">
        <f t="shared" si="1"/>
        <v>6.67</v>
      </c>
      <c r="I21" s="175">
        <v>75000</v>
      </c>
      <c r="J21" s="194">
        <f>Table9[[#This Row],[Dis. 1 price (SC or HC)]]/$B$16</f>
        <v>12.5</v>
      </c>
      <c r="K21" s="194">
        <f>Table9[[#This Row],[Dis. 1 price (SC or HC)]]/$B$17</f>
        <v>4.9019607843137258</v>
      </c>
      <c r="L21" s="221">
        <v>75000</v>
      </c>
      <c r="M21" s="194">
        <f>Table9[[#This Row],[Dis. 2 price (SC or HC)]]/$B$16</f>
        <v>12.5</v>
      </c>
      <c r="N21" s="194">
        <f>Table9[[#This Row],[Dis. 2 price (SC or HC)]]/$B$17</f>
        <v>4.9019607843137258</v>
      </c>
      <c r="O21" s="221">
        <v>75000</v>
      </c>
      <c r="P21" s="194">
        <f>Table9[[#This Row],[Dis. 3 price (SC or HC)]]/$B$16</f>
        <v>12.5</v>
      </c>
      <c r="Q21" s="194">
        <f>Table9[[#This Row],[Dis. 3 price (SC or HC)]]/$B$17</f>
        <v>4.9019607843137258</v>
      </c>
      <c r="R21" s="221">
        <v>45</v>
      </c>
      <c r="S21" s="194">
        <f>Table9[[#This Row],[Dis. 4 price (SC or HC)]]/$B$3</f>
        <v>4.5</v>
      </c>
      <c r="T21" s="194">
        <f>Table9[[#This Row],[Dis. 4 price (SC or HC)]]/$B$4</f>
        <v>3</v>
      </c>
    </row>
    <row r="22" spans="1:20" x14ac:dyDescent="0.25">
      <c r="A22" s="119">
        <v>50</v>
      </c>
      <c r="B22" s="180">
        <f>ROUND((($B$16/$B$3)*Table479[[#This Row],[Price HC]])+((($B$16/$B$3)*Table479[[#This Row],[Price HC]])*Table479[[#This Row],[Discount]]),0)</f>
        <v>36000</v>
      </c>
      <c r="C22" s="172">
        <v>0.2</v>
      </c>
      <c r="E22" s="119" t="s">
        <v>197</v>
      </c>
      <c r="F22" s="175">
        <v>140</v>
      </c>
      <c r="G22" s="186">
        <f t="shared" si="2"/>
        <v>14</v>
      </c>
      <c r="H22" s="178">
        <f t="shared" si="1"/>
        <v>9.33</v>
      </c>
      <c r="I22" s="175">
        <v>80000</v>
      </c>
      <c r="J22" s="186">
        <f>Table9[[#This Row],[Dis. 1 price (SC or HC)]]/$B$16</f>
        <v>13.333333333333334</v>
      </c>
      <c r="K22" s="186">
        <f>Table9[[#This Row],[Dis. 1 price (SC or HC)]]/$B$17</f>
        <v>5.2287581699346415</v>
      </c>
      <c r="L22" s="221">
        <v>80000</v>
      </c>
      <c r="M22" s="186">
        <f>Table9[[#This Row],[Dis. 2 price (SC or HC)]]/$B$16</f>
        <v>13.333333333333334</v>
      </c>
      <c r="N22" s="186">
        <f>Table9[[#This Row],[Dis. 2 price (SC or HC)]]/$B$17</f>
        <v>5.2287581699346415</v>
      </c>
      <c r="O22" s="221">
        <v>80000</v>
      </c>
      <c r="P22" s="186">
        <f>Table9[[#This Row],[Dis. 3 price (SC or HC)]]/$B$16</f>
        <v>13.333333333333334</v>
      </c>
      <c r="Q22" s="186">
        <f>Table9[[#This Row],[Dis. 3 price (SC or HC)]]/$B$17</f>
        <v>5.2287581699346415</v>
      </c>
      <c r="R22" s="221">
        <v>45</v>
      </c>
      <c r="S22" s="186">
        <f>Table9[[#This Row],[Dis. 4 price (SC or HC)]]/$B$3</f>
        <v>4.5</v>
      </c>
      <c r="T22" s="186">
        <f>Table9[[#This Row],[Dis. 4 price (SC or HC)]]/$B$4</f>
        <v>3</v>
      </c>
    </row>
    <row r="23" spans="1:20" x14ac:dyDescent="0.25">
      <c r="A23" s="119">
        <v>350</v>
      </c>
      <c r="B23" s="180">
        <f>ROUND((($B$16/$B$3)*Table479[[#This Row],[Price HC]])+((($B$16/$B$3)*Table479[[#This Row],[Price HC]])*Table479[[#This Row],[Discount]]),0)</f>
        <v>294000</v>
      </c>
      <c r="C23" s="174">
        <v>0.4</v>
      </c>
      <c r="E23" s="119" t="s">
        <v>198</v>
      </c>
      <c r="F23" s="175">
        <v>175</v>
      </c>
      <c r="G23" s="194">
        <f t="shared" si="2"/>
        <v>17.5</v>
      </c>
      <c r="H23" s="179">
        <f t="shared" si="1"/>
        <v>11.67</v>
      </c>
      <c r="I23" s="175">
        <v>85000</v>
      </c>
      <c r="J23" s="194">
        <f>Table9[[#This Row],[Dis. 1 price (SC or HC)]]/$B$16</f>
        <v>14.166666666666666</v>
      </c>
      <c r="K23" s="194">
        <f>Table9[[#This Row],[Dis. 1 price (SC or HC)]]/$B$17</f>
        <v>5.5555555555555562</v>
      </c>
      <c r="L23" s="221">
        <v>85000</v>
      </c>
      <c r="M23" s="194">
        <f>Table9[[#This Row],[Dis. 2 price (SC or HC)]]/$B$16</f>
        <v>14.166666666666666</v>
      </c>
      <c r="N23" s="194">
        <f>Table9[[#This Row],[Dis. 2 price (SC or HC)]]/$B$17</f>
        <v>5.5555555555555562</v>
      </c>
      <c r="O23" s="221">
        <v>85000</v>
      </c>
      <c r="P23" s="194">
        <f>Table9[[#This Row],[Dis. 3 price (SC or HC)]]/$B$16</f>
        <v>14.166666666666666</v>
      </c>
      <c r="Q23" s="194">
        <f>Table9[[#This Row],[Dis. 3 price (SC or HC)]]/$B$17</f>
        <v>5.5555555555555562</v>
      </c>
      <c r="R23" s="221">
        <v>45</v>
      </c>
      <c r="S23" s="194">
        <f>Table9[[#This Row],[Dis. 4 price (SC or HC)]]/$B$3</f>
        <v>4.5</v>
      </c>
      <c r="T23" s="194">
        <f>Table9[[#This Row],[Dis. 4 price (SC or HC)]]/$B$4</f>
        <v>3</v>
      </c>
    </row>
    <row r="24" spans="1:20" x14ac:dyDescent="0.25">
      <c r="A24" s="119">
        <v>400</v>
      </c>
      <c r="B24" s="180">
        <f>ROUND((($B$16/$B$3)*Table479[[#This Row],[Price HC]])+((($B$16/$B$3)*Table479[[#This Row],[Price HC]])*Table479[[#This Row],[Discount]]),0)</f>
        <v>360000</v>
      </c>
      <c r="C24" s="172">
        <v>0.5</v>
      </c>
      <c r="E24" s="119" t="s">
        <v>199</v>
      </c>
      <c r="F24" s="175">
        <v>350</v>
      </c>
      <c r="G24" s="186">
        <f t="shared" si="2"/>
        <v>35</v>
      </c>
      <c r="H24" s="178">
        <f t="shared" si="1"/>
        <v>23.33</v>
      </c>
      <c r="I24" s="175">
        <v>95000</v>
      </c>
      <c r="J24" s="186">
        <f>Table9[[#This Row],[Dis. 1 price (SC or HC)]]/$B$16</f>
        <v>15.833333333333334</v>
      </c>
      <c r="K24" s="186">
        <f>Table9[[#This Row],[Dis. 1 price (SC or HC)]]/$B$17</f>
        <v>6.2091503267973867</v>
      </c>
      <c r="L24" s="221">
        <v>95000</v>
      </c>
      <c r="M24" s="186">
        <f>Table9[[#This Row],[Dis. 2 price (SC or HC)]]/$B$16</f>
        <v>15.833333333333334</v>
      </c>
      <c r="N24" s="186">
        <f>Table9[[#This Row],[Dis. 2 price (SC or HC)]]/$B$17</f>
        <v>6.2091503267973867</v>
      </c>
      <c r="O24" s="221">
        <v>95000</v>
      </c>
      <c r="P24" s="186">
        <f>Table9[[#This Row],[Dis. 3 price (SC or HC)]]/$B$16</f>
        <v>15.833333333333334</v>
      </c>
      <c r="Q24" s="186">
        <f>Table9[[#This Row],[Dis. 3 price (SC or HC)]]/$B$17</f>
        <v>6.2091503267973867</v>
      </c>
      <c r="R24" s="221">
        <v>45</v>
      </c>
      <c r="S24" s="186">
        <f>Table9[[#This Row],[Dis. 4 price (SC or HC)]]/$B$3</f>
        <v>4.5</v>
      </c>
      <c r="T24" s="186">
        <f>Table9[[#This Row],[Dis. 4 price (SC or HC)]]/$B$4</f>
        <v>3</v>
      </c>
    </row>
    <row r="25" spans="1:20" x14ac:dyDescent="0.25">
      <c r="A25" s="119">
        <v>1000</v>
      </c>
      <c r="B25" s="180">
        <f>ROUND((($B$16/$B$3)*Table479[[#This Row],[Price HC]])+((($B$16/$B$3)*Table479[[#This Row],[Price HC]])*Table479[[#This Row],[Discount]]),0)</f>
        <v>1020000</v>
      </c>
      <c r="C25" s="174">
        <v>0.7</v>
      </c>
      <c r="E25" s="119" t="s">
        <v>200</v>
      </c>
      <c r="F25" s="175">
        <v>400</v>
      </c>
      <c r="G25" s="194">
        <f t="shared" si="2"/>
        <v>40</v>
      </c>
      <c r="H25" s="179">
        <f t="shared" si="1"/>
        <v>26.67</v>
      </c>
      <c r="I25" s="175">
        <v>135000</v>
      </c>
      <c r="J25" s="194">
        <f>Table9[[#This Row],[Dis. 1 price (SC or HC)]]/$B$16</f>
        <v>22.5</v>
      </c>
      <c r="K25" s="194">
        <f>Table9[[#This Row],[Dis. 1 price (SC or HC)]]/$B$17</f>
        <v>8.8235294117647065</v>
      </c>
      <c r="L25" s="221">
        <v>135000</v>
      </c>
      <c r="M25" s="194">
        <f>Table9[[#This Row],[Dis. 2 price (SC or HC)]]/$B$16</f>
        <v>22.5</v>
      </c>
      <c r="N25" s="194">
        <f>Table9[[#This Row],[Dis. 2 price (SC or HC)]]/$B$17</f>
        <v>8.8235294117647065</v>
      </c>
      <c r="O25" s="221">
        <v>135000</v>
      </c>
      <c r="P25" s="194">
        <f>Table9[[#This Row],[Dis. 3 price (SC or HC)]]/$B$16</f>
        <v>22.5</v>
      </c>
      <c r="Q25" s="194">
        <f>Table9[[#This Row],[Dis. 3 price (SC or HC)]]/$B$17</f>
        <v>8.8235294117647065</v>
      </c>
      <c r="R25" s="221">
        <v>45</v>
      </c>
      <c r="S25" s="194">
        <f>Table9[[#This Row],[Dis. 4 price (SC or HC)]]/$B$3</f>
        <v>4.5</v>
      </c>
      <c r="T25" s="194">
        <f>Table9[[#This Row],[Dis. 4 price (SC or HC)]]/$B$4</f>
        <v>3</v>
      </c>
    </row>
    <row r="26" spans="1:20" x14ac:dyDescent="0.25">
      <c r="A26" s="119"/>
      <c r="B26" s="119"/>
      <c r="C26" s="119"/>
      <c r="E26" s="119" t="s">
        <v>201</v>
      </c>
      <c r="F26" s="175">
        <v>450</v>
      </c>
      <c r="G26" s="186">
        <f t="shared" si="2"/>
        <v>45</v>
      </c>
      <c r="H26" s="178">
        <f t="shared" si="1"/>
        <v>30</v>
      </c>
      <c r="I26" s="175">
        <v>155000</v>
      </c>
      <c r="J26" s="186">
        <f>Table9[[#This Row],[Dis. 1 price (SC or HC)]]/$B$16</f>
        <v>25.833333333333332</v>
      </c>
      <c r="K26" s="186">
        <f>Table9[[#This Row],[Dis. 1 price (SC or HC)]]/$B$17</f>
        <v>10.130718954248367</v>
      </c>
      <c r="L26" s="221">
        <v>155000</v>
      </c>
      <c r="M26" s="186">
        <f>Table9[[#This Row],[Dis. 2 price (SC or HC)]]/$B$16</f>
        <v>25.833333333333332</v>
      </c>
      <c r="N26" s="186">
        <f>Table9[[#This Row],[Dis. 2 price (SC or HC)]]/$B$17</f>
        <v>10.130718954248367</v>
      </c>
      <c r="O26" s="221">
        <v>155000</v>
      </c>
      <c r="P26" s="186">
        <f>Table9[[#This Row],[Dis. 3 price (SC or HC)]]/$B$16</f>
        <v>25.833333333333332</v>
      </c>
      <c r="Q26" s="186">
        <f>Table9[[#This Row],[Dis. 3 price (SC or HC)]]/$B$17</f>
        <v>10.130718954248367</v>
      </c>
      <c r="R26" s="221">
        <v>45</v>
      </c>
      <c r="S26" s="186">
        <f>Table9[[#This Row],[Dis. 4 price (SC or HC)]]/$B$3</f>
        <v>4.5</v>
      </c>
      <c r="T26" s="186">
        <f>Table9[[#This Row],[Dis. 4 price (SC or HC)]]/$B$4</f>
        <v>3</v>
      </c>
    </row>
    <row r="27" spans="1:20" ht="18.75" x14ac:dyDescent="0.3">
      <c r="A27" s="30" t="s">
        <v>261</v>
      </c>
      <c r="B27" s="36"/>
      <c r="C27" s="36"/>
      <c r="E27" s="119" t="s">
        <v>219</v>
      </c>
      <c r="F27" s="175">
        <v>550</v>
      </c>
      <c r="G27" s="194">
        <f t="shared" si="2"/>
        <v>55</v>
      </c>
      <c r="H27" s="179">
        <f t="shared" si="1"/>
        <v>36.67</v>
      </c>
      <c r="I27" s="175">
        <v>300000</v>
      </c>
      <c r="J27" s="194">
        <f>Table9[[#This Row],[Dis. 1 price (SC or HC)]]/$B$16</f>
        <v>50</v>
      </c>
      <c r="K27" s="194">
        <f>Table9[[#This Row],[Dis. 1 price (SC or HC)]]/$B$17</f>
        <v>19.607843137254903</v>
      </c>
      <c r="L27" s="221">
        <v>300000</v>
      </c>
      <c r="M27" s="194">
        <f>Table9[[#This Row],[Dis. 2 price (SC or HC)]]/$B$16</f>
        <v>50</v>
      </c>
      <c r="N27" s="194">
        <f>Table9[[#This Row],[Dis. 2 price (SC or HC)]]/$B$17</f>
        <v>19.607843137254903</v>
      </c>
      <c r="O27" s="221">
        <v>300000</v>
      </c>
      <c r="P27" s="194">
        <f>Table9[[#This Row],[Dis. 3 price (SC or HC)]]/$B$16</f>
        <v>50</v>
      </c>
      <c r="Q27" s="194">
        <f>Table9[[#This Row],[Dis. 3 price (SC or HC)]]/$B$17</f>
        <v>19.607843137254903</v>
      </c>
      <c r="R27" s="221">
        <v>45</v>
      </c>
      <c r="S27" s="194">
        <f>Table9[[#This Row],[Dis. 4 price (SC or HC)]]/$B$3</f>
        <v>4.5</v>
      </c>
      <c r="T27" s="194">
        <f>Table9[[#This Row],[Dis. 4 price (SC or HC)]]/$B$4</f>
        <v>3</v>
      </c>
    </row>
    <row r="28" spans="1:20" x14ac:dyDescent="0.25">
      <c r="A28" s="119"/>
      <c r="B28" s="119"/>
      <c r="C28" s="119"/>
      <c r="E28" s="119" t="s">
        <v>236</v>
      </c>
      <c r="F28" s="175">
        <v>600</v>
      </c>
      <c r="G28" s="186">
        <f>F28/$B$3</f>
        <v>60</v>
      </c>
      <c r="H28" s="178">
        <f t="shared" si="1"/>
        <v>40</v>
      </c>
      <c r="I28" s="226" t="s">
        <v>152</v>
      </c>
      <c r="J28" s="230" t="s">
        <v>152</v>
      </c>
      <c r="K28" s="230" t="s">
        <v>152</v>
      </c>
      <c r="L28" s="227" t="s">
        <v>152</v>
      </c>
      <c r="M28" s="230" t="s">
        <v>152</v>
      </c>
      <c r="N28" s="230" t="s">
        <v>152</v>
      </c>
      <c r="O28" s="227" t="s">
        <v>152</v>
      </c>
      <c r="P28" s="230" t="s">
        <v>152</v>
      </c>
      <c r="Q28" s="230" t="s">
        <v>152</v>
      </c>
      <c r="R28" s="227" t="s">
        <v>152</v>
      </c>
      <c r="S28" s="230" t="s">
        <v>152</v>
      </c>
      <c r="T28" s="230" t="s">
        <v>152</v>
      </c>
    </row>
    <row r="29" spans="1:20" x14ac:dyDescent="0.25">
      <c r="A29" s="162" t="s">
        <v>262</v>
      </c>
      <c r="B29" s="162" t="s">
        <v>263</v>
      </c>
      <c r="C29" s="119"/>
      <c r="E29" s="119" t="s">
        <v>237</v>
      </c>
      <c r="F29" s="175">
        <v>650</v>
      </c>
      <c r="G29" s="194">
        <f>F29/$B$3</f>
        <v>65</v>
      </c>
      <c r="H29" s="179">
        <f>ROUND(F29/$B$4,2)</f>
        <v>43.33</v>
      </c>
      <c r="I29" s="226" t="s">
        <v>152</v>
      </c>
      <c r="J29" s="229" t="s">
        <v>152</v>
      </c>
      <c r="K29" s="229" t="s">
        <v>152</v>
      </c>
      <c r="L29" s="227" t="s">
        <v>152</v>
      </c>
      <c r="M29" s="229" t="s">
        <v>152</v>
      </c>
      <c r="N29" s="229" t="s">
        <v>152</v>
      </c>
      <c r="O29" s="227" t="s">
        <v>152</v>
      </c>
      <c r="P29" s="229" t="s">
        <v>152</v>
      </c>
      <c r="Q29" s="229" t="s">
        <v>152</v>
      </c>
      <c r="R29" s="227" t="s">
        <v>152</v>
      </c>
      <c r="S29" s="229" t="s">
        <v>152</v>
      </c>
      <c r="T29" s="229" t="s">
        <v>152</v>
      </c>
    </row>
    <row r="30" spans="1:20" x14ac:dyDescent="0.25">
      <c r="A30" s="176">
        <v>10</v>
      </c>
      <c r="B30" s="171">
        <f>A30/B3</f>
        <v>1</v>
      </c>
      <c r="C30" s="119"/>
      <c r="E30" s="119" t="s">
        <v>238</v>
      </c>
      <c r="F30" s="175">
        <v>700</v>
      </c>
      <c r="G30" s="186">
        <f t="shared" si="2"/>
        <v>70</v>
      </c>
      <c r="H30" s="178">
        <f t="shared" si="1"/>
        <v>46.67</v>
      </c>
      <c r="I30" s="226" t="s">
        <v>152</v>
      </c>
      <c r="J30" s="230" t="s">
        <v>152</v>
      </c>
      <c r="K30" s="230" t="s">
        <v>152</v>
      </c>
      <c r="L30" s="227" t="s">
        <v>152</v>
      </c>
      <c r="M30" s="230" t="s">
        <v>152</v>
      </c>
      <c r="N30" s="230" t="s">
        <v>152</v>
      </c>
      <c r="O30" s="227" t="s">
        <v>152</v>
      </c>
      <c r="P30" s="230" t="s">
        <v>152</v>
      </c>
      <c r="Q30" s="230" t="s">
        <v>152</v>
      </c>
      <c r="R30" s="227" t="s">
        <v>152</v>
      </c>
      <c r="S30" s="230" t="s">
        <v>152</v>
      </c>
      <c r="T30" s="230" t="s">
        <v>152</v>
      </c>
    </row>
    <row r="31" spans="1:20" x14ac:dyDescent="0.25">
      <c r="E31" s="119" t="s">
        <v>239</v>
      </c>
      <c r="F31" s="175">
        <v>750</v>
      </c>
      <c r="G31" s="194">
        <f t="shared" si="2"/>
        <v>75</v>
      </c>
      <c r="H31" s="179">
        <f t="shared" si="1"/>
        <v>50</v>
      </c>
      <c r="I31" s="226" t="s">
        <v>152</v>
      </c>
      <c r="J31" s="229" t="s">
        <v>152</v>
      </c>
      <c r="K31" s="229" t="s">
        <v>152</v>
      </c>
      <c r="L31" s="227" t="s">
        <v>152</v>
      </c>
      <c r="M31" s="229" t="s">
        <v>152</v>
      </c>
      <c r="N31" s="229" t="s">
        <v>152</v>
      </c>
      <c r="O31" s="227" t="s">
        <v>152</v>
      </c>
      <c r="P31" s="229" t="s">
        <v>152</v>
      </c>
      <c r="Q31" s="229" t="s">
        <v>152</v>
      </c>
      <c r="R31" s="227" t="s">
        <v>152</v>
      </c>
      <c r="S31" s="229" t="s">
        <v>152</v>
      </c>
      <c r="T31" s="229" t="s">
        <v>152</v>
      </c>
    </row>
    <row r="32" spans="1:20" ht="19.5" thickBot="1" x14ac:dyDescent="0.35">
      <c r="A32" s="30" t="s">
        <v>232</v>
      </c>
      <c r="B32" s="36"/>
      <c r="C32" s="36"/>
      <c r="E32" s="119" t="s">
        <v>240</v>
      </c>
      <c r="F32" s="175">
        <v>800</v>
      </c>
      <c r="G32" s="218">
        <f t="shared" si="2"/>
        <v>80</v>
      </c>
      <c r="H32" s="177">
        <f t="shared" si="1"/>
        <v>53.33</v>
      </c>
      <c r="I32" s="226" t="s">
        <v>152</v>
      </c>
      <c r="J32" s="231" t="s">
        <v>152</v>
      </c>
      <c r="K32" s="231" t="s">
        <v>152</v>
      </c>
      <c r="L32" s="227" t="s">
        <v>152</v>
      </c>
      <c r="M32" s="231" t="s">
        <v>152</v>
      </c>
      <c r="N32" s="231" t="s">
        <v>152</v>
      </c>
      <c r="O32" s="227" t="s">
        <v>152</v>
      </c>
      <c r="P32" s="231" t="s">
        <v>152</v>
      </c>
      <c r="Q32" s="231" t="s">
        <v>152</v>
      </c>
      <c r="R32" s="227" t="s">
        <v>152</v>
      </c>
      <c r="S32" s="231" t="s">
        <v>152</v>
      </c>
      <c r="T32" s="231" t="s">
        <v>152</v>
      </c>
    </row>
    <row r="33" spans="1:15" ht="15.75" thickBot="1" x14ac:dyDescent="0.3"/>
    <row r="34" spans="1:15" x14ac:dyDescent="0.25">
      <c r="A34" s="4" t="s">
        <v>52</v>
      </c>
      <c r="B34" s="3">
        <f>B3/F2</f>
        <v>1</v>
      </c>
      <c r="C34" s="4" t="s">
        <v>54</v>
      </c>
      <c r="E34" s="197">
        <f>B16/B3</f>
        <v>600</v>
      </c>
      <c r="F34" s="198" t="s">
        <v>49</v>
      </c>
      <c r="G34" s="199" t="s">
        <v>52</v>
      </c>
      <c r="M34" s="214"/>
    </row>
    <row r="35" spans="1:15" ht="15.75" thickBot="1" x14ac:dyDescent="0.3">
      <c r="A35" s="4" t="s">
        <v>53</v>
      </c>
      <c r="B35" s="5">
        <f>ROUND(B4/F2,1)</f>
        <v>1.5</v>
      </c>
      <c r="C35" s="4" t="s">
        <v>54</v>
      </c>
      <c r="E35" s="200">
        <f>B17/B4</f>
        <v>1019.9999999999999</v>
      </c>
      <c r="F35" s="201" t="s">
        <v>49</v>
      </c>
      <c r="G35" s="202" t="s">
        <v>53</v>
      </c>
      <c r="M35" s="109"/>
    </row>
    <row r="37" spans="1:15" ht="18.75" x14ac:dyDescent="0.3">
      <c r="A37" s="30" t="s">
        <v>188</v>
      </c>
      <c r="B37" s="36"/>
      <c r="C37" s="36"/>
      <c r="D37" t="s">
        <v>326</v>
      </c>
      <c r="E37" s="30" t="s">
        <v>233</v>
      </c>
      <c r="F37" s="36"/>
      <c r="G37" s="36"/>
      <c r="I37" s="30" t="s">
        <v>253</v>
      </c>
      <c r="J37" s="36"/>
      <c r="K37" s="36"/>
      <c r="M37" s="30" t="s">
        <v>254</v>
      </c>
      <c r="N37" s="36"/>
      <c r="O37" s="36"/>
    </row>
    <row r="39" spans="1:15" x14ac:dyDescent="0.25">
      <c r="A39" s="4" t="s">
        <v>52</v>
      </c>
      <c r="B39" s="3">
        <f>B3/F6</f>
        <v>0.5</v>
      </c>
      <c r="C39" s="4" t="s">
        <v>54</v>
      </c>
      <c r="E39" s="4" t="s">
        <v>52</v>
      </c>
      <c r="F39" s="3">
        <f>B3/F3</f>
        <v>0.5</v>
      </c>
      <c r="G39" s="4" t="s">
        <v>54</v>
      </c>
      <c r="I39" s="4" t="s">
        <v>52</v>
      </c>
      <c r="J39" s="3">
        <f>B3/F11</f>
        <v>0.33333333333333331</v>
      </c>
      <c r="K39" s="4" t="s">
        <v>54</v>
      </c>
      <c r="M39" s="4" t="s">
        <v>52</v>
      </c>
      <c r="N39" s="3">
        <f>B3/F12</f>
        <v>0.2</v>
      </c>
      <c r="O39" s="4" t="s">
        <v>54</v>
      </c>
    </row>
    <row r="40" spans="1:15" x14ac:dyDescent="0.25">
      <c r="A40" s="4" t="s">
        <v>53</v>
      </c>
      <c r="B40" s="5">
        <f>ROUND(B4/F6,1)</f>
        <v>0.8</v>
      </c>
      <c r="C40" s="4" t="s">
        <v>54</v>
      </c>
      <c r="E40" s="4" t="s">
        <v>53</v>
      </c>
      <c r="F40" s="3">
        <f>B4/F3</f>
        <v>0.75</v>
      </c>
      <c r="G40" s="4" t="s">
        <v>54</v>
      </c>
      <c r="I40" s="4" t="s">
        <v>53</v>
      </c>
      <c r="J40" s="3">
        <f>B4/F11</f>
        <v>0.5</v>
      </c>
      <c r="K40" s="4" t="s">
        <v>54</v>
      </c>
      <c r="M40" s="4" t="s">
        <v>53</v>
      </c>
      <c r="N40" s="3">
        <f>B4/F12</f>
        <v>0.3</v>
      </c>
      <c r="O40" s="4" t="s">
        <v>54</v>
      </c>
    </row>
    <row r="42" spans="1:15" ht="18.75" x14ac:dyDescent="0.3">
      <c r="A42" s="30" t="s">
        <v>189</v>
      </c>
      <c r="B42" s="36"/>
      <c r="C42" s="36"/>
    </row>
    <row r="44" spans="1:15" x14ac:dyDescent="0.25">
      <c r="A44" s="4" t="s">
        <v>52</v>
      </c>
      <c r="B44" s="3">
        <f>B3/F7</f>
        <v>0.2</v>
      </c>
      <c r="C44" s="4" t="s">
        <v>54</v>
      </c>
    </row>
    <row r="45" spans="1:15" x14ac:dyDescent="0.25">
      <c r="A45" s="4" t="s">
        <v>53</v>
      </c>
      <c r="B45" s="5">
        <f>ROUND(B4/F7,1)</f>
        <v>0.3</v>
      </c>
      <c r="C45" s="4" t="s">
        <v>54</v>
      </c>
    </row>
    <row r="47" spans="1:15" ht="18.75" x14ac:dyDescent="0.3">
      <c r="A47" s="30" t="s">
        <v>190</v>
      </c>
      <c r="B47" s="36"/>
      <c r="C47" s="36"/>
    </row>
    <row r="49" spans="1:15" x14ac:dyDescent="0.25">
      <c r="A49" s="4" t="s">
        <v>52</v>
      </c>
      <c r="B49" s="3">
        <f>B3/F8</f>
        <v>0.1</v>
      </c>
      <c r="C49" s="4" t="s">
        <v>54</v>
      </c>
    </row>
    <row r="50" spans="1:15" x14ac:dyDescent="0.25">
      <c r="A50" s="4" t="s">
        <v>53</v>
      </c>
      <c r="B50" s="5">
        <f>ROUND(B4/F8,1)</f>
        <v>0.2</v>
      </c>
      <c r="C50" s="4" t="s">
        <v>54</v>
      </c>
    </row>
    <row r="52" spans="1:15" ht="15" customHeight="1" x14ac:dyDescent="0.25">
      <c r="A52" s="362" t="s">
        <v>267</v>
      </c>
      <c r="B52" s="362"/>
      <c r="C52" s="362"/>
      <c r="D52" s="362"/>
      <c r="E52" s="362"/>
      <c r="F52" s="362"/>
      <c r="G52" s="362"/>
      <c r="H52" s="362"/>
      <c r="I52" s="362"/>
      <c r="J52" s="362"/>
      <c r="K52" s="362"/>
      <c r="L52" s="362"/>
      <c r="M52" s="362"/>
      <c r="N52" s="362"/>
      <c r="O52" s="362"/>
    </row>
    <row r="53" spans="1:15" ht="15" customHeight="1" x14ac:dyDescent="0.25">
      <c r="A53" s="362"/>
      <c r="B53" s="362"/>
      <c r="C53" s="362"/>
      <c r="D53" s="362"/>
      <c r="E53" s="362"/>
      <c r="F53" s="362"/>
      <c r="G53" s="362"/>
      <c r="H53" s="362"/>
      <c r="I53" s="362"/>
      <c r="J53" s="362"/>
      <c r="K53" s="362"/>
      <c r="L53" s="362"/>
      <c r="M53" s="362"/>
      <c r="N53" s="362"/>
      <c r="O53" s="362"/>
    </row>
    <row r="54" spans="1:15" x14ac:dyDescent="0.25">
      <c r="A54" s="1"/>
      <c r="B54" s="1"/>
    </row>
    <row r="55" spans="1:15" ht="15.75" x14ac:dyDescent="0.25">
      <c r="A55" s="36" t="s">
        <v>120</v>
      </c>
      <c r="B55" s="36"/>
      <c r="C55" s="36"/>
      <c r="D55" s="36"/>
      <c r="F55" s="36" t="s">
        <v>258</v>
      </c>
      <c r="G55" s="36"/>
      <c r="H55" s="36"/>
      <c r="I55" s="36"/>
      <c r="K55" s="36" t="s">
        <v>325</v>
      </c>
      <c r="L55" s="36"/>
      <c r="M55" s="36"/>
      <c r="N55" s="36"/>
    </row>
    <row r="57" spans="1:15" x14ac:dyDescent="0.25">
      <c r="A57" s="140" t="s">
        <v>121</v>
      </c>
      <c r="B57" s="150" t="s">
        <v>122</v>
      </c>
      <c r="C57" s="150" t="s">
        <v>205</v>
      </c>
      <c r="D57" s="151" t="s">
        <v>206</v>
      </c>
      <c r="F57" s="151" t="s">
        <v>202</v>
      </c>
      <c r="G57" s="140" t="s">
        <v>249</v>
      </c>
      <c r="H57" s="141" t="s">
        <v>245</v>
      </c>
      <c r="I57" s="142" t="s">
        <v>246</v>
      </c>
      <c r="K57" s="151" t="s">
        <v>122</v>
      </c>
      <c r="L57" s="140" t="s">
        <v>249</v>
      </c>
      <c r="M57" s="141" t="s">
        <v>247</v>
      </c>
      <c r="N57" s="142" t="s">
        <v>248</v>
      </c>
    </row>
    <row r="58" spans="1:15" x14ac:dyDescent="0.25">
      <c r="A58" s="143" t="s">
        <v>44</v>
      </c>
      <c r="B58" s="152">
        <v>0</v>
      </c>
      <c r="C58" s="153">
        <f>B58/$B$3</f>
        <v>0</v>
      </c>
      <c r="D58" s="154">
        <f>B58/$B$4</f>
        <v>0</v>
      </c>
      <c r="F58" s="234">
        <v>1</v>
      </c>
      <c r="G58" s="143" t="s">
        <v>44</v>
      </c>
      <c r="H58" s="138">
        <f>B3*F58</f>
        <v>10</v>
      </c>
      <c r="I58" s="144">
        <f>B4*F58</f>
        <v>15</v>
      </c>
      <c r="K58" s="233">
        <v>1</v>
      </c>
      <c r="L58" s="143" t="s">
        <v>44</v>
      </c>
      <c r="M58" s="209">
        <f>ROUND((1/B3)*K58,3)</f>
        <v>0.1</v>
      </c>
      <c r="N58" s="210">
        <f>ROUND((1/B4)*K58,3)</f>
        <v>6.7000000000000004E-2</v>
      </c>
    </row>
    <row r="59" spans="1:15" ht="15.75" thickBot="1" x14ac:dyDescent="0.3">
      <c r="A59" s="235" t="s">
        <v>77</v>
      </c>
      <c r="B59" s="236">
        <v>0</v>
      </c>
      <c r="C59" s="237">
        <f>(B59/B16)</f>
        <v>0</v>
      </c>
      <c r="D59" s="238">
        <f>(B59/B17)</f>
        <v>0</v>
      </c>
      <c r="F59" s="251">
        <v>1</v>
      </c>
      <c r="G59" s="235" t="s">
        <v>77</v>
      </c>
      <c r="H59" s="249">
        <f>B16*F59</f>
        <v>6000</v>
      </c>
      <c r="I59" s="250">
        <f>B17*F59</f>
        <v>15299.999999999998</v>
      </c>
      <c r="K59" s="261">
        <v>1</v>
      </c>
      <c r="L59" s="235" t="s">
        <v>77</v>
      </c>
      <c r="M59" s="262">
        <f>ROUND((1/B16)*K59,10)</f>
        <v>1.6666669999999999E-4</v>
      </c>
      <c r="N59" s="263">
        <f>ROUND((1/B17)*K59,5)</f>
        <v>6.9999999999999994E-5</v>
      </c>
    </row>
    <row r="60" spans="1:15" x14ac:dyDescent="0.25">
      <c r="A60" s="143" t="s">
        <v>231</v>
      </c>
      <c r="B60" s="152">
        <v>0</v>
      </c>
      <c r="C60" s="153">
        <f>B60/B34</f>
        <v>0</v>
      </c>
      <c r="D60" s="154">
        <f>B60/B35</f>
        <v>0</v>
      </c>
      <c r="F60" s="234">
        <v>1</v>
      </c>
      <c r="G60" s="143" t="s">
        <v>231</v>
      </c>
      <c r="H60" s="138">
        <f>ROUND((B3/F2)*F60,1)</f>
        <v>1</v>
      </c>
      <c r="I60" s="144">
        <f>(B4/F2)*F60</f>
        <v>1.5</v>
      </c>
      <c r="K60" s="233">
        <v>1</v>
      </c>
      <c r="L60" s="143" t="s">
        <v>231</v>
      </c>
      <c r="M60" s="209">
        <f>G2*K60</f>
        <v>1</v>
      </c>
      <c r="N60" s="210">
        <f>H2*K60</f>
        <v>0.67</v>
      </c>
    </row>
    <row r="61" spans="1:15" x14ac:dyDescent="0.25">
      <c r="A61" s="145" t="s">
        <v>234</v>
      </c>
      <c r="B61" s="155">
        <v>0</v>
      </c>
      <c r="C61" s="156">
        <f>B61/F39</f>
        <v>0</v>
      </c>
      <c r="D61" s="157">
        <f>B61/F40</f>
        <v>0</v>
      </c>
      <c r="F61" s="234">
        <v>1</v>
      </c>
      <c r="G61" s="145" t="s">
        <v>234</v>
      </c>
      <c r="H61" s="139">
        <f>ROUND((B3/F3)*F61,1)</f>
        <v>0.5</v>
      </c>
      <c r="I61" s="146">
        <f>(B4/F3)*F61</f>
        <v>0.75</v>
      </c>
      <c r="K61" s="233">
        <v>1</v>
      </c>
      <c r="L61" s="145" t="s">
        <v>234</v>
      </c>
      <c r="M61" s="208">
        <f>G3*K61</f>
        <v>2</v>
      </c>
      <c r="N61" s="211">
        <f>H3*K61</f>
        <v>1.33</v>
      </c>
    </row>
    <row r="62" spans="1:15" x14ac:dyDescent="0.25">
      <c r="A62" s="143" t="s">
        <v>256</v>
      </c>
      <c r="B62" s="152">
        <v>0</v>
      </c>
      <c r="C62" s="153">
        <f>B62/J39</f>
        <v>0</v>
      </c>
      <c r="D62" s="154">
        <f>B62/J40</f>
        <v>0</v>
      </c>
      <c r="F62" s="234">
        <v>1</v>
      </c>
      <c r="G62" s="143" t="s">
        <v>256</v>
      </c>
      <c r="H62" s="138">
        <f>ROUND((B3/F11)*F62,2)</f>
        <v>0.33</v>
      </c>
      <c r="I62" s="144">
        <f>(B4/F11)*F62</f>
        <v>0.5</v>
      </c>
      <c r="K62" s="233">
        <v>1</v>
      </c>
      <c r="L62" s="143" t="s">
        <v>256</v>
      </c>
      <c r="M62" s="209">
        <f>G11*K62</f>
        <v>3</v>
      </c>
      <c r="N62" s="210">
        <f>H11*K62</f>
        <v>2</v>
      </c>
    </row>
    <row r="63" spans="1:15" ht="15.75" thickBot="1" x14ac:dyDescent="0.3">
      <c r="A63" s="235" t="s">
        <v>257</v>
      </c>
      <c r="B63" s="236">
        <v>0</v>
      </c>
      <c r="C63" s="237">
        <f>B63/N39</f>
        <v>0</v>
      </c>
      <c r="D63" s="238">
        <f>B63/N40</f>
        <v>0</v>
      </c>
      <c r="F63" s="251">
        <v>1</v>
      </c>
      <c r="G63" s="235" t="s">
        <v>257</v>
      </c>
      <c r="H63" s="249">
        <f>ROUND((B3/F12)*F63,2)</f>
        <v>0.2</v>
      </c>
      <c r="I63" s="250">
        <f>(B4/F12)*F63</f>
        <v>0.3</v>
      </c>
      <c r="K63" s="261">
        <v>1</v>
      </c>
      <c r="L63" s="235" t="s">
        <v>257</v>
      </c>
      <c r="M63" s="262">
        <f>G12*K63</f>
        <v>5</v>
      </c>
      <c r="N63" s="263">
        <f>H12*K63</f>
        <v>3.33</v>
      </c>
    </row>
    <row r="64" spans="1:15" x14ac:dyDescent="0.25">
      <c r="A64" s="143" t="s">
        <v>255</v>
      </c>
      <c r="B64" s="152">
        <v>0</v>
      </c>
      <c r="C64" s="153">
        <f>B64/B39</f>
        <v>0</v>
      </c>
      <c r="D64" s="154">
        <f>B64/B40</f>
        <v>0</v>
      </c>
      <c r="F64" s="234">
        <v>1</v>
      </c>
      <c r="G64" s="143" t="s">
        <v>123</v>
      </c>
      <c r="H64" s="138">
        <f>ROUND((B3/F6)*F64,1)</f>
        <v>0.5</v>
      </c>
      <c r="I64" s="144">
        <f>(B4/F6)*F64</f>
        <v>0.75</v>
      </c>
      <c r="K64" s="233">
        <v>1</v>
      </c>
      <c r="L64" s="143" t="s">
        <v>123</v>
      </c>
      <c r="M64" s="209">
        <f>G6*K64</f>
        <v>2</v>
      </c>
      <c r="N64" s="210">
        <f>H6*K64</f>
        <v>1.33</v>
      </c>
    </row>
    <row r="65" spans="1:14" x14ac:dyDescent="0.25">
      <c r="A65" s="145" t="s">
        <v>124</v>
      </c>
      <c r="B65" s="155">
        <v>0</v>
      </c>
      <c r="C65" s="156">
        <f>B65/B44</f>
        <v>0</v>
      </c>
      <c r="D65" s="157">
        <f>B65/B45</f>
        <v>0</v>
      </c>
      <c r="F65" s="234">
        <v>1</v>
      </c>
      <c r="G65" s="145" t="s">
        <v>124</v>
      </c>
      <c r="H65" s="139">
        <f>ROUND((B3/F7)*F65,1)</f>
        <v>0.2</v>
      </c>
      <c r="I65" s="146">
        <f>(B4/F7)*F65</f>
        <v>0.3</v>
      </c>
      <c r="K65" s="233">
        <v>1</v>
      </c>
      <c r="L65" s="145" t="s">
        <v>124</v>
      </c>
      <c r="M65" s="208">
        <f>G7*K65</f>
        <v>5</v>
      </c>
      <c r="N65" s="211">
        <f>H7*K65</f>
        <v>3.33</v>
      </c>
    </row>
    <row r="66" spans="1:14" ht="15.75" thickBot="1" x14ac:dyDescent="0.3">
      <c r="A66" s="239" t="s">
        <v>125</v>
      </c>
      <c r="B66" s="240">
        <v>0</v>
      </c>
      <c r="C66" s="241">
        <f>B66/B49</f>
        <v>0</v>
      </c>
      <c r="D66" s="242">
        <f>B66/B50</f>
        <v>0</v>
      </c>
      <c r="F66" s="251">
        <v>1</v>
      </c>
      <c r="G66" s="239" t="s">
        <v>125</v>
      </c>
      <c r="H66" s="252">
        <f>ROUND((B3/F8)*F66,1)</f>
        <v>0.1</v>
      </c>
      <c r="I66" s="253">
        <f>(B4/F8)*F66</f>
        <v>0.15</v>
      </c>
      <c r="K66" s="261">
        <v>1</v>
      </c>
      <c r="L66" s="239" t="s">
        <v>125</v>
      </c>
      <c r="M66" s="264">
        <f>G8*K66</f>
        <v>10</v>
      </c>
      <c r="N66" s="265">
        <f>H8*K66</f>
        <v>6.67</v>
      </c>
    </row>
    <row r="67" spans="1:14" x14ac:dyDescent="0.25">
      <c r="A67" s="145" t="s">
        <v>204</v>
      </c>
      <c r="B67" s="155">
        <v>0</v>
      </c>
      <c r="C67" s="156">
        <f t="shared" ref="C67:C83" si="3">G16*B67</f>
        <v>0</v>
      </c>
      <c r="D67" s="157">
        <f t="shared" ref="D67:D83" si="4">H16*B67</f>
        <v>0</v>
      </c>
      <c r="F67" s="234">
        <v>1</v>
      </c>
      <c r="G67" s="145" t="s">
        <v>204</v>
      </c>
      <c r="H67" s="139">
        <f>ROUND(F67/G16,3)</f>
        <v>0.5</v>
      </c>
      <c r="I67" s="146">
        <f>ROUND(F67/H16,3)</f>
        <v>0.752</v>
      </c>
      <c r="K67" s="233">
        <v>1</v>
      </c>
      <c r="L67" s="145" t="s">
        <v>204</v>
      </c>
      <c r="M67" s="208">
        <f t="shared" ref="M67:M83" si="5">G16*K67</f>
        <v>2</v>
      </c>
      <c r="N67" s="211">
        <f t="shared" ref="N67:N83" si="6">H16*K67</f>
        <v>1.33</v>
      </c>
    </row>
    <row r="68" spans="1:14" x14ac:dyDescent="0.25">
      <c r="A68" s="243" t="s">
        <v>207</v>
      </c>
      <c r="B68" s="158">
        <v>0</v>
      </c>
      <c r="C68" s="245">
        <f t="shared" si="3"/>
        <v>0</v>
      </c>
      <c r="D68" s="246">
        <f t="shared" si="4"/>
        <v>0</v>
      </c>
      <c r="F68" s="254">
        <v>1</v>
      </c>
      <c r="G68" s="243" t="s">
        <v>207</v>
      </c>
      <c r="H68" s="255">
        <f>ROUND(F68/G17,3)</f>
        <v>0.28599999999999998</v>
      </c>
      <c r="I68" s="256">
        <f>ROUND(F68/H17,3)</f>
        <v>0.42899999999999999</v>
      </c>
      <c r="K68" s="266">
        <v>1</v>
      </c>
      <c r="L68" s="243" t="s">
        <v>207</v>
      </c>
      <c r="M68" s="267">
        <f t="shared" si="5"/>
        <v>3.5</v>
      </c>
      <c r="N68" s="268">
        <f t="shared" si="6"/>
        <v>2.33</v>
      </c>
    </row>
    <row r="69" spans="1:14" x14ac:dyDescent="0.25">
      <c r="A69" s="145" t="s">
        <v>208</v>
      </c>
      <c r="B69" s="155">
        <v>0</v>
      </c>
      <c r="C69" s="156">
        <f t="shared" si="3"/>
        <v>0</v>
      </c>
      <c r="D69" s="157">
        <f t="shared" si="4"/>
        <v>0</v>
      </c>
      <c r="F69" s="234">
        <v>1</v>
      </c>
      <c r="G69" s="145" t="s">
        <v>208</v>
      </c>
      <c r="H69" s="139">
        <f t="shared" ref="H69:H83" si="7">ROUND(F69/G18,3)</f>
        <v>0.25</v>
      </c>
      <c r="I69" s="146">
        <f t="shared" ref="I69:I83" si="8">ROUND(F69/H18,3)</f>
        <v>0.375</v>
      </c>
      <c r="K69" s="233">
        <v>1</v>
      </c>
      <c r="L69" s="145" t="s">
        <v>208</v>
      </c>
      <c r="M69" s="208">
        <f t="shared" si="5"/>
        <v>4</v>
      </c>
      <c r="N69" s="211">
        <f t="shared" si="6"/>
        <v>2.67</v>
      </c>
    </row>
    <row r="70" spans="1:14" x14ac:dyDescent="0.25">
      <c r="A70" s="143" t="s">
        <v>209</v>
      </c>
      <c r="B70" s="152">
        <v>0</v>
      </c>
      <c r="C70" s="153">
        <f t="shared" si="3"/>
        <v>0</v>
      </c>
      <c r="D70" s="154">
        <f t="shared" si="4"/>
        <v>0</v>
      </c>
      <c r="F70" s="234">
        <v>1</v>
      </c>
      <c r="G70" s="143" t="s">
        <v>209</v>
      </c>
      <c r="H70" s="138">
        <f t="shared" si="7"/>
        <v>0.2</v>
      </c>
      <c r="I70" s="144">
        <f t="shared" si="8"/>
        <v>0.3</v>
      </c>
      <c r="K70" s="233">
        <v>1</v>
      </c>
      <c r="L70" s="143" t="s">
        <v>209</v>
      </c>
      <c r="M70" s="209">
        <f t="shared" si="5"/>
        <v>5</v>
      </c>
      <c r="N70" s="210">
        <f t="shared" si="6"/>
        <v>3.33</v>
      </c>
    </row>
    <row r="71" spans="1:14" x14ac:dyDescent="0.25">
      <c r="A71" s="147" t="s">
        <v>210</v>
      </c>
      <c r="B71" s="244">
        <v>0</v>
      </c>
      <c r="C71" s="159">
        <f t="shared" si="3"/>
        <v>0</v>
      </c>
      <c r="D71" s="160">
        <f t="shared" si="4"/>
        <v>0</v>
      </c>
      <c r="F71" s="254">
        <v>1</v>
      </c>
      <c r="G71" s="147" t="s">
        <v>210</v>
      </c>
      <c r="H71" s="148">
        <f t="shared" si="7"/>
        <v>0.125</v>
      </c>
      <c r="I71" s="149">
        <f t="shared" si="8"/>
        <v>0.188</v>
      </c>
      <c r="K71" s="266">
        <v>1</v>
      </c>
      <c r="L71" s="147" t="s">
        <v>210</v>
      </c>
      <c r="M71" s="212">
        <f t="shared" si="5"/>
        <v>8</v>
      </c>
      <c r="N71" s="213">
        <f t="shared" si="6"/>
        <v>5.33</v>
      </c>
    </row>
    <row r="72" spans="1:14" x14ac:dyDescent="0.25">
      <c r="A72" s="143" t="s">
        <v>211</v>
      </c>
      <c r="B72" s="152">
        <v>0</v>
      </c>
      <c r="C72" s="153">
        <f t="shared" si="3"/>
        <v>0</v>
      </c>
      <c r="D72" s="154">
        <f t="shared" si="4"/>
        <v>0</v>
      </c>
      <c r="F72" s="234">
        <v>1</v>
      </c>
      <c r="G72" s="143" t="s">
        <v>211</v>
      </c>
      <c r="H72" s="138">
        <f t="shared" si="7"/>
        <v>0.1</v>
      </c>
      <c r="I72" s="144">
        <f t="shared" si="8"/>
        <v>0.15</v>
      </c>
      <c r="K72" s="233">
        <v>1</v>
      </c>
      <c r="L72" s="143" t="s">
        <v>211</v>
      </c>
      <c r="M72" s="209">
        <f t="shared" si="5"/>
        <v>10</v>
      </c>
      <c r="N72" s="210">
        <f t="shared" si="6"/>
        <v>6.67</v>
      </c>
    </row>
    <row r="73" spans="1:14" x14ac:dyDescent="0.25">
      <c r="A73" s="145" t="s">
        <v>212</v>
      </c>
      <c r="B73" s="155">
        <v>0</v>
      </c>
      <c r="C73" s="156">
        <f t="shared" si="3"/>
        <v>0</v>
      </c>
      <c r="D73" s="157">
        <f t="shared" si="4"/>
        <v>0</v>
      </c>
      <c r="F73" s="234">
        <v>1</v>
      </c>
      <c r="G73" s="145" t="s">
        <v>212</v>
      </c>
      <c r="H73" s="139">
        <f t="shared" si="7"/>
        <v>7.0999999999999994E-2</v>
      </c>
      <c r="I73" s="146">
        <f t="shared" si="8"/>
        <v>0.107</v>
      </c>
      <c r="K73" s="233">
        <v>1</v>
      </c>
      <c r="L73" s="145" t="s">
        <v>212</v>
      </c>
      <c r="M73" s="208">
        <f>G22*K73</f>
        <v>14</v>
      </c>
      <c r="N73" s="211">
        <f t="shared" si="6"/>
        <v>9.33</v>
      </c>
    </row>
    <row r="74" spans="1:14" x14ac:dyDescent="0.25">
      <c r="A74" s="243" t="s">
        <v>213</v>
      </c>
      <c r="B74" s="158">
        <v>0</v>
      </c>
      <c r="C74" s="245">
        <f t="shared" si="3"/>
        <v>0</v>
      </c>
      <c r="D74" s="246">
        <f t="shared" si="4"/>
        <v>0</v>
      </c>
      <c r="F74" s="254">
        <v>1</v>
      </c>
      <c r="G74" s="243" t="s">
        <v>213</v>
      </c>
      <c r="H74" s="255">
        <f t="shared" si="7"/>
        <v>5.7000000000000002E-2</v>
      </c>
      <c r="I74" s="256">
        <f t="shared" si="8"/>
        <v>8.5999999999999993E-2</v>
      </c>
      <c r="K74" s="266">
        <v>1</v>
      </c>
      <c r="L74" s="243" t="s">
        <v>213</v>
      </c>
      <c r="M74" s="267">
        <f t="shared" si="5"/>
        <v>17.5</v>
      </c>
      <c r="N74" s="268">
        <f t="shared" si="6"/>
        <v>11.67</v>
      </c>
    </row>
    <row r="75" spans="1:14" x14ac:dyDescent="0.25">
      <c r="A75" s="145" t="s">
        <v>214</v>
      </c>
      <c r="B75" s="155">
        <v>0</v>
      </c>
      <c r="C75" s="156">
        <f t="shared" si="3"/>
        <v>0</v>
      </c>
      <c r="D75" s="157">
        <f t="shared" si="4"/>
        <v>0</v>
      </c>
      <c r="F75" s="234">
        <v>1</v>
      </c>
      <c r="G75" s="145" t="s">
        <v>214</v>
      </c>
      <c r="H75" s="139">
        <f t="shared" si="7"/>
        <v>2.9000000000000001E-2</v>
      </c>
      <c r="I75" s="146">
        <f t="shared" si="8"/>
        <v>4.2999999999999997E-2</v>
      </c>
      <c r="K75" s="233">
        <v>1</v>
      </c>
      <c r="L75" s="145" t="s">
        <v>214</v>
      </c>
      <c r="M75" s="208">
        <f t="shared" si="5"/>
        <v>35</v>
      </c>
      <c r="N75" s="211">
        <f t="shared" si="6"/>
        <v>23.33</v>
      </c>
    </row>
    <row r="76" spans="1:14" x14ac:dyDescent="0.25">
      <c r="A76" s="143" t="s">
        <v>215</v>
      </c>
      <c r="B76" s="152">
        <v>0</v>
      </c>
      <c r="C76" s="153">
        <f t="shared" si="3"/>
        <v>0</v>
      </c>
      <c r="D76" s="154">
        <f t="shared" si="4"/>
        <v>0</v>
      </c>
      <c r="F76" s="234">
        <v>1</v>
      </c>
      <c r="G76" s="143" t="s">
        <v>215</v>
      </c>
      <c r="H76" s="138">
        <f t="shared" si="7"/>
        <v>2.5000000000000001E-2</v>
      </c>
      <c r="I76" s="144">
        <f t="shared" si="8"/>
        <v>3.6999999999999998E-2</v>
      </c>
      <c r="K76" s="233">
        <v>1</v>
      </c>
      <c r="L76" s="143" t="s">
        <v>215</v>
      </c>
      <c r="M76" s="209">
        <f t="shared" si="5"/>
        <v>40</v>
      </c>
      <c r="N76" s="210">
        <f t="shared" si="6"/>
        <v>26.67</v>
      </c>
    </row>
    <row r="77" spans="1:14" x14ac:dyDescent="0.25">
      <c r="A77" s="147" t="s">
        <v>216</v>
      </c>
      <c r="B77" s="158">
        <v>0</v>
      </c>
      <c r="C77" s="159">
        <f t="shared" si="3"/>
        <v>0</v>
      </c>
      <c r="D77" s="160">
        <f t="shared" si="4"/>
        <v>0</v>
      </c>
      <c r="F77" s="254">
        <v>1</v>
      </c>
      <c r="G77" s="147" t="s">
        <v>216</v>
      </c>
      <c r="H77" s="148">
        <f t="shared" si="7"/>
        <v>2.1999999999999999E-2</v>
      </c>
      <c r="I77" s="149">
        <f t="shared" si="8"/>
        <v>3.3000000000000002E-2</v>
      </c>
      <c r="K77" s="266">
        <v>1</v>
      </c>
      <c r="L77" s="147" t="s">
        <v>216</v>
      </c>
      <c r="M77" s="212">
        <f t="shared" si="5"/>
        <v>45</v>
      </c>
      <c r="N77" s="213">
        <f t="shared" si="6"/>
        <v>30</v>
      </c>
    </row>
    <row r="78" spans="1:14" x14ac:dyDescent="0.25">
      <c r="A78" s="243" t="s">
        <v>220</v>
      </c>
      <c r="B78" s="244">
        <v>0</v>
      </c>
      <c r="C78" s="245">
        <f t="shared" si="3"/>
        <v>0</v>
      </c>
      <c r="D78" s="246">
        <f t="shared" si="4"/>
        <v>0</v>
      </c>
      <c r="F78" s="257">
        <v>1</v>
      </c>
      <c r="G78" s="258" t="s">
        <v>220</v>
      </c>
      <c r="H78" s="259">
        <f t="shared" si="7"/>
        <v>1.7999999999999999E-2</v>
      </c>
      <c r="I78" s="260">
        <f t="shared" si="8"/>
        <v>2.7E-2</v>
      </c>
      <c r="K78" s="269">
        <v>1</v>
      </c>
      <c r="L78" s="258" t="s">
        <v>220</v>
      </c>
      <c r="M78" s="270">
        <f t="shared" si="5"/>
        <v>55</v>
      </c>
      <c r="N78" s="271">
        <f t="shared" si="6"/>
        <v>36.67</v>
      </c>
    </row>
    <row r="79" spans="1:14" x14ac:dyDescent="0.25">
      <c r="A79" s="145" t="s">
        <v>241</v>
      </c>
      <c r="B79" s="152">
        <v>0</v>
      </c>
      <c r="C79" s="156">
        <f t="shared" si="3"/>
        <v>0</v>
      </c>
      <c r="D79" s="157">
        <f t="shared" si="4"/>
        <v>0</v>
      </c>
      <c r="F79" s="234">
        <v>1</v>
      </c>
      <c r="G79" s="145" t="s">
        <v>414</v>
      </c>
      <c r="H79" s="139">
        <f t="shared" si="7"/>
        <v>1.7000000000000001E-2</v>
      </c>
      <c r="I79" s="146">
        <f t="shared" si="8"/>
        <v>2.5000000000000001E-2</v>
      </c>
      <c r="K79" s="233">
        <v>1</v>
      </c>
      <c r="L79" s="145" t="s">
        <v>241</v>
      </c>
      <c r="M79" s="208">
        <f t="shared" si="5"/>
        <v>60</v>
      </c>
      <c r="N79" s="211">
        <f t="shared" si="6"/>
        <v>40</v>
      </c>
    </row>
    <row r="80" spans="1:14" x14ac:dyDescent="0.25">
      <c r="A80" s="143" t="s">
        <v>242</v>
      </c>
      <c r="B80" s="155">
        <v>0</v>
      </c>
      <c r="C80" s="153">
        <f t="shared" si="3"/>
        <v>0</v>
      </c>
      <c r="D80" s="154">
        <f t="shared" si="4"/>
        <v>0</v>
      </c>
      <c r="F80" s="234">
        <v>1</v>
      </c>
      <c r="G80" s="143" t="s">
        <v>415</v>
      </c>
      <c r="H80" s="138">
        <f t="shared" si="7"/>
        <v>1.4999999999999999E-2</v>
      </c>
      <c r="I80" s="144">
        <f t="shared" si="8"/>
        <v>2.3E-2</v>
      </c>
      <c r="K80" s="233">
        <v>1</v>
      </c>
      <c r="L80" s="143" t="s">
        <v>242</v>
      </c>
      <c r="M80" s="209">
        <f t="shared" si="5"/>
        <v>65</v>
      </c>
      <c r="N80" s="210">
        <f t="shared" si="6"/>
        <v>43.33</v>
      </c>
    </row>
    <row r="81" spans="1:14" x14ac:dyDescent="0.25">
      <c r="A81" s="145" t="s">
        <v>243</v>
      </c>
      <c r="B81" s="152">
        <v>0</v>
      </c>
      <c r="C81" s="156">
        <f t="shared" si="3"/>
        <v>0</v>
      </c>
      <c r="D81" s="157">
        <f t="shared" si="4"/>
        <v>0</v>
      </c>
      <c r="F81" s="234">
        <v>1</v>
      </c>
      <c r="G81" s="145" t="s">
        <v>243</v>
      </c>
      <c r="H81" s="139">
        <f t="shared" si="7"/>
        <v>1.4E-2</v>
      </c>
      <c r="I81" s="146">
        <f t="shared" si="8"/>
        <v>2.1000000000000001E-2</v>
      </c>
      <c r="K81" s="233">
        <v>1</v>
      </c>
      <c r="L81" s="145" t="s">
        <v>243</v>
      </c>
      <c r="M81" s="208">
        <f t="shared" si="5"/>
        <v>70</v>
      </c>
      <c r="N81" s="211">
        <f t="shared" si="6"/>
        <v>46.67</v>
      </c>
    </row>
    <row r="82" spans="1:14" x14ac:dyDescent="0.25">
      <c r="A82" s="143" t="s">
        <v>244</v>
      </c>
      <c r="B82" s="155">
        <v>0</v>
      </c>
      <c r="C82" s="153">
        <f t="shared" si="3"/>
        <v>0</v>
      </c>
      <c r="D82" s="154">
        <f t="shared" si="4"/>
        <v>0</v>
      </c>
      <c r="F82" s="234">
        <v>1</v>
      </c>
      <c r="G82" s="143" t="s">
        <v>244</v>
      </c>
      <c r="H82" s="138">
        <f t="shared" si="7"/>
        <v>1.2999999999999999E-2</v>
      </c>
      <c r="I82" s="144">
        <f t="shared" si="8"/>
        <v>0.02</v>
      </c>
      <c r="K82" s="233">
        <v>1</v>
      </c>
      <c r="L82" s="143" t="s">
        <v>244</v>
      </c>
      <c r="M82" s="209">
        <f t="shared" si="5"/>
        <v>75</v>
      </c>
      <c r="N82" s="210">
        <f t="shared" si="6"/>
        <v>50</v>
      </c>
    </row>
    <row r="83" spans="1:14" ht="15.75" thickBot="1" x14ac:dyDescent="0.3">
      <c r="A83" s="235" t="s">
        <v>250</v>
      </c>
      <c r="B83" s="236">
        <v>0</v>
      </c>
      <c r="C83" s="237">
        <f t="shared" si="3"/>
        <v>0</v>
      </c>
      <c r="D83" s="238">
        <f t="shared" si="4"/>
        <v>0</v>
      </c>
      <c r="F83" s="251">
        <v>1</v>
      </c>
      <c r="G83" s="235" t="s">
        <v>250</v>
      </c>
      <c r="H83" s="249">
        <f t="shared" si="7"/>
        <v>1.2999999999999999E-2</v>
      </c>
      <c r="I83" s="250">
        <f t="shared" si="8"/>
        <v>1.9E-2</v>
      </c>
      <c r="K83" s="261">
        <v>1</v>
      </c>
      <c r="L83" s="235" t="s">
        <v>250</v>
      </c>
      <c r="M83" s="262">
        <f t="shared" si="5"/>
        <v>80</v>
      </c>
      <c r="N83" s="263">
        <f t="shared" si="6"/>
        <v>53.33</v>
      </c>
    </row>
    <row r="84" spans="1:14" x14ac:dyDescent="0.25">
      <c r="A84" s="143" t="s">
        <v>284</v>
      </c>
      <c r="B84" s="111">
        <v>0</v>
      </c>
      <c r="C84" s="153">
        <f>B84*J16</f>
        <v>0</v>
      </c>
      <c r="D84" s="154">
        <f>B84*K16</f>
        <v>0</v>
      </c>
      <c r="F84" s="234">
        <v>1</v>
      </c>
      <c r="G84" s="143" t="s">
        <v>284</v>
      </c>
      <c r="H84" s="138">
        <f>ROUND(F84/J16,2)</f>
        <v>3.53</v>
      </c>
      <c r="I84" s="144">
        <f>ROUND(F84/K16,2)</f>
        <v>9</v>
      </c>
      <c r="K84" s="233">
        <v>1</v>
      </c>
      <c r="L84" s="143" t="s">
        <v>284</v>
      </c>
      <c r="M84" s="209">
        <f>K84*J16</f>
        <v>0.28333333333333333</v>
      </c>
      <c r="N84" s="210">
        <f>K84*K16</f>
        <v>0.11111111111111112</v>
      </c>
    </row>
    <row r="85" spans="1:14" x14ac:dyDescent="0.25">
      <c r="A85" s="147" t="s">
        <v>285</v>
      </c>
      <c r="B85" s="247">
        <v>0</v>
      </c>
      <c r="C85" s="159">
        <f>B85*M16</f>
        <v>0</v>
      </c>
      <c r="D85" s="160">
        <f>B85*N16</f>
        <v>0</v>
      </c>
      <c r="F85" s="254">
        <v>1</v>
      </c>
      <c r="G85" s="147" t="s">
        <v>285</v>
      </c>
      <c r="H85" s="148">
        <f>ROUND(F85/M16,2)</f>
        <v>2</v>
      </c>
      <c r="I85" s="149">
        <f>ROUND(F85/N16,2)</f>
        <v>3</v>
      </c>
      <c r="K85" s="266">
        <v>1</v>
      </c>
      <c r="L85" s="147" t="s">
        <v>285</v>
      </c>
      <c r="M85" s="212">
        <f>K85*M16</f>
        <v>0.5</v>
      </c>
      <c r="N85" s="213">
        <f>K85*N16</f>
        <v>0.33333333333333331</v>
      </c>
    </row>
    <row r="86" spans="1:14" x14ac:dyDescent="0.25">
      <c r="A86" s="143" t="s">
        <v>286</v>
      </c>
      <c r="B86" s="111">
        <v>0</v>
      </c>
      <c r="C86" s="153">
        <f>B86*J17</f>
        <v>0</v>
      </c>
      <c r="D86" s="154">
        <f>B86*K17</f>
        <v>0</v>
      </c>
      <c r="F86" s="234">
        <v>1</v>
      </c>
      <c r="G86" s="143" t="s">
        <v>286</v>
      </c>
      <c r="H86" s="138">
        <f>ROUND(F86/J17,2)</f>
        <v>1.1299999999999999</v>
      </c>
      <c r="I86" s="144">
        <f>ROUND(F86/K17,2)</f>
        <v>2.89</v>
      </c>
      <c r="K86" s="233">
        <v>1</v>
      </c>
      <c r="L86" s="143" t="s">
        <v>286</v>
      </c>
      <c r="M86" s="209">
        <f>K86*J17</f>
        <v>0.8833333333333333</v>
      </c>
      <c r="N86" s="210">
        <f>K86*K17</f>
        <v>0.34640522875816998</v>
      </c>
    </row>
    <row r="87" spans="1:14" x14ac:dyDescent="0.25">
      <c r="A87" s="147" t="s">
        <v>287</v>
      </c>
      <c r="B87" s="247">
        <v>0</v>
      </c>
      <c r="C87" s="159">
        <f>B87*M17</f>
        <v>0</v>
      </c>
      <c r="D87" s="160">
        <f>B87*N17</f>
        <v>0</v>
      </c>
      <c r="F87" s="254">
        <v>1</v>
      </c>
      <c r="G87" s="147" t="s">
        <v>287</v>
      </c>
      <c r="H87" s="148">
        <f>ROUND(F87/M17,2)</f>
        <v>1</v>
      </c>
      <c r="I87" s="149">
        <f>ROUND(F87/N17,2)</f>
        <v>1.5</v>
      </c>
      <c r="K87" s="266">
        <v>1</v>
      </c>
      <c r="L87" s="147" t="s">
        <v>287</v>
      </c>
      <c r="M87" s="212">
        <f>K87*M17</f>
        <v>1</v>
      </c>
      <c r="N87" s="213">
        <f>K87*N17</f>
        <v>0.66666666666666663</v>
      </c>
    </row>
    <row r="88" spans="1:14" x14ac:dyDescent="0.25">
      <c r="A88" s="143" t="s">
        <v>288</v>
      </c>
      <c r="B88" s="111">
        <v>0</v>
      </c>
      <c r="C88" s="153">
        <f>B88*J18</f>
        <v>0</v>
      </c>
      <c r="D88" s="154">
        <f>B88*K18</f>
        <v>0</v>
      </c>
      <c r="F88" s="234">
        <v>1</v>
      </c>
      <c r="G88" s="143" t="s">
        <v>288</v>
      </c>
      <c r="H88" s="138">
        <f>ROUND(F88/J18,2)</f>
        <v>0.6</v>
      </c>
      <c r="I88" s="144">
        <f>ROUND(F88/K18,2)</f>
        <v>1.53</v>
      </c>
      <c r="K88" s="233">
        <v>1</v>
      </c>
      <c r="L88" s="143" t="s">
        <v>288</v>
      </c>
      <c r="M88" s="209">
        <f>K88*J18</f>
        <v>1.6666666666666667</v>
      </c>
      <c r="N88" s="210">
        <f>K88*K18</f>
        <v>0.65359477124183019</v>
      </c>
    </row>
    <row r="89" spans="1:14" x14ac:dyDescent="0.25">
      <c r="A89" s="145" t="s">
        <v>289</v>
      </c>
      <c r="B89" s="111">
        <v>0</v>
      </c>
      <c r="C89" s="156">
        <f>B89*M18</f>
        <v>0</v>
      </c>
      <c r="D89" s="157">
        <f>B89*N18</f>
        <v>0</v>
      </c>
      <c r="F89" s="234">
        <v>1</v>
      </c>
      <c r="G89" s="145" t="s">
        <v>289</v>
      </c>
      <c r="H89" s="139">
        <f>ROUND(F89/M18,2)</f>
        <v>0.6</v>
      </c>
      <c r="I89" s="146">
        <f>ROUND(F89/N18,2)</f>
        <v>1.53</v>
      </c>
      <c r="K89" s="233">
        <v>1</v>
      </c>
      <c r="L89" s="145" t="s">
        <v>289</v>
      </c>
      <c r="M89" s="208">
        <f>K89*M18</f>
        <v>1.6666666666666667</v>
      </c>
      <c r="N89" s="211">
        <f>K89*N18</f>
        <v>0.65359477124183019</v>
      </c>
    </row>
    <row r="90" spans="1:14" x14ac:dyDescent="0.25">
      <c r="A90" s="243" t="s">
        <v>290</v>
      </c>
      <c r="B90" s="247">
        <v>0</v>
      </c>
      <c r="C90" s="245">
        <f>B90*P18</f>
        <v>0</v>
      </c>
      <c r="D90" s="246">
        <f>B90*Q18</f>
        <v>0</v>
      </c>
      <c r="F90" s="254">
        <v>1</v>
      </c>
      <c r="G90" s="243" t="s">
        <v>290</v>
      </c>
      <c r="H90" s="255">
        <f>ROUND(F90/P18,2)</f>
        <v>0.67</v>
      </c>
      <c r="I90" s="256">
        <f>ROUND(F90/Q18,2)</f>
        <v>1</v>
      </c>
      <c r="K90" s="266">
        <v>1</v>
      </c>
      <c r="L90" s="243" t="s">
        <v>290</v>
      </c>
      <c r="M90" s="267">
        <f>K90*P18</f>
        <v>1.5</v>
      </c>
      <c r="N90" s="268">
        <f>K90*Q18</f>
        <v>1</v>
      </c>
    </row>
    <row r="91" spans="1:14" x14ac:dyDescent="0.25">
      <c r="A91" s="145" t="s">
        <v>291</v>
      </c>
      <c r="B91" s="111">
        <v>0</v>
      </c>
      <c r="C91" s="156">
        <f>B91*J19</f>
        <v>0</v>
      </c>
      <c r="D91" s="157">
        <f>B91*K19</f>
        <v>0</v>
      </c>
      <c r="F91" s="234">
        <v>1</v>
      </c>
      <c r="G91" s="145" t="s">
        <v>291</v>
      </c>
      <c r="H91" s="139">
        <f>ROUND(F91/J19,2)</f>
        <v>0.2</v>
      </c>
      <c r="I91" s="146">
        <f>ROUND(F91/K19,2)</f>
        <v>0.51</v>
      </c>
      <c r="K91" s="233">
        <v>1</v>
      </c>
      <c r="L91" s="145" t="s">
        <v>291</v>
      </c>
      <c r="M91" s="208">
        <f>K91*J19</f>
        <v>5</v>
      </c>
      <c r="N91" s="211">
        <f>K91*K19</f>
        <v>1.9607843137254903</v>
      </c>
    </row>
    <row r="92" spans="1:14" x14ac:dyDescent="0.25">
      <c r="A92" s="143" t="s">
        <v>292</v>
      </c>
      <c r="B92" s="111">
        <v>0</v>
      </c>
      <c r="C92" s="153">
        <f>B92*M19</f>
        <v>0</v>
      </c>
      <c r="D92" s="154">
        <f>B92*N19</f>
        <v>0</v>
      </c>
      <c r="F92" s="234">
        <v>1</v>
      </c>
      <c r="G92" s="143" t="s">
        <v>292</v>
      </c>
      <c r="H92" s="138">
        <f>ROUND(F92/M19,2)</f>
        <v>0.2</v>
      </c>
      <c r="I92" s="144">
        <f>ROUND(F92/N19,2)</f>
        <v>0.51</v>
      </c>
      <c r="K92" s="233">
        <v>1</v>
      </c>
      <c r="L92" s="143" t="s">
        <v>292</v>
      </c>
      <c r="M92" s="209">
        <f>K92*M19</f>
        <v>5</v>
      </c>
      <c r="N92" s="210">
        <f>K92*N19</f>
        <v>1.9607843137254903</v>
      </c>
    </row>
    <row r="93" spans="1:14" x14ac:dyDescent="0.25">
      <c r="A93" s="147" t="s">
        <v>293</v>
      </c>
      <c r="B93" s="247">
        <v>0</v>
      </c>
      <c r="C93" s="159">
        <f>B93*P19</f>
        <v>0</v>
      </c>
      <c r="D93" s="160">
        <f>B93*Q19</f>
        <v>0</v>
      </c>
      <c r="F93" s="254">
        <v>1</v>
      </c>
      <c r="G93" s="147" t="s">
        <v>293</v>
      </c>
      <c r="H93" s="148">
        <f>ROUND(F93/P19,2)</f>
        <v>0.67</v>
      </c>
      <c r="I93" s="149">
        <f>ROUND(F93/Q19,2)</f>
        <v>1</v>
      </c>
      <c r="J93" t="s">
        <v>326</v>
      </c>
      <c r="K93" s="266">
        <v>1</v>
      </c>
      <c r="L93" s="147" t="s">
        <v>293</v>
      </c>
      <c r="M93" s="212">
        <f>K93*P19</f>
        <v>1.5</v>
      </c>
      <c r="N93" s="213">
        <f>K93*Q19</f>
        <v>1</v>
      </c>
    </row>
    <row r="94" spans="1:14" x14ac:dyDescent="0.25">
      <c r="A94" s="143" t="s">
        <v>294</v>
      </c>
      <c r="B94" s="111">
        <v>0</v>
      </c>
      <c r="C94" s="153">
        <f>B94*J20</f>
        <v>0</v>
      </c>
      <c r="D94" s="154">
        <f>B94*K20</f>
        <v>0</v>
      </c>
      <c r="F94" s="234">
        <v>1</v>
      </c>
      <c r="G94" s="143" t="s">
        <v>294</v>
      </c>
      <c r="H94" s="138">
        <f>ROUND(F94/J20,2)</f>
        <v>0.1</v>
      </c>
      <c r="I94" s="144">
        <f>ROUND(F94/K20,2)</f>
        <v>0.26</v>
      </c>
      <c r="K94" s="233">
        <v>1</v>
      </c>
      <c r="L94" s="143" t="s">
        <v>294</v>
      </c>
      <c r="M94" s="209">
        <f>K94*J20</f>
        <v>9.6666666666666661</v>
      </c>
      <c r="N94" s="210">
        <f>K94*K20</f>
        <v>3.7908496732026147</v>
      </c>
    </row>
    <row r="95" spans="1:14" x14ac:dyDescent="0.25">
      <c r="A95" s="145" t="s">
        <v>295</v>
      </c>
      <c r="B95" s="111">
        <v>0</v>
      </c>
      <c r="C95" s="156">
        <f>B95*M20</f>
        <v>0</v>
      </c>
      <c r="D95" s="157">
        <f>B95*N20</f>
        <v>0</v>
      </c>
      <c r="F95" s="234">
        <v>1</v>
      </c>
      <c r="G95" s="145" t="s">
        <v>295</v>
      </c>
      <c r="H95" s="139">
        <f>ROUND(F95/M20,2)</f>
        <v>0.1</v>
      </c>
      <c r="I95" s="146">
        <f>ROUND(F95/N20,2)</f>
        <v>0.26</v>
      </c>
      <c r="K95" s="233">
        <v>1</v>
      </c>
      <c r="L95" s="145" t="s">
        <v>295</v>
      </c>
      <c r="M95" s="208">
        <f>K95*M20</f>
        <v>9.6666666666666661</v>
      </c>
      <c r="N95" s="211">
        <f>K95*N20</f>
        <v>3.7908496732026147</v>
      </c>
    </row>
    <row r="96" spans="1:14" x14ac:dyDescent="0.25">
      <c r="A96" s="243" t="s">
        <v>296</v>
      </c>
      <c r="B96" s="247">
        <v>0</v>
      </c>
      <c r="C96" s="245">
        <f>B96*P20</f>
        <v>0</v>
      </c>
      <c r="D96" s="246">
        <f>B96*Q20</f>
        <v>0</v>
      </c>
      <c r="F96" s="254">
        <v>1</v>
      </c>
      <c r="G96" s="243" t="s">
        <v>296</v>
      </c>
      <c r="H96" s="255">
        <f>ROUND(F96/P20,2)</f>
        <v>0.67</v>
      </c>
      <c r="I96" s="256">
        <f>ROUND(F96/Q20,2)</f>
        <v>1</v>
      </c>
      <c r="K96" s="266">
        <v>1</v>
      </c>
      <c r="L96" s="243" t="s">
        <v>296</v>
      </c>
      <c r="M96" s="267">
        <f>K96*P20</f>
        <v>1.5</v>
      </c>
      <c r="N96" s="268">
        <f>K96*Q20</f>
        <v>1</v>
      </c>
    </row>
    <row r="97" spans="1:14" x14ac:dyDescent="0.25">
      <c r="A97" s="145" t="s">
        <v>297</v>
      </c>
      <c r="B97" s="111">
        <v>0</v>
      </c>
      <c r="C97" s="156">
        <f>B97*J21</f>
        <v>0</v>
      </c>
      <c r="D97" s="157">
        <f>B97*K21</f>
        <v>0</v>
      </c>
      <c r="F97" s="234">
        <v>1</v>
      </c>
      <c r="G97" s="145" t="s">
        <v>297</v>
      </c>
      <c r="H97" s="139">
        <f>ROUND(F97/J21,4)</f>
        <v>0.08</v>
      </c>
      <c r="I97" s="146">
        <f>ROUND(F97/K21,4)</f>
        <v>0.20399999999999999</v>
      </c>
      <c r="K97" s="233">
        <v>1</v>
      </c>
      <c r="L97" s="145" t="s">
        <v>297</v>
      </c>
      <c r="M97" s="208">
        <f>K97*J21</f>
        <v>12.5</v>
      </c>
      <c r="N97" s="211">
        <f>K97*K21</f>
        <v>4.9019607843137258</v>
      </c>
    </row>
    <row r="98" spans="1:14" x14ac:dyDescent="0.25">
      <c r="A98" s="143" t="s">
        <v>298</v>
      </c>
      <c r="B98" s="111">
        <v>0</v>
      </c>
      <c r="C98" s="153">
        <f>B98*M21</f>
        <v>0</v>
      </c>
      <c r="D98" s="154">
        <f>B98*N21</f>
        <v>0</v>
      </c>
      <c r="F98" s="234">
        <v>1</v>
      </c>
      <c r="G98" s="143" t="s">
        <v>298</v>
      </c>
      <c r="H98" s="138">
        <f>ROUND(F98/M21,4)</f>
        <v>0.08</v>
      </c>
      <c r="I98" s="144">
        <f>ROUND(F98/N21,4)</f>
        <v>0.20399999999999999</v>
      </c>
      <c r="K98" s="233">
        <v>1</v>
      </c>
      <c r="L98" s="143" t="s">
        <v>298</v>
      </c>
      <c r="M98" s="209">
        <f>K98*M21</f>
        <v>12.5</v>
      </c>
      <c r="N98" s="210">
        <f>K98*N21</f>
        <v>4.9019607843137258</v>
      </c>
    </row>
    <row r="99" spans="1:14" x14ac:dyDescent="0.25">
      <c r="A99" s="145" t="s">
        <v>299</v>
      </c>
      <c r="B99" s="111">
        <v>0</v>
      </c>
      <c r="C99" s="156">
        <f>B99*P21</f>
        <v>0</v>
      </c>
      <c r="D99" s="157">
        <f>B99*Q21</f>
        <v>0</v>
      </c>
      <c r="F99" s="234">
        <v>1</v>
      </c>
      <c r="G99" s="145" t="s">
        <v>299</v>
      </c>
      <c r="H99" s="139">
        <f>ROUND(F99/P21,4)</f>
        <v>0.08</v>
      </c>
      <c r="I99" s="146">
        <f>ROUND(F99/Q21,4)</f>
        <v>0.20399999999999999</v>
      </c>
      <c r="K99" s="233">
        <v>1</v>
      </c>
      <c r="L99" s="145" t="s">
        <v>299</v>
      </c>
      <c r="M99" s="208">
        <f>K99*P21</f>
        <v>12.5</v>
      </c>
      <c r="N99" s="211">
        <f>K99*Q21</f>
        <v>4.9019607843137258</v>
      </c>
    </row>
    <row r="100" spans="1:14" x14ac:dyDescent="0.25">
      <c r="A100" s="243" t="s">
        <v>300</v>
      </c>
      <c r="B100" s="247">
        <v>0</v>
      </c>
      <c r="C100" s="245">
        <f>B100*S21</f>
        <v>0</v>
      </c>
      <c r="D100" s="246">
        <f>B100*T21</f>
        <v>0</v>
      </c>
      <c r="F100" s="254">
        <v>1</v>
      </c>
      <c r="G100" s="243" t="s">
        <v>300</v>
      </c>
      <c r="H100" s="255">
        <f>ROUND(F100/S21,4)</f>
        <v>0.22220000000000001</v>
      </c>
      <c r="I100" s="256">
        <f>ROUND(F100/T21,4)</f>
        <v>0.33329999999999999</v>
      </c>
      <c r="K100" s="266">
        <v>1</v>
      </c>
      <c r="L100" s="243" t="s">
        <v>300</v>
      </c>
      <c r="M100" s="267">
        <f>K100*S21</f>
        <v>4.5</v>
      </c>
      <c r="N100" s="268">
        <f>K100*T21</f>
        <v>3</v>
      </c>
    </row>
    <row r="101" spans="1:14" x14ac:dyDescent="0.25">
      <c r="A101" s="145" t="s">
        <v>301</v>
      </c>
      <c r="B101" s="111">
        <v>0</v>
      </c>
      <c r="C101" s="156">
        <f>B101*J22</f>
        <v>0</v>
      </c>
      <c r="D101" s="157">
        <f>B101*K22</f>
        <v>0</v>
      </c>
      <c r="F101" s="234">
        <v>1</v>
      </c>
      <c r="G101" s="145" t="s">
        <v>301</v>
      </c>
      <c r="H101" s="139">
        <f>ROUND(F101/J22,4)</f>
        <v>7.4999999999999997E-2</v>
      </c>
      <c r="I101" s="146">
        <f>ROUND(F101/K22,4)</f>
        <v>0.1913</v>
      </c>
      <c r="K101" s="233">
        <v>1</v>
      </c>
      <c r="L101" s="145" t="s">
        <v>301</v>
      </c>
      <c r="M101" s="208">
        <f>K101*J22</f>
        <v>13.333333333333334</v>
      </c>
      <c r="N101" s="211">
        <f>K101*K22</f>
        <v>5.2287581699346415</v>
      </c>
    </row>
    <row r="102" spans="1:14" x14ac:dyDescent="0.25">
      <c r="A102" s="143" t="s">
        <v>302</v>
      </c>
      <c r="B102" s="111">
        <v>0</v>
      </c>
      <c r="C102" s="153">
        <f>B102*M22</f>
        <v>0</v>
      </c>
      <c r="D102" s="154">
        <f>B102*N22</f>
        <v>0</v>
      </c>
      <c r="F102" s="234">
        <v>1</v>
      </c>
      <c r="G102" s="143" t="s">
        <v>302</v>
      </c>
      <c r="H102" s="138">
        <f>ROUND(F102/M22,4)</f>
        <v>7.4999999999999997E-2</v>
      </c>
      <c r="I102" s="144">
        <f>ROUND(F102/N22,4)</f>
        <v>0.1913</v>
      </c>
      <c r="K102" s="233">
        <v>1</v>
      </c>
      <c r="L102" s="143" t="s">
        <v>302</v>
      </c>
      <c r="M102" s="209">
        <f>K102*M22</f>
        <v>13.333333333333334</v>
      </c>
      <c r="N102" s="210">
        <f>K102*N22</f>
        <v>5.2287581699346415</v>
      </c>
    </row>
    <row r="103" spans="1:14" x14ac:dyDescent="0.25">
      <c r="A103" s="145" t="s">
        <v>303</v>
      </c>
      <c r="B103" s="111">
        <v>0</v>
      </c>
      <c r="C103" s="156">
        <f>B103*P22</f>
        <v>0</v>
      </c>
      <c r="D103" s="157">
        <f>B103*Q22</f>
        <v>0</v>
      </c>
      <c r="F103" s="234">
        <v>1</v>
      </c>
      <c r="G103" s="145" t="s">
        <v>303</v>
      </c>
      <c r="H103" s="139">
        <f>ROUND(F103/P22,4)</f>
        <v>7.4999999999999997E-2</v>
      </c>
      <c r="I103" s="146">
        <f>ROUND(F103/Q22,4)</f>
        <v>0.1913</v>
      </c>
      <c r="K103" s="233">
        <v>1</v>
      </c>
      <c r="L103" s="145" t="s">
        <v>303</v>
      </c>
      <c r="M103" s="208">
        <f>K103*P22</f>
        <v>13.333333333333334</v>
      </c>
      <c r="N103" s="211">
        <f>K103*Q22</f>
        <v>5.2287581699346415</v>
      </c>
    </row>
    <row r="104" spans="1:14" x14ac:dyDescent="0.25">
      <c r="A104" s="243" t="s">
        <v>304</v>
      </c>
      <c r="B104" s="247">
        <v>0</v>
      </c>
      <c r="C104" s="245">
        <f>B104*S22</f>
        <v>0</v>
      </c>
      <c r="D104" s="246">
        <f>B104*T22</f>
        <v>0</v>
      </c>
      <c r="F104" s="254">
        <v>1</v>
      </c>
      <c r="G104" s="243" t="s">
        <v>304</v>
      </c>
      <c r="H104" s="255">
        <f>ROUND(F104/S22,4)</f>
        <v>0.22220000000000001</v>
      </c>
      <c r="I104" s="256">
        <f>ROUND(F104/T22,4)</f>
        <v>0.33329999999999999</v>
      </c>
      <c r="K104" s="266">
        <v>1</v>
      </c>
      <c r="L104" s="243" t="s">
        <v>304</v>
      </c>
      <c r="M104" s="267">
        <f>K104*S22</f>
        <v>4.5</v>
      </c>
      <c r="N104" s="268">
        <f>K104*T22</f>
        <v>3</v>
      </c>
    </row>
    <row r="105" spans="1:14" x14ac:dyDescent="0.25">
      <c r="A105" s="145" t="s">
        <v>305</v>
      </c>
      <c r="B105" s="111">
        <v>0</v>
      </c>
      <c r="C105" s="156">
        <f>B105*J23</f>
        <v>0</v>
      </c>
      <c r="D105" s="157">
        <f>B105*K23</f>
        <v>0</v>
      </c>
      <c r="F105" s="234">
        <v>1</v>
      </c>
      <c r="G105" s="145" t="s">
        <v>305</v>
      </c>
      <c r="H105" s="139">
        <f>ROUND(F105/J23,4)</f>
        <v>7.0599999999999996E-2</v>
      </c>
      <c r="I105" s="146">
        <f>ROUND(F105/K23,4)</f>
        <v>0.18</v>
      </c>
      <c r="K105" s="233">
        <v>1</v>
      </c>
      <c r="L105" s="145" t="s">
        <v>305</v>
      </c>
      <c r="M105" s="208">
        <f>K105*J23</f>
        <v>14.166666666666666</v>
      </c>
      <c r="N105" s="211">
        <f>K105*K23</f>
        <v>5.5555555555555562</v>
      </c>
    </row>
    <row r="106" spans="1:14" x14ac:dyDescent="0.25">
      <c r="A106" s="143" t="s">
        <v>306</v>
      </c>
      <c r="B106" s="111">
        <v>0</v>
      </c>
      <c r="C106" s="153">
        <f>B106*M23</f>
        <v>0</v>
      </c>
      <c r="D106" s="154">
        <f>B106*N23</f>
        <v>0</v>
      </c>
      <c r="F106" s="234">
        <v>1</v>
      </c>
      <c r="G106" s="143" t="s">
        <v>306</v>
      </c>
      <c r="H106" s="138">
        <f>ROUND(F106/M23,4)</f>
        <v>7.0599999999999996E-2</v>
      </c>
      <c r="I106" s="144">
        <f>ROUND(F106/N23,4)</f>
        <v>0.18</v>
      </c>
      <c r="K106" s="233">
        <v>1</v>
      </c>
      <c r="L106" s="143" t="s">
        <v>306</v>
      </c>
      <c r="M106" s="209">
        <f>K106*M23</f>
        <v>14.166666666666666</v>
      </c>
      <c r="N106" s="210">
        <f>K106*N23</f>
        <v>5.5555555555555562</v>
      </c>
    </row>
    <row r="107" spans="1:14" x14ac:dyDescent="0.25">
      <c r="A107" s="145" t="s">
        <v>307</v>
      </c>
      <c r="B107" s="111">
        <v>0</v>
      </c>
      <c r="C107" s="156">
        <f>B107*P23</f>
        <v>0</v>
      </c>
      <c r="D107" s="157">
        <f>B107*Q23</f>
        <v>0</v>
      </c>
      <c r="F107" s="234">
        <v>1</v>
      </c>
      <c r="G107" s="145" t="s">
        <v>307</v>
      </c>
      <c r="H107" s="139">
        <f>ROUND(F107/P23,4)</f>
        <v>7.0599999999999996E-2</v>
      </c>
      <c r="I107" s="146">
        <f>ROUND(F107/Q23,4)</f>
        <v>0.18</v>
      </c>
      <c r="K107" s="233">
        <v>1</v>
      </c>
      <c r="L107" s="145" t="s">
        <v>307</v>
      </c>
      <c r="M107" s="208">
        <f>K107*P23</f>
        <v>14.166666666666666</v>
      </c>
      <c r="N107" s="211">
        <f>K107*Q23</f>
        <v>5.5555555555555562</v>
      </c>
    </row>
    <row r="108" spans="1:14" x14ac:dyDescent="0.25">
      <c r="A108" s="243" t="s">
        <v>308</v>
      </c>
      <c r="B108" s="247">
        <v>0</v>
      </c>
      <c r="C108" s="245">
        <f>B108*S23</f>
        <v>0</v>
      </c>
      <c r="D108" s="246">
        <f>B108*T23</f>
        <v>0</v>
      </c>
      <c r="F108" s="254">
        <v>1</v>
      </c>
      <c r="G108" s="243" t="s">
        <v>308</v>
      </c>
      <c r="H108" s="255">
        <f>ROUND(F108/S23,4)</f>
        <v>0.22220000000000001</v>
      </c>
      <c r="I108" s="256">
        <f>ROUND(F108/T23,4)</f>
        <v>0.33329999999999999</v>
      </c>
      <c r="K108" s="266">
        <v>1</v>
      </c>
      <c r="L108" s="243" t="s">
        <v>308</v>
      </c>
      <c r="M108" s="267">
        <f>K108*S23</f>
        <v>4.5</v>
      </c>
      <c r="N108" s="268">
        <f>K108*T23</f>
        <v>3</v>
      </c>
    </row>
    <row r="109" spans="1:14" x14ac:dyDescent="0.25">
      <c r="A109" s="145" t="s">
        <v>309</v>
      </c>
      <c r="B109" s="111">
        <v>0</v>
      </c>
      <c r="C109" s="156">
        <f>B109*J24</f>
        <v>0</v>
      </c>
      <c r="D109" s="157">
        <f>B109*K24</f>
        <v>0</v>
      </c>
      <c r="F109" s="234">
        <v>1</v>
      </c>
      <c r="G109" s="145" t="s">
        <v>309</v>
      </c>
      <c r="H109" s="139">
        <f>ROUND(F109/J24,4)</f>
        <v>6.3200000000000006E-2</v>
      </c>
      <c r="I109" s="146">
        <f>ROUND(F109/K24,4)</f>
        <v>0.16109999999999999</v>
      </c>
      <c r="K109" s="233">
        <v>1</v>
      </c>
      <c r="L109" s="145" t="s">
        <v>309</v>
      </c>
      <c r="M109" s="208">
        <f>K109*J24</f>
        <v>15.833333333333334</v>
      </c>
      <c r="N109" s="211">
        <f>K109*K24</f>
        <v>6.2091503267973867</v>
      </c>
    </row>
    <row r="110" spans="1:14" x14ac:dyDescent="0.25">
      <c r="A110" s="143" t="s">
        <v>310</v>
      </c>
      <c r="B110" s="111">
        <v>0</v>
      </c>
      <c r="C110" s="153">
        <f>B110*M24</f>
        <v>0</v>
      </c>
      <c r="D110" s="154">
        <f>B110*N24</f>
        <v>0</v>
      </c>
      <c r="F110" s="234">
        <v>1</v>
      </c>
      <c r="G110" s="143" t="s">
        <v>310</v>
      </c>
      <c r="H110" s="138">
        <f>ROUND(F110/M24,4)</f>
        <v>6.3200000000000006E-2</v>
      </c>
      <c r="I110" s="144">
        <f>ROUND(F110/N24,4)</f>
        <v>0.16109999999999999</v>
      </c>
      <c r="K110" s="233">
        <v>1</v>
      </c>
      <c r="L110" s="143" t="s">
        <v>310</v>
      </c>
      <c r="M110" s="209">
        <f>K110*M24</f>
        <v>15.833333333333334</v>
      </c>
      <c r="N110" s="210">
        <f>K110*N24</f>
        <v>6.2091503267973867</v>
      </c>
    </row>
    <row r="111" spans="1:14" x14ac:dyDescent="0.25">
      <c r="A111" s="145" t="s">
        <v>311</v>
      </c>
      <c r="B111" s="111">
        <v>0</v>
      </c>
      <c r="C111" s="156">
        <f>B111*P24</f>
        <v>0</v>
      </c>
      <c r="D111" s="157">
        <f>B111*Q24</f>
        <v>0</v>
      </c>
      <c r="F111" s="234">
        <v>1</v>
      </c>
      <c r="G111" s="145" t="s">
        <v>311</v>
      </c>
      <c r="H111" s="139">
        <f>ROUND(F111/P24,4)</f>
        <v>6.3200000000000006E-2</v>
      </c>
      <c r="I111" s="146">
        <f>ROUND(F111/Q24,4)</f>
        <v>0.16109999999999999</v>
      </c>
      <c r="K111" s="233">
        <v>1</v>
      </c>
      <c r="L111" s="145" t="s">
        <v>311</v>
      </c>
      <c r="M111" s="208">
        <f>K111*P24</f>
        <v>15.833333333333334</v>
      </c>
      <c r="N111" s="211">
        <f>K111*Q24</f>
        <v>6.2091503267973867</v>
      </c>
    </row>
    <row r="112" spans="1:14" x14ac:dyDescent="0.25">
      <c r="A112" s="243" t="s">
        <v>312</v>
      </c>
      <c r="B112" s="247">
        <v>0</v>
      </c>
      <c r="C112" s="245">
        <f>B112*S24</f>
        <v>0</v>
      </c>
      <c r="D112" s="246">
        <f>B112*T24</f>
        <v>0</v>
      </c>
      <c r="F112" s="254">
        <v>1</v>
      </c>
      <c r="G112" s="243" t="s">
        <v>312</v>
      </c>
      <c r="H112" s="255">
        <f>ROUND(F112/S24,4)</f>
        <v>0.22220000000000001</v>
      </c>
      <c r="I112" s="256">
        <f>ROUND(F112/T24,4)</f>
        <v>0.33329999999999999</v>
      </c>
      <c r="K112" s="266">
        <v>1</v>
      </c>
      <c r="L112" s="243" t="s">
        <v>312</v>
      </c>
      <c r="M112" s="267">
        <f>K112*S24</f>
        <v>4.5</v>
      </c>
      <c r="N112" s="268">
        <f>K112*T24</f>
        <v>3</v>
      </c>
    </row>
    <row r="113" spans="1:14" x14ac:dyDescent="0.25">
      <c r="A113" s="145" t="s">
        <v>313</v>
      </c>
      <c r="B113" s="111">
        <v>0</v>
      </c>
      <c r="C113" s="156">
        <f>B113*J25</f>
        <v>0</v>
      </c>
      <c r="D113" s="157">
        <f>B113*K25</f>
        <v>0</v>
      </c>
      <c r="F113" s="234">
        <v>1</v>
      </c>
      <c r="G113" s="145" t="s">
        <v>313</v>
      </c>
      <c r="H113" s="139">
        <f>ROUND(F113/J25,4)</f>
        <v>4.4400000000000002E-2</v>
      </c>
      <c r="I113" s="146">
        <f>ROUND(F113/K25,4)</f>
        <v>0.1133</v>
      </c>
      <c r="K113" s="233">
        <v>1</v>
      </c>
      <c r="L113" s="145" t="s">
        <v>313</v>
      </c>
      <c r="M113" s="208">
        <f>K113*J25</f>
        <v>22.5</v>
      </c>
      <c r="N113" s="211">
        <f>K113*K25</f>
        <v>8.8235294117647065</v>
      </c>
    </row>
    <row r="114" spans="1:14" x14ac:dyDescent="0.25">
      <c r="A114" s="143" t="s">
        <v>314</v>
      </c>
      <c r="B114" s="111">
        <v>0</v>
      </c>
      <c r="C114" s="153">
        <f>B114*M25</f>
        <v>0</v>
      </c>
      <c r="D114" s="154">
        <f>B114*N25</f>
        <v>0</v>
      </c>
      <c r="F114" s="234">
        <v>1</v>
      </c>
      <c r="G114" s="143" t="s">
        <v>314</v>
      </c>
      <c r="H114" s="138">
        <f>ROUND(F114/M25,4)</f>
        <v>4.4400000000000002E-2</v>
      </c>
      <c r="I114" s="144">
        <f>ROUND(F114/N25,4)</f>
        <v>0.1133</v>
      </c>
      <c r="K114" s="233">
        <v>1</v>
      </c>
      <c r="L114" s="143" t="s">
        <v>314</v>
      </c>
      <c r="M114" s="209">
        <f>K114*M25</f>
        <v>22.5</v>
      </c>
      <c r="N114" s="210">
        <f>K114*N25</f>
        <v>8.8235294117647065</v>
      </c>
    </row>
    <row r="115" spans="1:14" x14ac:dyDescent="0.25">
      <c r="A115" s="145" t="s">
        <v>315</v>
      </c>
      <c r="B115" s="111">
        <v>0</v>
      </c>
      <c r="C115" s="156">
        <f>B115*P25</f>
        <v>0</v>
      </c>
      <c r="D115" s="157">
        <f>B115*Q25</f>
        <v>0</v>
      </c>
      <c r="F115" s="234">
        <v>1</v>
      </c>
      <c r="G115" s="145" t="s">
        <v>315</v>
      </c>
      <c r="H115" s="139">
        <f>ROUND(F115/P25,4)</f>
        <v>4.4400000000000002E-2</v>
      </c>
      <c r="I115" s="146">
        <f>ROUND(F115/Q25,4)</f>
        <v>0.1133</v>
      </c>
      <c r="K115" s="233">
        <v>1</v>
      </c>
      <c r="L115" s="145" t="s">
        <v>315</v>
      </c>
      <c r="M115" s="208">
        <f>K115*P25</f>
        <v>22.5</v>
      </c>
      <c r="N115" s="211">
        <f>K115*Q25</f>
        <v>8.8235294117647065</v>
      </c>
    </row>
    <row r="116" spans="1:14" x14ac:dyDescent="0.25">
      <c r="A116" s="243" t="s">
        <v>316</v>
      </c>
      <c r="B116" s="247">
        <v>0</v>
      </c>
      <c r="C116" s="245">
        <f>B116*S25</f>
        <v>0</v>
      </c>
      <c r="D116" s="246">
        <f>B116*T25</f>
        <v>0</v>
      </c>
      <c r="F116" s="254">
        <v>1</v>
      </c>
      <c r="G116" s="243" t="s">
        <v>316</v>
      </c>
      <c r="H116" s="255">
        <f>ROUND(F116/S25,4)</f>
        <v>0.22220000000000001</v>
      </c>
      <c r="I116" s="256">
        <f>ROUND(F116/T25,4)</f>
        <v>0.33329999999999999</v>
      </c>
      <c r="K116" s="266">
        <v>1</v>
      </c>
      <c r="L116" s="243" t="s">
        <v>316</v>
      </c>
      <c r="M116" s="267">
        <f>K116*S25</f>
        <v>4.5</v>
      </c>
      <c r="N116" s="268">
        <f>K116*T25</f>
        <v>3</v>
      </c>
    </row>
    <row r="117" spans="1:14" x14ac:dyDescent="0.25">
      <c r="A117" s="145" t="s">
        <v>317</v>
      </c>
      <c r="B117" s="111">
        <v>0</v>
      </c>
      <c r="C117" s="156">
        <f>B117*J26</f>
        <v>0</v>
      </c>
      <c r="D117" s="157">
        <f>B117*K26</f>
        <v>0</v>
      </c>
      <c r="F117" s="234">
        <v>1</v>
      </c>
      <c r="G117" s="145" t="s">
        <v>317</v>
      </c>
      <c r="H117" s="139">
        <f>ROUND(F117/J26,4)</f>
        <v>3.8699999999999998E-2</v>
      </c>
      <c r="I117" s="146">
        <f>ROUND(F117/K26,4)</f>
        <v>9.8699999999999996E-2</v>
      </c>
      <c r="K117" s="233">
        <v>1</v>
      </c>
      <c r="L117" s="145" t="s">
        <v>317</v>
      </c>
      <c r="M117" s="208">
        <f>K117*J26</f>
        <v>25.833333333333332</v>
      </c>
      <c r="N117" s="211">
        <f>K117*K26</f>
        <v>10.130718954248367</v>
      </c>
    </row>
    <row r="118" spans="1:14" x14ac:dyDescent="0.25">
      <c r="A118" s="232" t="s">
        <v>318</v>
      </c>
      <c r="B118" s="111">
        <v>0</v>
      </c>
      <c r="C118" s="153">
        <f>B118*M26</f>
        <v>0</v>
      </c>
      <c r="D118" s="154">
        <f>B118*N26</f>
        <v>0</v>
      </c>
      <c r="F118" s="234">
        <v>1</v>
      </c>
      <c r="G118" s="232" t="s">
        <v>318</v>
      </c>
      <c r="H118" s="138">
        <f>ROUND(F118/M26,4)</f>
        <v>3.8699999999999998E-2</v>
      </c>
      <c r="I118" s="144">
        <f>ROUND(F118/N26,4)</f>
        <v>9.8699999999999996E-2</v>
      </c>
      <c r="K118" s="233">
        <v>1</v>
      </c>
      <c r="L118" s="232" t="s">
        <v>318</v>
      </c>
      <c r="M118" s="209">
        <f>K118*M26</f>
        <v>25.833333333333332</v>
      </c>
      <c r="N118" s="210">
        <f>K118*N26</f>
        <v>10.130718954248367</v>
      </c>
    </row>
    <row r="119" spans="1:14" x14ac:dyDescent="0.25">
      <c r="A119" s="145" t="s">
        <v>319</v>
      </c>
      <c r="B119" s="111">
        <v>0</v>
      </c>
      <c r="C119" s="156">
        <f>B119*P26</f>
        <v>0</v>
      </c>
      <c r="D119" s="157">
        <f>B119*Q26</f>
        <v>0</v>
      </c>
      <c r="F119" s="234">
        <v>1</v>
      </c>
      <c r="G119" s="145" t="s">
        <v>319</v>
      </c>
      <c r="H119" s="139">
        <f>ROUND(F119/P26,4)</f>
        <v>3.8699999999999998E-2</v>
      </c>
      <c r="I119" s="146">
        <f>ROUND(F119/Q26,4)</f>
        <v>9.8699999999999996E-2</v>
      </c>
      <c r="K119" s="233">
        <v>1</v>
      </c>
      <c r="L119" s="145" t="s">
        <v>319</v>
      </c>
      <c r="M119" s="208">
        <f>K119*P26</f>
        <v>25.833333333333332</v>
      </c>
      <c r="N119" s="211">
        <f>K119*Q26</f>
        <v>10.130718954248367</v>
      </c>
    </row>
    <row r="120" spans="1:14" x14ac:dyDescent="0.25">
      <c r="A120" s="243" t="s">
        <v>320</v>
      </c>
      <c r="B120" s="247">
        <v>0</v>
      </c>
      <c r="C120" s="245">
        <f>B120*S26</f>
        <v>0</v>
      </c>
      <c r="D120" s="246">
        <f>B120*T26</f>
        <v>0</v>
      </c>
      <c r="F120" s="254">
        <v>1</v>
      </c>
      <c r="G120" s="243" t="s">
        <v>320</v>
      </c>
      <c r="H120" s="255">
        <f>ROUND(F120/S26,4)</f>
        <v>0.22220000000000001</v>
      </c>
      <c r="I120" s="256">
        <f>ROUND(F120/T26,4)</f>
        <v>0.33329999999999999</v>
      </c>
      <c r="K120" s="266">
        <v>1</v>
      </c>
      <c r="L120" s="243" t="s">
        <v>320</v>
      </c>
      <c r="M120" s="267">
        <f>K120*S26</f>
        <v>4.5</v>
      </c>
      <c r="N120" s="268">
        <f>K120*T26</f>
        <v>3</v>
      </c>
    </row>
    <row r="121" spans="1:14" x14ac:dyDescent="0.25">
      <c r="A121" s="145" t="s">
        <v>321</v>
      </c>
      <c r="B121" s="111">
        <v>0</v>
      </c>
      <c r="C121" s="156">
        <f>B121*J27</f>
        <v>0</v>
      </c>
      <c r="D121" s="157">
        <f>B121*K27</f>
        <v>0</v>
      </c>
      <c r="F121" s="234">
        <v>1</v>
      </c>
      <c r="G121" s="145" t="s">
        <v>321</v>
      </c>
      <c r="H121" s="139">
        <f>ROUND(F121/J27,4)</f>
        <v>0.02</v>
      </c>
      <c r="I121" s="146">
        <f>ROUND(F121/K27,4)</f>
        <v>5.0999999999999997E-2</v>
      </c>
      <c r="K121" s="233">
        <v>1</v>
      </c>
      <c r="L121" s="145" t="s">
        <v>321</v>
      </c>
      <c r="M121" s="208">
        <f>K121*J27</f>
        <v>50</v>
      </c>
      <c r="N121" s="211">
        <f>K121*K27</f>
        <v>19.607843137254903</v>
      </c>
    </row>
    <row r="122" spans="1:14" x14ac:dyDescent="0.25">
      <c r="A122" s="143" t="s">
        <v>322</v>
      </c>
      <c r="B122" s="111">
        <v>0</v>
      </c>
      <c r="C122" s="153">
        <f>B122*M27</f>
        <v>0</v>
      </c>
      <c r="D122" s="154">
        <f>B122*N27</f>
        <v>0</v>
      </c>
      <c r="F122" s="234">
        <v>1</v>
      </c>
      <c r="G122" s="143" t="s">
        <v>322</v>
      </c>
      <c r="H122" s="138">
        <f>ROUND(F122/M27,4)</f>
        <v>0.02</v>
      </c>
      <c r="I122" s="144">
        <f>ROUND(F122/N27,4)</f>
        <v>5.0999999999999997E-2</v>
      </c>
      <c r="K122" s="233">
        <v>1</v>
      </c>
      <c r="L122" s="143" t="s">
        <v>322</v>
      </c>
      <c r="M122" s="209">
        <f>K122*M27</f>
        <v>50</v>
      </c>
      <c r="N122" s="210">
        <f>K122*N27</f>
        <v>19.607843137254903</v>
      </c>
    </row>
    <row r="123" spans="1:14" x14ac:dyDescent="0.25">
      <c r="A123" s="145" t="s">
        <v>323</v>
      </c>
      <c r="B123" s="111">
        <v>0</v>
      </c>
      <c r="C123" s="156">
        <f>B123*P27</f>
        <v>0</v>
      </c>
      <c r="D123" s="157">
        <f>B123*Q27</f>
        <v>0</v>
      </c>
      <c r="F123" s="234">
        <v>1</v>
      </c>
      <c r="G123" s="145" t="s">
        <v>323</v>
      </c>
      <c r="H123" s="139">
        <f>ROUND(F123/P27,4)</f>
        <v>0.02</v>
      </c>
      <c r="I123" s="146">
        <f>ROUND(F123/Q27,4)</f>
        <v>5.0999999999999997E-2</v>
      </c>
      <c r="K123" s="233">
        <v>1</v>
      </c>
      <c r="L123" s="145" t="s">
        <v>323</v>
      </c>
      <c r="M123" s="208">
        <f>K123*P27</f>
        <v>50</v>
      </c>
      <c r="N123" s="211">
        <f>K123*Q27</f>
        <v>19.607843137254903</v>
      </c>
    </row>
    <row r="124" spans="1:14" x14ac:dyDescent="0.25">
      <c r="A124" s="248" t="s">
        <v>324</v>
      </c>
      <c r="B124" s="247">
        <v>0</v>
      </c>
      <c r="C124" s="245">
        <f>B124*S27</f>
        <v>0</v>
      </c>
      <c r="D124" s="246">
        <f>B124*T27</f>
        <v>0</v>
      </c>
      <c r="F124" s="254">
        <v>1</v>
      </c>
      <c r="G124" s="248" t="s">
        <v>324</v>
      </c>
      <c r="H124" s="255">
        <f>ROUND(F124/S27,4)</f>
        <v>0.22220000000000001</v>
      </c>
      <c r="I124" s="256">
        <f>ROUND(F124/T27,4)</f>
        <v>0.33329999999999999</v>
      </c>
      <c r="K124" s="266">
        <v>1</v>
      </c>
      <c r="L124" s="248" t="s">
        <v>324</v>
      </c>
      <c r="M124" s="267">
        <f>K124*S27</f>
        <v>4.5</v>
      </c>
      <c r="N124" s="268">
        <f>K124*T27</f>
        <v>3</v>
      </c>
    </row>
    <row r="126" spans="1:14" ht="15.75" thickBot="1" x14ac:dyDescent="0.3">
      <c r="A126" s="285"/>
      <c r="B126" s="286"/>
      <c r="C126" s="286"/>
      <c r="D126" s="287"/>
      <c r="F126" s="285" t="s">
        <v>404</v>
      </c>
      <c r="G126" s="286"/>
      <c r="H126" s="287" t="s">
        <v>406</v>
      </c>
    </row>
    <row r="127" spans="1:14" ht="16.5" thickTop="1" thickBot="1" x14ac:dyDescent="0.3">
      <c r="A127" s="279"/>
      <c r="B127" s="39" t="s">
        <v>126</v>
      </c>
      <c r="C127" s="156">
        <f>ROUND(SUM(C58:C124),1)</f>
        <v>0</v>
      </c>
      <c r="D127" s="274">
        <f>ROUND(SUM(D58:D124),1)</f>
        <v>0</v>
      </c>
      <c r="F127" s="272" t="s">
        <v>403</v>
      </c>
      <c r="G127" s="280"/>
      <c r="H127" s="273" t="s">
        <v>405</v>
      </c>
    </row>
    <row r="128" spans="1:14" ht="15.75" thickTop="1" x14ac:dyDescent="0.25">
      <c r="A128" s="275" t="s">
        <v>127</v>
      </c>
      <c r="B128" s="130">
        <v>10</v>
      </c>
      <c r="C128" s="288"/>
      <c r="D128" s="289"/>
      <c r="F128" s="279"/>
      <c r="G128" s="280"/>
      <c r="H128" s="281"/>
    </row>
    <row r="129" spans="1:8" x14ac:dyDescent="0.25">
      <c r="A129" s="276" t="s">
        <v>47</v>
      </c>
      <c r="B129" s="277">
        <f>IFERROR(1-(B128/C127),0)</f>
        <v>0</v>
      </c>
      <c r="C129" s="290"/>
      <c r="D129" s="281"/>
      <c r="F129" s="279"/>
      <c r="G129" s="280"/>
      <c r="H129" s="281"/>
    </row>
    <row r="130" spans="1:8" x14ac:dyDescent="0.25">
      <c r="A130" s="279"/>
      <c r="B130" s="280"/>
      <c r="C130" s="280"/>
      <c r="D130" s="281"/>
      <c r="F130" s="279"/>
      <c r="G130" s="280"/>
      <c r="H130" s="281"/>
    </row>
    <row r="131" spans="1:8" x14ac:dyDescent="0.25">
      <c r="A131" s="282"/>
      <c r="B131" s="283"/>
      <c r="C131" s="283"/>
      <c r="D131" s="284"/>
      <c r="F131" s="282"/>
      <c r="G131" s="283"/>
      <c r="H131" s="284"/>
    </row>
    <row r="132" spans="1:8" x14ac:dyDescent="0.25">
      <c r="F132" s="278" t="s">
        <v>407</v>
      </c>
    </row>
  </sheetData>
  <mergeCells count="6">
    <mergeCell ref="R14:T14"/>
    <mergeCell ref="A52:O53"/>
    <mergeCell ref="F14:H14"/>
    <mergeCell ref="I14:K14"/>
    <mergeCell ref="L14:N14"/>
    <mergeCell ref="O14:Q14"/>
  </mergeCells>
  <pageMargins left="0.7" right="0.7" top="0.75" bottom="0.75" header="0.3" footer="0.3"/>
  <pageSetup paperSize="9" orientation="portrait" r:id="rId1"/>
  <ignoredErrors>
    <ignoredError sqref="J16:J27 K29:K32 J29:J32 J28:K28" calculatedColumn="1"/>
  </ignoredErrors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333375</xdr:colOff>
                <xdr:row>128</xdr:row>
                <xdr:rowOff>76200</xdr:rowOff>
              </from>
              <to>
                <xdr:col>3</xdr:col>
                <xdr:colOff>647700</xdr:colOff>
                <xdr:row>130</xdr:row>
                <xdr:rowOff>95250</xdr:rowOff>
              </to>
            </anchor>
          </controlPr>
        </control>
      </mc:Choice>
      <mc:Fallback>
        <control shapeId="8194" r:id="rId4" name="CommandButton1"/>
      </mc:Fallback>
    </mc:AlternateContent>
    <mc:AlternateContent xmlns:mc="http://schemas.openxmlformats.org/markup-compatibility/2006">
      <mc:Choice Requires="x14">
        <control shapeId="8196" r:id="rId6" name="CommandButton2">
          <controlPr defaultSize="0" autoLine="0" r:id="rId7">
            <anchor moveWithCells="1">
              <from>
                <xdr:col>6</xdr:col>
                <xdr:colOff>19050</xdr:colOff>
                <xdr:row>128</xdr:row>
                <xdr:rowOff>76200</xdr:rowOff>
              </from>
              <to>
                <xdr:col>6</xdr:col>
                <xdr:colOff>1390650</xdr:colOff>
                <xdr:row>130</xdr:row>
                <xdr:rowOff>85725</xdr:rowOff>
              </to>
            </anchor>
          </controlPr>
        </control>
      </mc:Choice>
      <mc:Fallback>
        <control shapeId="8196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F127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3.xml>�� 
</file>

<file path=customXml/itemProps1.xml><?xml version="1.0" encoding="utf-8"?>
<ds:datastoreItem xmlns:ds="http://schemas.openxmlformats.org/officeDocument/2006/customXml" ds:itemID="{C5CBC30E-2F3A-4931-BF4A-9F61DD9D84E2}">
  <ds:schemaRefs/>
</ds:datastoreItem>
</file>

<file path=customXml/itemProps2.xml><?xml version="1.0" encoding="utf-8"?>
<ds:datastoreItem xmlns:ds="http://schemas.openxmlformats.org/officeDocument/2006/customXml" ds:itemID="{CA5FF991-C66A-4AAF-AC09-3E8322DE2999}">
  <ds:schemaRefs/>
</ds:datastoreItem>
</file>

<file path=customXml/itemProps3.xml><?xml version="1.0" encoding="utf-8"?>
<ds:datastoreItem xmlns:ds="http://schemas.openxmlformats.org/officeDocument/2006/customXml" ds:itemID="{498F0357-19EF-429B-ABBE-9EE0F18B7652}">
  <ds:schemaRefs/>
</ds:datastoreItem>
</file>

<file path=customXml/itemProps4.xml><?xml version="1.0" encoding="utf-8"?>
<ds:datastoreItem xmlns:ds="http://schemas.openxmlformats.org/officeDocument/2006/customXml" ds:itemID="{F11733BD-FDAC-45AD-A0CD-7C4B6266E0CC}">
  <ds:schemaRefs/>
</ds:datastoreItem>
</file>

<file path=customXml/itemProps5.xml><?xml version="1.0" encoding="utf-8"?>
<ds:datastoreItem xmlns:ds="http://schemas.openxmlformats.org/officeDocument/2006/customXml" ds:itemID="{A502F854-1DC8-4930-AC9B-4F60D9DD5EEF}">
  <ds:schemaRefs/>
</ds:datastoreItem>
</file>

<file path=customXml/itemProps6.xml><?xml version="1.0" encoding="utf-8"?>
<ds:datastoreItem xmlns:ds="http://schemas.openxmlformats.org/officeDocument/2006/customXml" ds:itemID="{73EAB481-866B-4C0F-8627-26832E150B4D}">
  <ds:schemaRefs/>
</ds:datastoreItem>
</file>

<file path=customXml/itemProps7.xml><?xml version="1.0" encoding="utf-8"?>
<ds:datastoreItem xmlns:ds="http://schemas.openxmlformats.org/officeDocument/2006/customXml" ds:itemID="{457F4C07-1709-4595-8EC4-6C0DABF04268}">
  <ds:schemaRefs/>
</ds:datastoreItem>
</file>

<file path=customXml/itemProps8.xml><?xml version="1.0" encoding="utf-8"?>
<ds:datastoreItem xmlns:ds="http://schemas.openxmlformats.org/officeDocument/2006/customXml" ds:itemID="{E68C531D-A362-4FEB-8EB6-C7E4117D7A69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8428E760-B837-43D3-BFB6-FA3F00E4351C}">
  <ds:schemaRefs/>
</ds:datastoreItem>
</file>

<file path=customXml/itemProps11.xml><?xml version="1.0" encoding="utf-8"?>
<ds:datastoreItem xmlns:ds="http://schemas.openxmlformats.org/officeDocument/2006/customXml" ds:itemID="{72671333-EA01-4E61-9495-0C521CFF4E42}">
  <ds:schemaRefs/>
</ds:datastoreItem>
</file>

<file path=customXml/itemProps12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13.xml><?xml version="1.0" encoding="utf-8"?>
<ds:datastoreItem xmlns:ds="http://schemas.openxmlformats.org/officeDocument/2006/customXml" ds:itemID="{F92C5DF9-F10E-4F67-A74E-2A3531B26D44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09DE11B8-3459-491D-8BA8-7D75F0234420}">
  <ds:schemaRefs/>
</ds:datastoreItem>
</file>

<file path=customXml/itemProps16.xml><?xml version="1.0" encoding="utf-8"?>
<ds:datastoreItem xmlns:ds="http://schemas.openxmlformats.org/officeDocument/2006/customXml" ds:itemID="{3B5C8196-2348-4D06-B408-7ECE9A09663C}">
  <ds:schemaRefs/>
</ds:datastoreItem>
</file>

<file path=customXml/itemProps17.xml><?xml version="1.0" encoding="utf-8"?>
<ds:datastoreItem xmlns:ds="http://schemas.openxmlformats.org/officeDocument/2006/customXml" ds:itemID="{5C670962-9690-435C-A5BE-6413D7595FD6}">
  <ds:schemaRefs/>
</ds:datastoreItem>
</file>

<file path=customXml/itemProps18.xml><?xml version="1.0" encoding="utf-8"?>
<ds:datastoreItem xmlns:ds="http://schemas.openxmlformats.org/officeDocument/2006/customXml" ds:itemID="{4B5313D3-99C5-44BD-BE39-5926B1C15ED3}">
  <ds:schemaRefs/>
</ds:datastoreItem>
</file>

<file path=customXml/itemProps19.xml><?xml version="1.0" encoding="utf-8"?>
<ds:datastoreItem xmlns:ds="http://schemas.openxmlformats.org/officeDocument/2006/customXml" ds:itemID="{27B0BC59-0E6A-4278-957E-2A6158A5EF58}">
  <ds:schemaRefs/>
</ds:datastoreItem>
</file>

<file path=customXml/itemProps20.xml><?xml version="1.0" encoding="utf-8"?>
<ds:datastoreItem xmlns:ds="http://schemas.openxmlformats.org/officeDocument/2006/customXml" ds:itemID="{B0B7BE38-2889-44EA-9FB0-2D6FF9BB889A}">
  <ds:schemaRefs/>
</ds:datastoreItem>
</file>

<file path=customXml/itemProps21.xml><?xml version="1.0" encoding="utf-8"?>
<ds:datastoreItem xmlns:ds="http://schemas.openxmlformats.org/officeDocument/2006/customXml" ds:itemID="{E4A9B254-DDD8-464F-AF7A-4D112BB6FD8E}">
  <ds:schemaRefs/>
</ds:datastoreItem>
</file>

<file path=customXml/itemProps2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2019-09-05T08:31:11Z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