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2" i="53"/>
  <c r="F61" i="53"/>
  <c r="F60" i="53"/>
  <c r="C39" i="53" l="1"/>
  <c r="C43" i="53"/>
  <c r="C42" i="53"/>
  <c r="C45" i="53"/>
  <c r="C41" i="53"/>
  <c r="C40" i="53"/>
  <c r="C44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6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AF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8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AH14" i="53"/>
  <c r="L14" i="53" s="1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C47" i="53" l="1"/>
  <c r="AB31" i="53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C48" i="53"/>
  <c r="C46" i="53"/>
  <c r="AA21" i="53" s="1"/>
  <c r="J21" i="53" s="1"/>
  <c r="H21" i="53" s="1"/>
  <c r="AA14" i="53"/>
  <c r="J14" i="53" s="1"/>
  <c r="H14" i="53" s="1"/>
  <c r="AA19" i="53"/>
  <c r="J19" i="53" s="1"/>
  <c r="H19" i="53" s="1"/>
  <c r="AA20" i="53"/>
  <c r="J20" i="53" s="1"/>
  <c r="H20" i="53" s="1"/>
  <c r="AA17" i="53"/>
  <c r="J17" i="53" s="1"/>
  <c r="H17" i="53" s="1"/>
  <c r="AA18" i="53"/>
  <c r="J18" i="53" s="1"/>
  <c r="H18" i="53" s="1"/>
  <c r="AA15" i="53"/>
  <c r="J15" i="53" s="1"/>
  <c r="H15" i="53" s="1"/>
  <c r="AA16" i="53"/>
  <c r="J16" i="53" s="1"/>
  <c r="H16" i="53" s="1"/>
  <c r="AA22" i="53" l="1"/>
  <c r="J22" i="53" s="1"/>
  <c r="H22" i="53" s="1"/>
  <c r="AA23" i="53"/>
  <c r="J23" i="53" s="1"/>
  <c r="H23" i="53" s="1"/>
  <c r="AA26" i="53"/>
  <c r="J26" i="53" s="1"/>
  <c r="H26" i="53" s="1"/>
  <c r="AA27" i="53"/>
  <c r="J27" i="53" s="1"/>
  <c r="H27" i="53" s="1"/>
  <c r="AA28" i="53"/>
  <c r="J28" i="53" s="1"/>
  <c r="H28" i="53" s="1"/>
  <c r="AA25" i="53"/>
  <c r="J25" i="53" s="1"/>
  <c r="H25" i="53" s="1"/>
  <c r="AA29" i="53"/>
  <c r="J29" i="53" s="1"/>
  <c r="H29" i="53" s="1"/>
  <c r="AA30" i="53"/>
  <c r="J30" i="53" s="1"/>
  <c r="H30" i="53" s="1"/>
  <c r="AA24" i="53"/>
  <c r="J24" i="53" s="1"/>
  <c r="H24" i="53" s="1"/>
  <c r="AA31" i="53"/>
  <c r="J31" i="53" s="1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charset val="1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<sst xmlns="http://schemas.openxmlformats.org/spreadsheetml/2006/main" count="1021" uniqueCount="494">
  <si>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</si>
  <si>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</si>
  <si>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</si>
  <si>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</si>
  <si>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</si>
  <si>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</si>
  <si>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</si>
  <si>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</si>
  <si>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</si>
  <si>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</si>
  <si>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</si>
  <si>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</si>
  <si>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</si>
  <si>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</si>
  <si>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</si>
  <si>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</si>
  <si>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</si>
  <si>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</si>
  <si>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</si>
  <si>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</si>
  <si>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</si>
  <si>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</si>
  <si>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</si>
  <si>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</si>
  <si>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</si>
  <si>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</si>
  <si>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</si>
  <si>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</si>
  <si>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</si>
  <si>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</si>
  <si>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</si>
  <si>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</si>
  <si>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</si>
  <si>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</si>
  <si>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</si>
  <si>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</si>
  <si>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</si>
  <si>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</si>
  <si>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</si>
  <si>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</si>
  <si>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</si>
  <si>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</si>
  <si>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</si>
  <si>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</si>
  <si>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</si>
  <si>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</si>
  <si>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</si>
  <si>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</si>
  <si>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</si>
  <si>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</si>
  <si>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</si>
  <si>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</si>
  <si>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</si>
  <si>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</si>
  <si>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</si>
  <si>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</si>
  <si>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</si>
  <si>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</si>
  <si>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</si>
  <si>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</si>
  <si>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</si>
  <si>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</si>
  <si>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</si>
  <si>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</si>
  <si>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</si>
  <si>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</si>
  <si>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</si>
  <si>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</si>
  <si>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</si>
  <si>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</si>
  <si>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</si>
  <si>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</si>
  <si>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</si>
  <si>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</si>
  <si>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</si>
  <si>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</si>
  <si>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</si>
  <si>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</si>
  <si>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</si>
  <si>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</si>
  <si>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</si>
  <si>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</si>
  <si>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</si>
  <si>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</si>
  <si>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</si>
  <si>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</si>
  <si>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</si>
  <si>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</si>
  <si>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</si>
  <si>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</si>
  <si>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</si>
  <si>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</si>
  <si>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</si>
  <si>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</si>
  <si>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</si>
  <si>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</si>
  <si>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</si>
  <si>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</si>
  <si>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</si>
  <si>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</si>
  <si>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</si>
  <si>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</si>
  <si>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</si>
  <si>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</si>
  <si>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</si>
  <si>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</si>
  <si>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</si>
  <si>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</si>
  <si>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</si>
  <si>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</si>
  <si>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</si>
  <si>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</si>
  <si>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</si>
  <si>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</si>
  <si>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</si>
  <si>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</si>
  <si>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</si>
  <si>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</si>
  <si>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</si>
  <si>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</si>
  <si>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</si>
  <si>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</si>
  <si>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</si>
  <si>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</si>
  <si>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</si>
  <si>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</si>
  <si>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</si>
  <si>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</si>
  <si>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</si>
  <si>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</si>
  <si>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</si>
  <si>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</si>
  <si>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</si>
  <si>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</si>
  <si>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</si>
  <si>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</si>
  <si>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</si>
  <si>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</si>
  <si>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</si>
  <si>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</si>
  <si>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</si>
  <si>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</si>
  <si>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</si>
  <si>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</si>
  <si>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</si>
  <si>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</si>
  <si>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</si>
  <si>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</si>
  <si>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</si>
  <si>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</si>
  <si>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</si>
  <si>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</si>
  <si>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</si>
  <si>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</si>
  <si>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</si>
  <si>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</si>
  <si>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</si>
  <si>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</si>
  <si>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</si>
  <si>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</si>
  <si>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</si>
  <si>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</si>
  <si>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</si>
  <si>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</si>
  <si>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</si>
  <si>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</si>
  <si>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</si>
  <si>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</si>
  <si>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</si>
  <si>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</si>
  <si>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</si>
  <si>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</si>
  <si>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</si>
  <si>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</si>
  <si>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</si>
  <si>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</si>
  <si>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</si>
  <si>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</si>
  <si>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</si>
  <si>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</si>
  <si>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</si>
  <si>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</si>
  <si>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</si>
  <si>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</si>
  <si>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</si>
  <si>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</si>
  <si>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</si>
  <si>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</si>
  <si>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</si>
  <si>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</si>
  <si>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</si>
  <si>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</si>
  <si>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</si>
  <si>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</si>
  <si>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</si>
  <si>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</si>
  <si>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</si>
  <si>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</si>
  <si>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</si>
  <si>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</si>
  <si>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</si>
  <si>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</si>
  <si>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</si>
  <si>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</si>
  <si>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</si>
  <si>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</si>
  <si>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</si>
  <si>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</si>
  <si>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</si>
  <si>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</si>
  <si>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</si>
  <si>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</si>
  <si>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</si>
  <si>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</si>
  <si>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</si>
  <si>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</si>
  <si>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</si>
  <si>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</si>
  <si>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</si>
  <si>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</si>
  <si>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</si>
  <si>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</si>
  <si>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</si>
  <si>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</si>
  <si>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</si>
  <si>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</si>
  <si>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</si>
  <si>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</si>
  <si>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</si>
  <si>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</si>
  <si>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</si>
  <si>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</si>
  <si>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</si>
  <si>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</si>
  <si>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</si>
  <si>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</si>
  <si>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</si>
  <si>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</si>
  <si>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</si>
  <si>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</si>
  <si>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</si>
  <si>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</si>
  <si>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</si>
  <si>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</si>
  <si>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</si>
  <si>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</si>
  <si>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</si>
  <si>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</si>
  <si>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</si>
  <si>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</si>
  <si>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</si>
  <si>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</si>
  <si>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</si>
  <si>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</si>
  <si>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</si>
  <si>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</si>
  <si>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</si>
  <si>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</si>
  <si>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</si>
  <si>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</si>
  <si>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</si>
  <si>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</si>
  <si>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</si>
  <si>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</si>
  <si>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</si>
  <si>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</si>
  <si>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</si>
  <si>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</si>
  <si>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</si>
  <si>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</si>
  <si>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</si>
  <si>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</si>
  <si>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</si>
  <si>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</si>
  <si>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</si>
  <si>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</si>
  <si>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</si>
  <si>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</si>
  <si>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</si>
  <si>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</si>
  <si>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</si>
  <si>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</si>
  <si>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</si>
  <si>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</si>
  <si>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</si>
  <si>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</si>
  <si>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</si>
  <si>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</si>
  <si>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</si>
  <si>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</si>
  <si>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</si>
  <si>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</si>
  <si>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</si>
  <si>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</si>
  <si>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</si>
  <si>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</si>
  <si>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</si>
  <si>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</si>
  <si>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</si>
  <si>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</si>
  <si>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</si>
  <si>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</si>
  <si>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</si>
  <si>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</si>
  <si>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</si>
  <si>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</si>
  <si>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</si>
  <si>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</si>
  <si>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</si>
  <si>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</si>
  <si>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</si>
  <si>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</si>
  <si>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</si>
  <si>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</si>
  <si>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</si>
  <si>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</si>
  <si>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</si>
  <si>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</si>
  <si>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</si>
  <si>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</si>
  <si>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</si>
  <si>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</si>
  <si>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</si>
  <si>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</si>
  <si>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</si>
  <si>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</si>
  <si>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</si>
  <si>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</si>
  <si>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</si>
  <si>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</si>
  <si>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</si>
  <si>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</si>
  <si>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</si>
  <si>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</si>
  <si>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</si>
  <si>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</si>
  <si>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</si>
  <si>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</si>
  <si>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</si>
  <si>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</si>
  <si>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</si>
  <si>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</si>
  <si>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</si>
  <si>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</si>
  <si>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</si>
  <si>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</si>
  <si>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</si>
  <si>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</si>
  <si>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</si>
  <si>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</si>
  <si>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</si>
  <si>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</si>
  <si>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</si>
  <si>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</si>
  <si>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</si>
  <si>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</si>
  <si>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</si>
  <si>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</si>
  <si>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</si>
  <si>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</si>
  <si>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</si>
  <si>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</si>
  <si>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</si>
  <si>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</si>
  <si>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</si>
  <si>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</si>
  <si>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</si>
  <si>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</si>
  <si>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</si>
  <si>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</si>
  <si>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</si>
  <si>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</si>
  <si>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</si>
  <si>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</si>
  <si>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</si>
  <si>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</si>
  <si>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</si>
  <si>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</si>
  <si>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</si>
  <si>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</si>
  <si>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</si>
  <si>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</si>
  <si>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</si>
  <si>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</si>
  <si>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</si>
  <si>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</si>
  <si>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</si>
  <si>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</si>
  <si>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</si>
  <si>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</si>
  <si>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</si>
  <si>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</si>
  <si>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</si>
  <si>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</si>
  <si>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</si>
  <si>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</si>
  <si>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</si>
  <si>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</si>
  <si>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</si>
  <si>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</si>
  <si>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</si>
  <si>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</si>
  <si>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</si>
  <si>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</si>
  <si>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</si>
  <si>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</si>
  <si>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</si>
  <si>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</si>
  <si>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</si>
  <si>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</si>
  <si>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</si>
  <si>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</si>
  <si>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</si>
  <si>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</si>
  <si>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</si>
  <si>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</si>
  <si>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</si>
  <si>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</si>
  <si>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</si>
  <si>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</si>
  <si>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</si>
  <si>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</si>
  <si>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</si>
  <si>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</si>
  <si>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</si>
  <si>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</si>
  <si>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</si>
  <si>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</si>
  <si>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</si>
  <si>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</si>
  <si>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</si>
  <si>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</si>
  <si>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</si>
  <si>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</si>
  <si>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</si>
  <si>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</si>
  <si>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</si>
  <si>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</si>
  <si>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</si>
  <si>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</si>
  <si>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</si>
  <si>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</si>
  <si>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</si>
  <si>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</si>
  <si>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</si>
  <si>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</si>
  <si>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</si>
  <si>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</si>
  <si>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</si>
  <si>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</si>
  <si>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</si>
  <si>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</si>
  <si>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</si>
  <si>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</si>
  <si>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</si>
  <si>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</si>
  <si>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</si>
  <si>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</si>
  <si>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</si>
  <si>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</si>
  <si>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</si>
  <si>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</si>
  <si>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</si>
  <si>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</si>
  <si>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</si>
  <si>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</si>
  <si>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</si>
  <si>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</si>
  <si>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</si>
  <si>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</si>
  <si>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</si>
  <si>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</si>
  <si>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</si>
  <si>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</si>
  <si>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</si>
  <si>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</si>
  <si>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</si>
  <si>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</si>
  <si>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</si>
  <si>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</si>
  <si>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</si>
  <si>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</si>
  <si>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</si>
  <si>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gf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</si>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</sst>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  <font>
      <sz val="11"/>
      <color theme="0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6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6" fillId="37" borderId="56" xfId="0" applyFont="1" applyFill="1" applyBorder="1"/>
    <xf numFmtId="0" fontId="16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0" fillId="28" borderId="69" xfId="0" applyFont="1" applyFill="1" applyBorder="1" applyAlignment="1"/>
    <xf numFmtId="0" fontId="0" fillId="28" borderId="61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6757</c:v>
                </c:pt>
                <c:pt idx="1">
                  <c:v>15223</c:v>
                </c:pt>
                <c:pt idx="2">
                  <c:v>28302</c:v>
                </c:pt>
                <c:pt idx="3">
                  <c:v>42850</c:v>
                </c:pt>
                <c:pt idx="4">
                  <c:v>61189</c:v>
                </c:pt>
                <c:pt idx="5">
                  <c:v>81431</c:v>
                </c:pt>
                <c:pt idx="6">
                  <c:v>108405</c:v>
                </c:pt>
                <c:pt idx="7">
                  <c:v>130900</c:v>
                </c:pt>
                <c:pt idx="8">
                  <c:v>149203</c:v>
                </c:pt>
                <c:pt idx="9">
                  <c:v>157229</c:v>
                </c:pt>
                <c:pt idx="10">
                  <c:v>181835</c:v>
                </c:pt>
                <c:pt idx="11">
                  <c:v>187433</c:v>
                </c:pt>
                <c:pt idx="12">
                  <c:v>204633</c:v>
                </c:pt>
                <c:pt idx="13">
                  <c:v>188030</c:v>
                </c:pt>
                <c:pt idx="14">
                  <c:v>188030</c:v>
                </c:pt>
                <c:pt idx="15">
                  <c:v>188030</c:v>
                </c:pt>
                <c:pt idx="16">
                  <c:v>188030</c:v>
                </c:pt>
                <c:pt idx="17">
                  <c:v>188030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6048</c:v>
                </c:pt>
                <c:pt idx="1">
                  <c:v>13624</c:v>
                </c:pt>
                <c:pt idx="2">
                  <c:v>26409</c:v>
                </c:pt>
                <c:pt idx="3">
                  <c:v>40114</c:v>
                </c:pt>
                <c:pt idx="4">
                  <c:v>57953</c:v>
                </c:pt>
                <c:pt idx="5">
                  <c:v>76523</c:v>
                </c:pt>
                <c:pt idx="6">
                  <c:v>101724</c:v>
                </c:pt>
                <c:pt idx="7">
                  <c:v>121846</c:v>
                </c:pt>
                <c:pt idx="8">
                  <c:v>139492</c:v>
                </c:pt>
                <c:pt idx="9">
                  <c:v>147517</c:v>
                </c:pt>
                <c:pt idx="10">
                  <c:v>170113</c:v>
                </c:pt>
                <c:pt idx="11">
                  <c:v>175710</c:v>
                </c:pt>
                <c:pt idx="12">
                  <c:v>192910</c:v>
                </c:pt>
                <c:pt idx="13">
                  <c:v>176307</c:v>
                </c:pt>
                <c:pt idx="14">
                  <c:v>176307</c:v>
                </c:pt>
                <c:pt idx="15">
                  <c:v>176307</c:v>
                </c:pt>
                <c:pt idx="16">
                  <c:v>176307</c:v>
                </c:pt>
                <c:pt idx="17">
                  <c:v>176307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137"/>
    <tableColumn id="6" name="Easy Mission Reward" dataDxfId="136">
      <calculatedColumnFormula>missionsDragonRelativeMetrics[[#This Row],[Reward Multiplier]]*$C$5</calculatedColumnFormula>
    </tableColumn>
    <tableColumn id="7" name="Medium Mission Reward" dataDxfId="135">
      <calculatedColumnFormula>missionsDragonRelativeMetrics[[#This Row],[Reward Multiplier]]*$C$6</calculatedColumnFormula>
    </tableColumn>
    <tableColumn id="3" name="Hard Mission Reward" dataDxfId="134">
      <calculatedColumnFormula>missionsDragonRelativeMetrics[[#This Row],[Reward Multiplier]]*$C$7</calculatedColumnFormula>
    </tableColumn>
    <tableColumn id="4" name="Max. Nb. Missions" dataDxfId="133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2" dataDxfId="131">
  <autoFilter ref="A4:C7"/>
  <tableColumns count="3">
    <tableColumn id="6" name="Difficulty" dataDxfId="130"/>
    <tableColumn id="1" name="Mission Level" dataDxfId="129" totalsRowDxfId="128"/>
    <tableColumn id="2" name="Max Reward" dataDxfId="127" totalsRowDxfId="12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5" dataDxfId="124" tableBorderDxfId="123">
  <autoFilter ref="A12:B30"/>
  <tableColumns count="2">
    <tableColumn id="1" name="Dragon" dataDxfId="122"/>
    <tableColumn id="2" name="QuantityModifier" dataDxfId="12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0" headerRowBorderDxfId="119" tableBorderDxfId="118">
  <autoFilter ref="B44:L73"/>
  <tableColumns count="11">
    <tableColumn id="1" name="MISSION TYPE"/>
    <tableColumn id="2" name="PARAM"/>
    <tableColumn id="3" name="HAS SINGLE RUN"/>
    <tableColumn id="4" name="OBJ. BASE. QU. MIN" dataDxfId="117"/>
    <tableColumn id="5" name="OBJ. BASE. QU. MAX" dataDxfId="116"/>
    <tableColumn id="6" name="OBJ. QU. RANGE" dataDxfId="115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4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3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2" headerRowBorderDxfId="111" tableBorderDxfId="110">
  <autoFilter ref="B13:E18"/>
  <tableColumns count="4">
    <tableColumn id="1" name="CHESTS" dataDxfId="109"/>
    <tableColumn id="2" name="TYPE" dataDxfId="108"/>
    <tableColumn id="3" name="AMOUNT" dataDxfId="107"/>
    <tableColumn id="4" name="AMOUNT NEW" dataDxfId="1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5" headerRowBorderDxfId="104" tableBorderDxfId="103">
  <autoFilter ref="G13:AL31"/>
  <tableColumns count="32">
    <tableColumn id="1" name="DRAGON" dataDxfId="102"/>
    <tableColumn id="35" name="COINS" dataDxfId="101">
      <calculatedColumnFormula>Table6[[#This Row],[TOTAL COINS]] +Table6[[#This Row],[COINS IN RUNS PER DAY]]</calculatedColumnFormula>
    </tableColumn>
    <tableColumn id="34" name="COINS NEW" dataDxfId="100">
      <calculatedColumnFormula>Table6[[#This Row],[TOTAL COINS NEW]] + Table6[[#This Row],[COINS IN RUNS PER DAY]]</calculatedColumnFormula>
    </tableColumn>
    <tableColumn id="17" name="TOTAL COINS" dataDxfId="99">
      <calculatedColumnFormula>Table6[[#This Row],[CHESTS COINS]] + Table6[[#This Row],[DAILY COINS]]+Table6[[#This Row],[LEAGUES COINS]]+Table6[[#This Row],[MISSIONS COINS]]</calculatedColumnFormula>
    </tableColumn>
    <tableColumn id="16" name="TOTAL GEMS" dataDxfId="98">
      <calculatedColumnFormula>Table6[[#This Row],[CHESTS GEMS]]+Table6[[#This Row],[DAILY GEMS]]+Table6[[#This Row],[LEAGUES GEMS]]</calculatedColumnFormula>
    </tableColumn>
    <tableColumn id="28" name="TOTAL COINS NEW" dataDxfId="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6">
      <calculatedColumnFormula>Table6[[#This Row],[CHESTS GEMS NEW]] +Table6[[#This Row],[DAILY GEMS NEW]] +Table6[[#This Row],[LEAGUES GEMS NEW]]</calculatedColumnFormula>
    </tableColumn>
    <tableColumn id="31" name="COINS IN RUNS PER DAY" dataDxfId="95">
      <calculatedColumnFormula>Table6[[#This Row],[COINS PER RUN]] *Table6[[#This Row],[RUNS PER DAY]]</calculatedColumnFormula>
    </tableColumn>
    <tableColumn id="2" name="CHEST REW. MOD." dataDxfId="94"/>
    <tableColumn id="3" name="DAILY REW. MOD." dataDxfId="93"/>
    <tableColumn id="19" name="CHEST REW. MOD. NEW" dataDxfId="92"/>
    <tableColumn id="18" name="DAILY REW. MOD. NEW" dataDxfId="91"/>
    <tableColumn id="4" name="LEAGUE" dataDxfId="90"/>
    <tableColumn id="5" name="NUM. EASY" dataDxfId="89"/>
    <tableColumn id="6" name="NUM. MED." dataDxfId="88"/>
    <tableColumn id="7" name="NUM. HARD" dataDxfId="87"/>
    <tableColumn id="8" name="CHESTS COINS" dataDxfId="86">
      <calculatedColumnFormula>Table6[[#This Row],[CHEST REW. MOD.]]*($D$14+$D$15+$D$16)</calculatedColumnFormula>
    </tableColumn>
    <tableColumn id="9" name="CHESTS GEMS" dataDxfId="85">
      <calculatedColumnFormula>$D$17+$D$18</calculatedColumnFormula>
    </tableColumn>
    <tableColumn id="10" name="DAILY COINS" dataDxfId="84">
      <calculatedColumnFormula>ROUND((Table6[[#This Row],[DAILY REW. MOD.]]*($D$24+$D$26+$D$28))/7,0)</calculatedColumnFormula>
    </tableColumn>
    <tableColumn id="11" name="DAILY GEMS" dataDxfId="83">
      <calculatedColumnFormula>ROUND(($D$25+$D$27+$D$29)/7,1)</calculatedColumnFormula>
    </tableColumn>
    <tableColumn id="12" name="LEAGUES COINS" dataDxfId="82">
      <calculatedColumnFormula>ROUND((INDEX(Table12[AVG COINS],MATCH(Table6[[#This Row],[LEAGUE]],Table12[LEAGUE],0))) /$C$35,0)</calculatedColumnFormula>
    </tableColumn>
    <tableColumn id="13" name="LEAGUES GEMS" dataDxfId="81">
      <calculatedColumnFormula>ROUND((INDEX(Table12[AVG GEMS],MATCH(Table6[[#This Row],[LEAGUE]],Table12[LEAGUE],0))) /$C$35,2)</calculatedColumnFormula>
    </tableColumn>
    <tableColumn id="14" name="MISSIONS COINS" dataDxfId="80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79">
      <calculatedColumnFormula>Table6[[#This Row],[CHEST REW. MOD. NEW]]*($D$14+$D$15+$D$16)</calculatedColumnFormula>
    </tableColumn>
    <tableColumn id="21" name="CHESTS GEMS NEW" dataDxfId="78">
      <calculatedColumnFormula>$E$17+$E$18</calculatedColumnFormula>
    </tableColumn>
    <tableColumn id="22" name="DAILY COINS NEW" dataDxfId="77">
      <calculatedColumnFormula>ROUND((Table6[[#This Row],[DAILY REW. MOD. NEW]]*($D$24+$D$26+$D$28))/7,0)</calculatedColumnFormula>
    </tableColumn>
    <tableColumn id="23" name="DAILY GEMS NEW" dataDxfId="76">
      <calculatedColumnFormula>ROUND(($E$25+$E$27+$E$29)/7,1)</calculatedColumnFormula>
    </tableColumn>
    <tableColumn id="24" name="LEAGUES COINS NEW" dataDxfId="75">
      <calculatedColumnFormula>ROUND((INDEX(Table12[AVG COINS NEW],MATCH(Table6[[#This Row],[LEAGUE]],Table12[LEAGUE],0))) /$C$36,0)</calculatedColumnFormula>
    </tableColumn>
    <tableColumn id="25" name="LEAGUES GEMS NEW" dataDxfId="74">
      <calculatedColumnFormula>ROUND((INDEX(Table12[AVG GEMS NEW],MATCH(Table6[[#This Row],[LEAGUE]],Table12[LEAGUE],0))) / $C$36,2)</calculatedColumnFormula>
    </tableColumn>
    <tableColumn id="26" name="MISSIONS COINS NEW" dataDxfId="73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2"/>
    <tableColumn id="30" name="RUNS PER DAY" dataDxfId="7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0" dataDxfId="68" headerRowBorderDxfId="69" tableBorderDxfId="67">
  <autoFilter ref="B23:E31"/>
  <tableColumns count="4">
    <tableColumn id="1" name="DAY" dataDxfId="66"/>
    <tableColumn id="2" name="TYPE" dataDxfId="65"/>
    <tableColumn id="3" name="AMOUNT" dataDxfId="64"/>
    <tableColumn id="4" name="AMOUNT NEW" dataDxfId="6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2" headerRowBorderDxfId="61" tableBorderDxfId="60">
  <autoFilter ref="B38:F48"/>
  <tableColumns count="5">
    <tableColumn id="1" name="LEAGUE" dataDxfId="59"/>
    <tableColumn id="2" name="AVG COINS" dataDxfId="58">
      <calculatedColumnFormula>SUM(F60:F64)/100</calculatedColumnFormula>
    </tableColumn>
    <tableColumn id="3" name="AVG GEMS" dataDxfId="57"/>
    <tableColumn id="4" name="AVG COINS NEW" dataDxfId="56"/>
    <tableColumn id="5" name="AVG GEMS NEW" dataDxfId="5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4" dataDxfId="52" headerRowBorderDxfId="53" tableBorderDxfId="51">
  <autoFilter ref="B59:J109"/>
  <tableColumns count="9">
    <tableColumn id="1" name="LEAGUE" dataDxfId="50"/>
    <tableColumn id="2" name="TYPE" dataDxfId="49"/>
    <tableColumn id="3" name="AMOUNT" dataDxfId="48"/>
    <tableColumn id="4" name="TARGET" dataDxfId="47"/>
    <tableColumn id="5" name="AUX 1" dataDxfId="46">
      <calculatedColumnFormula>Table13[[#This Row],[AMOUNT]]*(Table13[[#This Row],[TARGET]]/100)</calculatedColumnFormula>
    </tableColumn>
    <tableColumn id="10" name="TYPE NEW" dataDxfId="45"/>
    <tableColumn id="6" name="AMOUNT NEW" dataDxfId="44"/>
    <tableColumn id="7" name="TARGET NEW" dataDxfId="43"/>
    <tableColumn id="8" name="AUX 1 NEW" dataDxfId="4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1" dataDxfId="40">
  <autoFilter ref="B112:E115"/>
  <tableColumns count="4">
    <tableColumn id="6" name="DIFFICULTY" dataDxfId="39"/>
    <tableColumn id="1" name="MISSION LV." dataDxfId="38" totalsRowDxfId="37"/>
    <tableColumn id="2" name="MAX. REW." dataDxfId="36" totalsRowDxfId="35"/>
    <tableColumn id="3" name="MAX REW. NEW" dataDxfId="3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3" dataDxfId="32" tableBorderDxfId="31">
  <autoFilter ref="A6:C13"/>
  <tableColumns count="3">
    <tableColumn id="1" name="Price" dataDxfId="30"/>
    <tableColumn id="2" name="HC earned" dataDxfId="29">
      <calculatedColumnFormula>ROUND(Table47[[#This Row],[Price]]*$B$3+Table47[[#This Row],[Price]]*$B$3*Table47[[#This Row],[Discount]],0)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27" dataDxfId="26" tableBorderDxfId="25">
  <autoFilter ref="A20:C26"/>
  <tableColumns count="3">
    <tableColumn id="1" name="Price HC" dataDxfId="24"/>
    <tableColumn id="2" name="SC earned" dataDxfId="23">
      <calculatedColumnFormula>ROUND((($B$17/$B$3)*Table479[[#This Row],[Price HC]])+((($B$17/$B$3)*Table479[[#This Row],[Price HC]])*Table479[[#This Row],[Discount]]),0)</calculatedColumnFormula>
    </tableColumn>
    <tableColumn id="3" name="Discount" dataDxfId="2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21" tableBorderDxfId="20">
  <autoFilter ref="E16:T33"/>
  <tableColumns count="16">
    <tableColumn id="1" name="Dragon" dataDxfId="19"/>
    <tableColumn id="2" name="pricing (HC)" dataDxfId="18"/>
    <tableColumn id="3" name="Equivalence Base" dataDxfId="17">
      <calculatedColumnFormula>F17/$B$3</calculatedColumnFormula>
    </tableColumn>
    <tableColumn id="4" name="Equivalence better" dataDxfId="16">
      <calculatedColumnFormula>ROUND(F17/$B$4,2)</calculatedColumnFormula>
    </tableColumn>
    <tableColumn id="5" name="Dis. 1 price (SC or HC)" dataDxfId="15"/>
    <tableColumn id="6" name="Dis. 1 Eq. Base" dataDxfId="14">
      <calculatedColumnFormula>(Table9[[#This Row],[Dis. 1 price (SC or HC)]]/($B$17/$B$3))/$B$3</calculatedColumnFormula>
    </tableColumn>
    <tableColumn id="7" name="Dis 1 Eq. better" dataDxfId="13">
      <calculatedColumnFormula>Table9[[#This Row],[Dis. 1 price (SC or HC)]]/$B$18</calculatedColumnFormula>
    </tableColumn>
    <tableColumn id="8" name="Dis. 2 price (SC or HC)" dataDxfId="12"/>
    <tableColumn id="9" name="Dis. 2 Eq. Base" dataDxfId="11"/>
    <tableColumn id="10" name="Dis 2 Eq. better" dataDxfId="10"/>
    <tableColumn id="11" name="Dis. 3 price (SC or HC)" dataDxfId="9"/>
    <tableColumn id="12" name="Dis. 3 Eq. Base" dataDxfId="8"/>
    <tableColumn id="13" name="Dis 3 Eq. better" dataDxfId="7"/>
    <tableColumn id="14" name="Dis. 4 price (SC or HC)" dataDxfId="6"/>
    <tableColumn id="15" name="Dis. 4 Eq. Base" dataDxfId="5"/>
    <tableColumn id="16" name="Dis 4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3" tableBorderDxfId="2">
  <autoFilter ref="A30:B31"/>
  <tableColumns count="2">
    <tableColumn id="1" name="price HC" dataDxfId="1"/>
    <tableColumn id="2" name="Price $" dataDxfId="0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5" t="s">
        <v>222</v>
      </c>
      <c r="I9" s="365"/>
      <c r="J9" s="365"/>
      <c r="L9" s="365" t="s">
        <v>225</v>
      </c>
      <c r="M9" s="36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tabSelected="1" workbookViewId="0">
      <selection activeCell="B31" sqref="B31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67</v>
      </c>
      <c r="G22" s="313">
        <f>missionsDragonRelativeMetrics[[#This Row],[Reward Multiplier]]*$C$5</f>
        <v>13400</v>
      </c>
      <c r="H22" s="313">
        <f>missionsDragonRelativeMetrics[[#This Row],[Reward Multiplier]]*$C$6</f>
        <v>20100</v>
      </c>
      <c r="I22" s="313">
        <f>missionsDragonRelativeMetrics[[#This Row],[Reward Multiplier]]*$C$7</f>
        <v>40200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80</v>
      </c>
      <c r="G23" s="313">
        <f>missionsDragonRelativeMetrics[[#This Row],[Reward Multiplier]]*$C$5</f>
        <v>16000</v>
      </c>
      <c r="H23" s="313">
        <f>missionsDragonRelativeMetrics[[#This Row],[Reward Multiplier]]*$C$6</f>
        <v>24000</v>
      </c>
      <c r="I23" s="313">
        <f>missionsDragonRelativeMetrics[[#This Row],[Reward Multiplier]]*$C$7</f>
        <v>48000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85</v>
      </c>
      <c r="G24" s="313">
        <f>missionsDragonRelativeMetrics[[#This Row],[Reward Multiplier]]*$C$5</f>
        <v>17000</v>
      </c>
      <c r="H24" s="313">
        <f>missionsDragonRelativeMetrics[[#This Row],[Reward Multiplier]]*$C$6</f>
        <v>25500</v>
      </c>
      <c r="I24" s="313">
        <f>missionsDragonRelativeMetrics[[#This Row],[Reward Multiplier]]*$C$7</f>
        <v>51000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90</v>
      </c>
      <c r="G25" s="313">
        <f>missionsDragonRelativeMetrics[[#This Row],[Reward Multiplier]]*$C$5</f>
        <v>18000</v>
      </c>
      <c r="H25" s="313">
        <f>missionsDragonRelativeMetrics[[#This Row],[Reward Multiplier]]*$C$6</f>
        <v>27000</v>
      </c>
      <c r="I25" s="313">
        <f>missionsDragonRelativeMetrics[[#This Row],[Reward Multiplier]]*$C$7</f>
        <v>54000</v>
      </c>
      <c r="J25" s="103">
        <v>3</v>
      </c>
    </row>
    <row r="26" spans="1:10" x14ac:dyDescent="0.25">
      <c r="A26" s="280" t="s">
        <v>408</v>
      </c>
      <c r="B26" s="314">
        <v>8.5</v>
      </c>
      <c r="E26" s="280" t="s">
        <v>408</v>
      </c>
      <c r="F26" s="314">
        <v>90</v>
      </c>
      <c r="G26" s="313">
        <f>missionsDragonRelativeMetrics[[#This Row],[Reward Multiplier]]*$C$5</f>
        <v>18000</v>
      </c>
      <c r="H26" s="313">
        <f>missionsDragonRelativeMetrics[[#This Row],[Reward Multiplier]]*$C$6</f>
        <v>27000</v>
      </c>
      <c r="I26" s="313">
        <f>missionsDragonRelativeMetrics[[#This Row],[Reward Multiplier]]*$C$7</f>
        <v>54000</v>
      </c>
      <c r="J26" s="103">
        <v>3</v>
      </c>
    </row>
    <row r="27" spans="1:10" x14ac:dyDescent="0.25">
      <c r="A27" s="280" t="s">
        <v>409</v>
      </c>
      <c r="B27" s="314">
        <v>8.5</v>
      </c>
      <c r="E27" s="280" t="s">
        <v>409</v>
      </c>
      <c r="F27" s="314">
        <v>90</v>
      </c>
      <c r="G27" s="313">
        <f>missionsDragonRelativeMetrics[[#This Row],[Reward Multiplier]]*$C$5</f>
        <v>18000</v>
      </c>
      <c r="H27" s="313">
        <f>missionsDragonRelativeMetrics[[#This Row],[Reward Multiplier]]*$C$6</f>
        <v>27000</v>
      </c>
      <c r="I27" s="313">
        <f>missionsDragonRelativeMetrics[[#This Row],[Reward Multiplier]]*$C$7</f>
        <v>54000</v>
      </c>
      <c r="J27" s="103">
        <v>3</v>
      </c>
    </row>
    <row r="28" spans="1:10" x14ac:dyDescent="0.25">
      <c r="A28" s="280" t="s">
        <v>410</v>
      </c>
      <c r="B28" s="314">
        <v>8.5</v>
      </c>
      <c r="E28" s="280" t="s">
        <v>410</v>
      </c>
      <c r="F28" s="314">
        <v>90</v>
      </c>
      <c r="G28" s="313">
        <f>missionsDragonRelativeMetrics[[#This Row],[Reward Multiplier]]*$C$5</f>
        <v>18000</v>
      </c>
      <c r="H28" s="313">
        <f>missionsDragonRelativeMetrics[[#This Row],[Reward Multiplier]]*$C$6</f>
        <v>27000</v>
      </c>
      <c r="I28" s="313">
        <f>missionsDragonRelativeMetrics[[#This Row],[Reward Multiplier]]*$C$7</f>
        <v>54000</v>
      </c>
      <c r="J28" s="103">
        <v>3</v>
      </c>
    </row>
    <row r="29" spans="1:10" x14ac:dyDescent="0.25">
      <c r="A29" s="280" t="s">
        <v>411</v>
      </c>
      <c r="B29" s="314">
        <v>8.5</v>
      </c>
      <c r="E29" s="280" t="s">
        <v>411</v>
      </c>
      <c r="F29" s="314">
        <v>90</v>
      </c>
      <c r="G29" s="313">
        <f>missionsDragonRelativeMetrics[[#This Row],[Reward Multiplier]]*$C$5</f>
        <v>18000</v>
      </c>
      <c r="H29" s="313">
        <f>missionsDragonRelativeMetrics[[#This Row],[Reward Multiplier]]*$C$6</f>
        <v>27000</v>
      </c>
      <c r="I29" s="313">
        <f>missionsDragonRelativeMetrics[[#This Row],[Reward Multiplier]]*$C$7</f>
        <v>54000</v>
      </c>
      <c r="J29" s="103">
        <v>3</v>
      </c>
    </row>
    <row r="30" spans="1:10" x14ac:dyDescent="0.25">
      <c r="A30" s="280" t="s">
        <v>412</v>
      </c>
      <c r="B30" s="314">
        <v>8.5</v>
      </c>
      <c r="E30" s="281" t="s">
        <v>412</v>
      </c>
      <c r="F30" s="314">
        <v>90</v>
      </c>
      <c r="G30" s="313">
        <f>missionsDragonRelativeMetrics[[#This Row],[Reward Multiplier]]*$C$5</f>
        <v>18000</v>
      </c>
      <c r="H30" s="313">
        <f>missionsDragonRelativeMetrics[[#This Row],[Reward Multiplier]]*$C$6</f>
        <v>27000</v>
      </c>
      <c r="I30" s="313">
        <f>missionsDragonRelativeMetrics[[#This Row],[Reward Multiplier]]*$C$7</f>
        <v>54000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413</v>
      </c>
    </row>
    <row r="43" spans="1:12" x14ac:dyDescent="0.25">
      <c r="G43" s="366" t="s">
        <v>136</v>
      </c>
      <c r="H43" s="366"/>
      <c r="I43" s="367" t="s">
        <v>137</v>
      </c>
      <c r="J43" s="368"/>
      <c r="K43" s="369" t="s">
        <v>138</v>
      </c>
      <c r="L43" s="370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16000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24000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48000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16000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24000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48000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16000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24000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48000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16000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24000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48000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16000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24000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48000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16000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24000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48000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16000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24000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48000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16000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24000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48000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16000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24000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48000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16000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24000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48000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16000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24000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48000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16000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24000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48000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16000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24000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48000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16000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24000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48000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16000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24000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48000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16000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24000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48000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16000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24000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48000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16000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24000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48000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16000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24000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48000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16000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24000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48000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16000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24000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48000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16000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24000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48000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16000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24000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48000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16000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24000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48000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16000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24000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48000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16000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24000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48000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16000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24000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48000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16000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24000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48000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16000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24000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48000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workbookViewId="0">
      <selection activeCell="F35" sqref="F3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1.1406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56" t="s">
        <v>490</v>
      </c>
    </row>
    <row r="11" spans="2:38" x14ac:dyDescent="0.25">
      <c r="Z11" s="123"/>
    </row>
    <row r="12" spans="2:38" x14ac:dyDescent="0.25">
      <c r="B12" s="371" t="s">
        <v>430</v>
      </c>
      <c r="C12" s="372"/>
      <c r="D12" s="373"/>
      <c r="J12" s="376" t="s">
        <v>486</v>
      </c>
      <c r="K12" s="377"/>
      <c r="L12" s="376" t="s">
        <v>487</v>
      </c>
      <c r="M12" s="377"/>
      <c r="N12" s="285"/>
      <c r="O12" s="285"/>
      <c r="P12" s="285"/>
      <c r="Q12" s="290"/>
      <c r="T12" s="378" t="s">
        <v>444</v>
      </c>
      <c r="U12" s="379"/>
      <c r="V12" s="380"/>
      <c r="W12" s="376" t="s">
        <v>450</v>
      </c>
      <c r="X12" s="377"/>
      <c r="Y12" s="376" t="s">
        <v>452</v>
      </c>
      <c r="Z12" s="377"/>
      <c r="AA12" s="376" t="s">
        <v>455</v>
      </c>
      <c r="AB12" s="377"/>
      <c r="AD12" s="376" t="s">
        <v>450</v>
      </c>
      <c r="AE12" s="377"/>
      <c r="AF12" s="376" t="s">
        <v>452</v>
      </c>
      <c r="AG12" s="377"/>
      <c r="AH12" s="376" t="s">
        <v>455</v>
      </c>
      <c r="AI12" s="377"/>
      <c r="AK12" s="376" t="s">
        <v>493</v>
      </c>
      <c r="AL12" s="377"/>
    </row>
    <row r="13" spans="2:38" x14ac:dyDescent="0.25">
      <c r="B13" s="293" t="s">
        <v>416</v>
      </c>
      <c r="C13" s="294" t="s">
        <v>420</v>
      </c>
      <c r="D13" s="321" t="s">
        <v>421</v>
      </c>
      <c r="E13" s="324" t="s">
        <v>462</v>
      </c>
      <c r="G13" s="334" t="s">
        <v>422</v>
      </c>
      <c r="H13" s="301" t="s">
        <v>451</v>
      </c>
      <c r="I13" s="351" t="s">
        <v>492</v>
      </c>
      <c r="J13" s="301" t="s">
        <v>459</v>
      </c>
      <c r="K13" s="334" t="s">
        <v>460</v>
      </c>
      <c r="L13" s="361" t="s">
        <v>481</v>
      </c>
      <c r="M13" s="351" t="s">
        <v>482</v>
      </c>
      <c r="N13" s="343" t="s">
        <v>491</v>
      </c>
      <c r="O13" s="301" t="s">
        <v>433</v>
      </c>
      <c r="P13" s="299" t="s">
        <v>432</v>
      </c>
      <c r="Q13" s="299" t="s">
        <v>473</v>
      </c>
      <c r="R13" s="334" t="s">
        <v>472</v>
      </c>
      <c r="S13" s="343" t="s">
        <v>435</v>
      </c>
      <c r="T13" s="301" t="s">
        <v>441</v>
      </c>
      <c r="U13" s="299" t="s">
        <v>442</v>
      </c>
      <c r="V13" s="33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15" t="s">
        <v>456</v>
      </c>
      <c r="AB13" s="315" t="s">
        <v>457</v>
      </c>
      <c r="AC13" s="334" t="s">
        <v>458</v>
      </c>
      <c r="AD13" s="315" t="s">
        <v>474</v>
      </c>
      <c r="AE13" s="315" t="s">
        <v>475</v>
      </c>
      <c r="AF13" s="315" t="s">
        <v>476</v>
      </c>
      <c r="AG13" s="315" t="s">
        <v>477</v>
      </c>
      <c r="AH13" s="315" t="s">
        <v>478</v>
      </c>
      <c r="AI13" s="299" t="s">
        <v>479</v>
      </c>
      <c r="AJ13" s="319" t="s">
        <v>480</v>
      </c>
      <c r="AK13" s="299" t="s">
        <v>488</v>
      </c>
      <c r="AL13" s="299" t="s">
        <v>489</v>
      </c>
    </row>
    <row r="14" spans="2:38" x14ac:dyDescent="0.25">
      <c r="B14" s="284">
        <v>1</v>
      </c>
      <c r="C14" s="304" t="s">
        <v>418</v>
      </c>
      <c r="D14" s="322">
        <v>100</v>
      </c>
      <c r="E14" s="325">
        <v>100</v>
      </c>
      <c r="G14" s="359" t="s">
        <v>92</v>
      </c>
      <c r="H14" s="363">
        <f>Table6[[#This Row],[TOTAL COINS]] +Table6[[#This Row],[COINS IN RUNS PER DAY]]</f>
        <v>6757</v>
      </c>
      <c r="I14" s="352">
        <f>Table6[[#This Row],[TOTAL COINS NEW]] + Table6[[#This Row],[COINS IN RUNS PER DAY]]</f>
        <v>6048</v>
      </c>
      <c r="J14" s="350">
        <f>Table6[[#This Row],[CHESTS COINS]] + Table6[[#This Row],[DAILY COINS]]+Table6[[#This Row],[LEAGUES COINS]]+Table6[[#This Row],[MISSIONS COINS]]</f>
        <v>5057</v>
      </c>
      <c r="K14" s="342">
        <f>Table6[[#This Row],[CHESTS GEMS]]+Table6[[#This Row],[DAILY GEMS]]+Table6[[#This Row],[LEAGUES GEMS]]</f>
        <v>3.9</v>
      </c>
      <c r="L14" s="362">
        <f>Table6[[#This Row],[CHESTS COINS NEW]] +Table6[[#This Row],[DAILY COINS NEW]] +Table6[[#This Row],[LEAGUES COINS NEW]] +Table6[[#This Row],[MISSIONS COINS NEW]]</f>
        <v>4348</v>
      </c>
      <c r="M14" s="352">
        <f>Table6[[#This Row],[CHESTS GEMS NEW]] +Table6[[#This Row],[DAILY GEMS NEW]] +Table6[[#This Row],[LEAGUES GEMS NEW]]</f>
        <v>3.9</v>
      </c>
      <c r="N14" s="357">
        <f>Table6[[#This Row],[COINS PER RUN]] *Table6[[#This Row],[RUNS PER DAY]]</f>
        <v>1700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107">
        <v>1</v>
      </c>
      <c r="U14" s="107">
        <v>1</v>
      </c>
      <c r="V14" s="346">
        <v>1</v>
      </c>
      <c r="W14" s="316">
        <f>Table6[[#This Row],[CHEST REW. MOD.]]*($D$14+$D$15+$D$16)</f>
        <v>1200</v>
      </c>
      <c r="X14" s="312">
        <f t="shared" ref="X14:X31" si="0">$D$17+$D$18</f>
        <v>3</v>
      </c>
      <c r="Y14" s="312">
        <f>ROUND((Table6[[#This Row],[DAILY REW. MOD.]]*($D$24+$D$26+$D$28))/7,0)</f>
        <v>571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/$C$35,0)</f>
        <v>1086</v>
      </c>
      <c r="AB14" s="317">
        <f>ROUND((INDEX(Table12[AVG GEMS],MATCH(Table6[[#This Row],[LEAGUE]],Table12[LEAGUE],0))) /$C$35,2)</f>
        <v>0</v>
      </c>
      <c r="AC1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2200</v>
      </c>
      <c r="AD14" s="318">
        <f>Table6[[#This Row],[CHEST REW. MOD. NEW]]*($D$14+$D$15+$D$16)</f>
        <v>1200</v>
      </c>
      <c r="AE14" s="318">
        <f>$E$17+$E$18</f>
        <v>3</v>
      </c>
      <c r="AF14" s="318">
        <f>ROUND((Table6[[#This Row],[DAILY REW. MOD. NEW]]*($D$24+$D$26+$D$28))/7,0)</f>
        <v>571</v>
      </c>
      <c r="AG14" s="318">
        <f>ROUND(($E$25+$E$27+$E$29)/7,1)</f>
        <v>0.9</v>
      </c>
      <c r="AH14" s="318">
        <f>ROUND((INDEX(Table12[AVG COINS NEW],MATCH(Table6[[#This Row],[LEAGUE]],Table12[LEAGUE],0))) /$C$36,0)</f>
        <v>377</v>
      </c>
      <c r="AI14" s="318">
        <f>ROUND((INDEX(Table12[AVG GEMS NEW],MATCH(Table6[[#This Row],[LEAGUE]],Table12[LEAGUE],0))) / $C$36,2)</f>
        <v>0</v>
      </c>
      <c r="AJ1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2200</v>
      </c>
      <c r="AK14" s="354">
        <v>1700</v>
      </c>
      <c r="AL14" s="355">
        <v>1</v>
      </c>
    </row>
    <row r="15" spans="2:38" x14ac:dyDescent="0.25">
      <c r="B15" s="282">
        <v>2</v>
      </c>
      <c r="C15" s="304" t="s">
        <v>418</v>
      </c>
      <c r="D15" s="323">
        <v>200</v>
      </c>
      <c r="E15" s="326">
        <v>150</v>
      </c>
      <c r="G15" s="358" t="s">
        <v>93</v>
      </c>
      <c r="H15" s="362">
        <f>Table6[[#This Row],[TOTAL COINS]] +Table6[[#This Row],[COINS IN RUNS PER DAY]]</f>
        <v>15223</v>
      </c>
      <c r="I15" s="352">
        <f>Table6[[#This Row],[TOTAL COINS NEW]] + Table6[[#This Row],[COINS IN RUNS PER DAY]]</f>
        <v>13624</v>
      </c>
      <c r="J15" s="350">
        <f>Table6[[#This Row],[CHESTS COINS]] + Table6[[#This Row],[DAILY COINS]]+Table6[[#This Row],[LEAGUES COINS]]+Table6[[#This Row],[MISSIONS COINS]]</f>
        <v>14143</v>
      </c>
      <c r="K15" s="342">
        <f>Table6[[#This Row],[CHESTS GEMS]]+Table6[[#This Row],[DAILY GEMS]]+Table6[[#This Row],[LEAGUES GEMS]]</f>
        <v>3.9</v>
      </c>
      <c r="L15" s="362">
        <f>Table6[[#This Row],[CHESTS COINS NEW]] +Table6[[#This Row],[DAILY COINS NEW]] +Table6[[#This Row],[LEAGUES COINS NEW]] +Table6[[#This Row],[MISSIONS COINS NEW]]</f>
        <v>12544</v>
      </c>
      <c r="M15" s="352">
        <f>Table6[[#This Row],[CHESTS GEMS NEW]] +Table6[[#This Row],[DAILY GEMS NEW]] +Table6[[#This Row],[LEAGUES GEMS NEW]]</f>
        <v>3.9</v>
      </c>
      <c r="N15" s="357">
        <f>Table6[[#This Row],[COINS PER RUN]] *Table6[[#This Row],[RUNS PER DAY]]</f>
        <v>1080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107">
        <v>1</v>
      </c>
      <c r="U15" s="107">
        <v>1</v>
      </c>
      <c r="V15" s="347">
        <v>1</v>
      </c>
      <c r="W15" s="316">
        <f>Table6[[#This Row],[CHEST REW. MOD.]]*($D$14+$D$15+$D$16)</f>
        <v>3600</v>
      </c>
      <c r="X15" s="312">
        <f t="shared" si="0"/>
        <v>3</v>
      </c>
      <c r="Y15" s="312">
        <f>ROUND((Table6[[#This Row],[DAILY REW. MOD.]]*($D$24+$D$26+$D$28))/7,0)</f>
        <v>1714</v>
      </c>
      <c r="Z15" s="312">
        <f t="shared" si="1"/>
        <v>0.9</v>
      </c>
      <c r="AA15" s="317">
        <f>ROUND((INDEX(Table12[AVG COINS],MATCH(Table6[[#This Row],[LEAGUE]],Table12[LEAGUE],0))) /$C$35,0)</f>
        <v>2229</v>
      </c>
      <c r="AB15" s="317">
        <f>ROUND((INDEX(Table12[AVG GEMS],MATCH(Table6[[#This Row],[LEAGUE]],Table12[LEAGUE],0))) /$C$35,2)</f>
        <v>0</v>
      </c>
      <c r="AC1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6600</v>
      </c>
      <c r="AD15" s="318">
        <f>Table6[[#This Row],[CHEST REW. MOD. NEW]]*($D$14+$D$15+$D$16)</f>
        <v>3600</v>
      </c>
      <c r="AE15" s="318">
        <f t="shared" ref="AE15:AE31" si="2">$E$17+$E$18</f>
        <v>3</v>
      </c>
      <c r="AF15" s="318">
        <f>ROUND((Table6[[#This Row],[DAILY REW. MOD. NEW]]*($D$24+$D$26+$D$28))/7,0)</f>
        <v>1714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630</v>
      </c>
      <c r="AI15" s="318">
        <f>ROUND((INDEX(Table12[AVG GEMS NEW],MATCH(Table6[[#This Row],[LEAGUE]],Table12[LEAGUE],0))) / $C$36,2)</f>
        <v>0</v>
      </c>
      <c r="AJ1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6600</v>
      </c>
      <c r="AK15" s="354">
        <v>1080</v>
      </c>
      <c r="AL15" s="355">
        <v>1</v>
      </c>
    </row>
    <row r="16" spans="2:38" x14ac:dyDescent="0.25">
      <c r="B16" s="282">
        <v>3</v>
      </c>
      <c r="C16" s="304" t="s">
        <v>418</v>
      </c>
      <c r="D16" s="323">
        <v>300</v>
      </c>
      <c r="E16" s="326">
        <v>200</v>
      </c>
      <c r="G16" s="358" t="s">
        <v>94</v>
      </c>
      <c r="H16" s="362">
        <f>Table6[[#This Row],[TOTAL COINS]] +Table6[[#This Row],[COINS IN RUNS PER DAY]]</f>
        <v>28302</v>
      </c>
      <c r="I16" s="352">
        <f>Table6[[#This Row],[TOTAL COINS NEW]] + Table6[[#This Row],[COINS IN RUNS PER DAY]]</f>
        <v>26409</v>
      </c>
      <c r="J16" s="350">
        <f>Table6[[#This Row],[CHESTS COINS]] + Table6[[#This Row],[DAILY COINS]]+Table6[[#This Row],[LEAGUES COINS]]+Table6[[#This Row],[MISSIONS COINS]]</f>
        <v>26643</v>
      </c>
      <c r="K16" s="342">
        <f>Table6[[#This Row],[CHESTS GEMS]]+Table6[[#This Row],[DAILY GEMS]]+Table6[[#This Row],[LEAGUES GEMS]]</f>
        <v>3.9</v>
      </c>
      <c r="L16" s="362">
        <f>Table6[[#This Row],[CHESTS COINS NEW]] +Table6[[#This Row],[DAILY COINS NEW]] +Table6[[#This Row],[LEAGUES COINS NEW]] +Table6[[#This Row],[MISSIONS COINS NEW]]</f>
        <v>24750</v>
      </c>
      <c r="M16" s="352">
        <f>Table6[[#This Row],[CHESTS GEMS NEW]] +Table6[[#This Row],[DAILY GEMS NEW]] +Table6[[#This Row],[LEAGUES GEMS NEW]]</f>
        <v>3.9</v>
      </c>
      <c r="N16" s="357">
        <f>Table6[[#This Row],[COINS PER RUN]] *Table6[[#This Row],[RUNS PER DAY]]</f>
        <v>1659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107">
        <v>1</v>
      </c>
      <c r="U16" s="107">
        <v>1</v>
      </c>
      <c r="V16" s="347">
        <v>1</v>
      </c>
      <c r="W16" s="316">
        <f>Table6[[#This Row],[CHEST REW. MOD.]]*($D$14+$D$15+$D$16)</f>
        <v>7200</v>
      </c>
      <c r="X16" s="312">
        <f t="shared" si="0"/>
        <v>3</v>
      </c>
      <c r="Y16" s="312">
        <f>ROUND((Table6[[#This Row],[DAILY REW. MOD.]]*($D$24+$D$26+$D$28))/7,0)</f>
        <v>2857</v>
      </c>
      <c r="Z16" s="312">
        <f t="shared" si="1"/>
        <v>0.9</v>
      </c>
      <c r="AA16" s="317">
        <f>ROUND((INDEX(Table12[AVG COINS],MATCH(Table6[[#This Row],[LEAGUE]],Table12[LEAGUE],0))) /$C$35,0)</f>
        <v>3386</v>
      </c>
      <c r="AB16" s="317">
        <f>ROUND((INDEX(Table12[AVG GEMS],MATCH(Table6[[#This Row],[LEAGUE]],Table12[LEAGUE],0))) /$C$35,2)</f>
        <v>0</v>
      </c>
      <c r="AC1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13200</v>
      </c>
      <c r="AD16" s="318">
        <f>Table6[[#This Row],[CHEST REW. MOD. NEW]]*($D$14+$D$15+$D$16)</f>
        <v>7200</v>
      </c>
      <c r="AE16" s="318">
        <f t="shared" si="2"/>
        <v>3</v>
      </c>
      <c r="AF16" s="318">
        <f>ROUND((Table6[[#This Row],[DAILY REW. MOD. NEW]]*($D$24+$D$26+$D$28))/7,0)</f>
        <v>2857</v>
      </c>
      <c r="AG16" s="318">
        <f t="shared" si="3"/>
        <v>0.9</v>
      </c>
      <c r="AH16" s="318">
        <f>ROUND((INDEX(Table12[AVG COINS NEW],MATCH(Table6[[#This Row],[LEAGUE]],Table12[LEAGUE],0))) /$C$36,0)</f>
        <v>1493</v>
      </c>
      <c r="AI16" s="318">
        <f>ROUND((INDEX(Table12[AVG GEMS NEW],MATCH(Table6[[#This Row],[LEAGUE]],Table12[LEAGUE],0))) / $C$36,2)</f>
        <v>0</v>
      </c>
      <c r="AJ1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13200</v>
      </c>
      <c r="AK16" s="354">
        <v>1659</v>
      </c>
      <c r="AL16" s="355">
        <v>1</v>
      </c>
    </row>
    <row r="17" spans="2:38" x14ac:dyDescent="0.25">
      <c r="B17" s="282">
        <v>4</v>
      </c>
      <c r="C17" s="304" t="s">
        <v>419</v>
      </c>
      <c r="D17" s="323">
        <v>1</v>
      </c>
      <c r="E17" s="326">
        <v>1</v>
      </c>
      <c r="G17" s="358" t="s">
        <v>95</v>
      </c>
      <c r="H17" s="362">
        <f>Table6[[#This Row],[TOTAL COINS]] +Table6[[#This Row],[COINS IN RUNS PER DAY]]</f>
        <v>42850</v>
      </c>
      <c r="I17" s="352">
        <f>Table6[[#This Row],[TOTAL COINS NEW]] + Table6[[#This Row],[COINS IN RUNS PER DAY]]</f>
        <v>40114</v>
      </c>
      <c r="J17" s="350">
        <f>Table6[[#This Row],[CHESTS COINS]] + Table6[[#This Row],[DAILY COINS]]+Table6[[#This Row],[LEAGUES COINS]]+Table6[[#This Row],[MISSIONS COINS]]</f>
        <v>39857</v>
      </c>
      <c r="K17" s="342">
        <f>Table6[[#This Row],[CHESTS GEMS]]+Table6[[#This Row],[DAILY GEMS]]+Table6[[#This Row],[LEAGUES GEMS]]</f>
        <v>3.9</v>
      </c>
      <c r="L17" s="362">
        <f>Table6[[#This Row],[CHESTS COINS NEW]] +Table6[[#This Row],[DAILY COINS NEW]] +Table6[[#This Row],[LEAGUES COINS NEW]] +Table6[[#This Row],[MISSIONS COINS NEW]]</f>
        <v>37121</v>
      </c>
      <c r="M17" s="352">
        <f>Table6[[#This Row],[CHESTS GEMS NEW]] +Table6[[#This Row],[DAILY GEMS NEW]] +Table6[[#This Row],[LEAGUES GEMS NEW]]</f>
        <v>3.9</v>
      </c>
      <c r="N17" s="357">
        <f>Table6[[#This Row],[COINS PER RUN]] *Table6[[#This Row],[RUNS PER DAY]]</f>
        <v>2993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107">
        <v>1</v>
      </c>
      <c r="U17" s="107">
        <v>1</v>
      </c>
      <c r="V17" s="347">
        <v>1</v>
      </c>
      <c r="W17" s="316">
        <f>Table6[[#This Row],[CHEST REW. MOD.]]*($D$14+$D$15+$D$16)</f>
        <v>10800</v>
      </c>
      <c r="X17" s="312">
        <f t="shared" si="0"/>
        <v>3</v>
      </c>
      <c r="Y17" s="312">
        <f>ROUND((Table6[[#This Row],[DAILY REW. MOD.]]*($D$24+$D$26+$D$28))/7,0)</f>
        <v>4286</v>
      </c>
      <c r="Z17" s="312">
        <f t="shared" si="1"/>
        <v>0.9</v>
      </c>
      <c r="AA17" s="317">
        <f>ROUND((INDEX(Table12[AVG COINS],MATCH(Table6[[#This Row],[LEAGUE]],Table12[LEAGUE],0))) /$C$35,0)</f>
        <v>4971</v>
      </c>
      <c r="AB17" s="317">
        <f>ROUND((INDEX(Table12[AVG GEMS],MATCH(Table6[[#This Row],[LEAGUE]],Table12[LEAGUE],0))) /$C$35,2)</f>
        <v>0</v>
      </c>
      <c r="AC1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19800</v>
      </c>
      <c r="AD17" s="318">
        <f>Table6[[#This Row],[CHEST REW. MOD. NEW]]*($D$14+$D$15+$D$16)</f>
        <v>10800</v>
      </c>
      <c r="AE17" s="318">
        <f t="shared" si="2"/>
        <v>3</v>
      </c>
      <c r="AF17" s="318">
        <f>ROUND((Table6[[#This Row],[DAILY REW. MOD. NEW]]*($D$24+$D$26+$D$28))/7,0)</f>
        <v>4286</v>
      </c>
      <c r="AG17" s="318">
        <f t="shared" si="3"/>
        <v>0.9</v>
      </c>
      <c r="AH17" s="318">
        <f>ROUND((INDEX(Table12[AVG COINS NEW],MATCH(Table6[[#This Row],[LEAGUE]],Table12[LEAGUE],0))) /$C$36,0)</f>
        <v>2235</v>
      </c>
      <c r="AI17" s="318">
        <f>ROUND((INDEX(Table12[AVG GEMS NEW],MATCH(Table6[[#This Row],[LEAGUE]],Table12[LEAGUE],0))) / $C$36,2)</f>
        <v>0</v>
      </c>
      <c r="AJ1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19800</v>
      </c>
      <c r="AK17" s="354">
        <v>2993</v>
      </c>
      <c r="AL17" s="355">
        <v>1</v>
      </c>
    </row>
    <row r="18" spans="2:38" x14ac:dyDescent="0.25">
      <c r="B18" s="282">
        <v>5</v>
      </c>
      <c r="C18" s="304" t="s">
        <v>419</v>
      </c>
      <c r="D18" s="323">
        <v>2</v>
      </c>
      <c r="E18" s="326">
        <v>2</v>
      </c>
      <c r="G18" s="358" t="s">
        <v>96</v>
      </c>
      <c r="H18" s="362">
        <f>Table6[[#This Row],[TOTAL COINS]] +Table6[[#This Row],[COINS IN RUNS PER DAY]]</f>
        <v>61189</v>
      </c>
      <c r="I18" s="352">
        <f>Table6[[#This Row],[TOTAL COINS NEW]] + Table6[[#This Row],[COINS IN RUNS PER DAY]]</f>
        <v>57953</v>
      </c>
      <c r="J18" s="350">
        <f>Table6[[#This Row],[CHESTS COINS]] + Table6[[#This Row],[DAILY COINS]]+Table6[[#This Row],[LEAGUES COINS]]+Table6[[#This Row],[MISSIONS COINS]]</f>
        <v>56128</v>
      </c>
      <c r="K18" s="342">
        <f>Table6[[#This Row],[CHESTS GEMS]]+Table6[[#This Row],[DAILY GEMS]]+Table6[[#This Row],[LEAGUES GEMS]]</f>
        <v>3.9</v>
      </c>
      <c r="L18" s="362">
        <f>Table6[[#This Row],[CHESTS COINS NEW]] +Table6[[#This Row],[DAILY COINS NEW]] +Table6[[#This Row],[LEAGUES COINS NEW]] +Table6[[#This Row],[MISSIONS COINS NEW]]</f>
        <v>52892</v>
      </c>
      <c r="M18" s="352">
        <f>Table6[[#This Row],[CHESTS GEMS NEW]] +Table6[[#This Row],[DAILY GEMS NEW]] +Table6[[#This Row],[LEAGUES GEMS NEW]]</f>
        <v>3.9</v>
      </c>
      <c r="N18" s="357">
        <f>Table6[[#This Row],[COINS PER RUN]] *Table6[[#This Row],[RUNS PER DAY]]</f>
        <v>5061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107">
        <v>1</v>
      </c>
      <c r="U18" s="107">
        <v>1</v>
      </c>
      <c r="V18" s="347">
        <v>1</v>
      </c>
      <c r="W18" s="316">
        <f>Table6[[#This Row],[CHEST REW. MOD.]]*($D$14+$D$15+$D$16)</f>
        <v>15600</v>
      </c>
      <c r="X18" s="312">
        <f t="shared" si="0"/>
        <v>3</v>
      </c>
      <c r="Y18" s="312">
        <f>ROUND((Table6[[#This Row],[DAILY REW. MOD.]]*($D$24+$D$26+$D$28))/7,0)</f>
        <v>5714</v>
      </c>
      <c r="Z18" s="312">
        <f t="shared" si="1"/>
        <v>0.9</v>
      </c>
      <c r="AA18" s="317">
        <f>ROUND((INDEX(Table12[AVG COINS],MATCH(Table6[[#This Row],[LEAGUE]],Table12[LEAGUE],0))) /$C$35,0)</f>
        <v>6214</v>
      </c>
      <c r="AB18" s="317">
        <f>ROUND((INDEX(Table12[AVG GEMS],MATCH(Table6[[#This Row],[LEAGUE]],Table12[LEAGUE],0))) /$C$35,2)</f>
        <v>0</v>
      </c>
      <c r="AC1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28600</v>
      </c>
      <c r="AD18" s="318">
        <f>Table6[[#This Row],[CHEST REW. MOD. NEW]]*($D$14+$D$15+$D$16)</f>
        <v>15600</v>
      </c>
      <c r="AE18" s="318">
        <f t="shared" si="2"/>
        <v>3</v>
      </c>
      <c r="AF18" s="318">
        <f>ROUND((Table6[[#This Row],[DAILY REW. MOD. NEW]]*($D$24+$D$26+$D$28))/7,0)</f>
        <v>5714</v>
      </c>
      <c r="AG18" s="318">
        <f t="shared" si="3"/>
        <v>0.9</v>
      </c>
      <c r="AH18" s="318">
        <f>ROUND((INDEX(Table12[AVG COINS NEW],MATCH(Table6[[#This Row],[LEAGUE]],Table12[LEAGUE],0))) /$C$36,0)</f>
        <v>2978</v>
      </c>
      <c r="AI18" s="318">
        <f>ROUND((INDEX(Table12[AVG GEMS NEW],MATCH(Table6[[#This Row],[LEAGUE]],Table12[LEAGUE],0))) / $C$36,2)</f>
        <v>0</v>
      </c>
      <c r="AJ1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28600</v>
      </c>
      <c r="AK18" s="354">
        <v>5061</v>
      </c>
      <c r="AL18" s="355">
        <v>1</v>
      </c>
    </row>
    <row r="19" spans="2:38" x14ac:dyDescent="0.25">
      <c r="G19" s="358" t="s">
        <v>97</v>
      </c>
      <c r="H19" s="362">
        <f>Table6[[#This Row],[TOTAL COINS]] +Table6[[#This Row],[COINS IN RUNS PER DAY]]</f>
        <v>81431</v>
      </c>
      <c r="I19" s="352">
        <f>Table6[[#This Row],[TOTAL COINS NEW]] + Table6[[#This Row],[COINS IN RUNS PER DAY]]</f>
        <v>76523</v>
      </c>
      <c r="J19" s="350">
        <f>Table6[[#This Row],[CHESTS COINS]] + Table6[[#This Row],[DAILY COINS]]+Table6[[#This Row],[LEAGUES COINS]]+Table6[[#This Row],[MISSIONS COINS]]</f>
        <v>75271</v>
      </c>
      <c r="K19" s="342">
        <f>Table6[[#This Row],[CHESTS GEMS]]+Table6[[#This Row],[DAILY GEMS]]+Table6[[#This Row],[LEAGUES GEMS]]</f>
        <v>3.9</v>
      </c>
      <c r="L19" s="362">
        <f>Table6[[#This Row],[CHESTS COINS NEW]] +Table6[[#This Row],[DAILY COINS NEW]] +Table6[[#This Row],[LEAGUES COINS NEW]] +Table6[[#This Row],[MISSIONS COINS NEW]]</f>
        <v>70363</v>
      </c>
      <c r="M19" s="352">
        <f>Table6[[#This Row],[CHESTS GEMS NEW]] +Table6[[#This Row],[DAILY GEMS NEW]] +Table6[[#This Row],[LEAGUES GEMS NEW]]</f>
        <v>3.9</v>
      </c>
      <c r="N19" s="357">
        <f>Table6[[#This Row],[COINS PER RUN]] *Table6[[#This Row],[RUNS PER DAY]]</f>
        <v>6160</v>
      </c>
      <c r="O19" s="341">
        <v>35</v>
      </c>
      <c r="P19" s="341">
        <v>30</v>
      </c>
      <c r="Q19" s="292">
        <v>35</v>
      </c>
      <c r="R19" s="339">
        <v>25</v>
      </c>
      <c r="S19" s="345">
        <v>6</v>
      </c>
      <c r="T19" s="107">
        <v>1</v>
      </c>
      <c r="U19" s="107">
        <v>1</v>
      </c>
      <c r="V19" s="347">
        <v>1</v>
      </c>
      <c r="W19" s="316">
        <f>Table6[[#This Row],[CHEST REW. MOD.]]*($D$14+$D$15+$D$16)</f>
        <v>21000</v>
      </c>
      <c r="X19" s="312">
        <f t="shared" si="0"/>
        <v>3</v>
      </c>
      <c r="Y19" s="312">
        <f>ROUND((Table6[[#This Row],[DAILY REW. MOD.]]*($D$24+$D$26+$D$28))/7,0)</f>
        <v>8571</v>
      </c>
      <c r="Z19" s="312">
        <f t="shared" si="1"/>
        <v>0.9</v>
      </c>
      <c r="AA19" s="317">
        <f>ROUND((INDEX(Table12[AVG COINS],MATCH(Table6[[#This Row],[LEAGUE]],Table12[LEAGUE],0))) /$C$35,0)</f>
        <v>7200</v>
      </c>
      <c r="AB19" s="317">
        <f>ROUND((INDEX(Table12[AVG GEMS],MATCH(Table6[[#This Row],[LEAGUE]],Table12[LEAGUE],0))) /$C$35,2)</f>
        <v>0</v>
      </c>
      <c r="AC1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38500</v>
      </c>
      <c r="AD19" s="318">
        <f>Table6[[#This Row],[CHEST REW. MOD. NEW]]*($D$14+$D$15+$D$16)</f>
        <v>21000</v>
      </c>
      <c r="AE19" s="318">
        <f t="shared" si="2"/>
        <v>3</v>
      </c>
      <c r="AF19" s="318">
        <f>ROUND((Table6[[#This Row],[DAILY REW. MOD. NEW]]*($D$24+$D$26+$D$28))/7,0)</f>
        <v>7143</v>
      </c>
      <c r="AG19" s="318">
        <f t="shared" si="3"/>
        <v>0.9</v>
      </c>
      <c r="AH19" s="318">
        <f>ROUND((INDEX(Table12[AVG COINS NEW],MATCH(Table6[[#This Row],[LEAGUE]],Table12[LEAGUE],0))) /$C$36,0)</f>
        <v>3720</v>
      </c>
      <c r="AI19" s="318">
        <f>ROUND((INDEX(Table12[AVG GEMS NEW],MATCH(Table6[[#This Row],[LEAGUE]],Table12[LEAGUE],0))) / $C$36,2)</f>
        <v>0</v>
      </c>
      <c r="AJ1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38500</v>
      </c>
      <c r="AK19" s="354">
        <v>6160</v>
      </c>
      <c r="AL19" s="355">
        <v>1</v>
      </c>
    </row>
    <row r="20" spans="2:38" x14ac:dyDescent="0.25">
      <c r="G20" s="358" t="s">
        <v>98</v>
      </c>
      <c r="H20" s="362">
        <f>Table6[[#This Row],[TOTAL COINS]] +Table6[[#This Row],[COINS IN RUNS PER DAY]]</f>
        <v>108405</v>
      </c>
      <c r="I20" s="352">
        <f>Table6[[#This Row],[TOTAL COINS NEW]] + Table6[[#This Row],[COINS IN RUNS PER DAY]]</f>
        <v>101724</v>
      </c>
      <c r="J20" s="350">
        <f>Table6[[#This Row],[CHESTS COINS]] + Table6[[#This Row],[DAILY COINS]]+Table6[[#This Row],[LEAGUES COINS]]+Table6[[#This Row],[MISSIONS COINS]]</f>
        <v>96215</v>
      </c>
      <c r="K20" s="342">
        <f>Table6[[#This Row],[CHESTS GEMS]]+Table6[[#This Row],[DAILY GEMS]]+Table6[[#This Row],[LEAGUES GEMS]]</f>
        <v>3.9</v>
      </c>
      <c r="L20" s="362">
        <f>Table6[[#This Row],[CHESTS COINS NEW]] +Table6[[#This Row],[DAILY COINS NEW]] +Table6[[#This Row],[LEAGUES COINS NEW]] +Table6[[#This Row],[MISSIONS COINS NEW]]</f>
        <v>89534</v>
      </c>
      <c r="M20" s="352">
        <f>Table6[[#This Row],[CHESTS GEMS NEW]] +Table6[[#This Row],[DAILY GEMS NEW]] +Table6[[#This Row],[LEAGUES GEMS NEW]]</f>
        <v>3.9</v>
      </c>
      <c r="N20" s="357">
        <f>Table6[[#This Row],[COINS PER RUN]] *Table6[[#This Row],[RUNS PER DAY]]</f>
        <v>12190</v>
      </c>
      <c r="O20" s="341">
        <v>45</v>
      </c>
      <c r="P20" s="341">
        <v>40</v>
      </c>
      <c r="Q20" s="292">
        <v>45</v>
      </c>
      <c r="R20" s="339">
        <v>30</v>
      </c>
      <c r="S20" s="345">
        <v>7</v>
      </c>
      <c r="T20" s="107">
        <v>1</v>
      </c>
      <c r="U20" s="107">
        <v>1</v>
      </c>
      <c r="V20" s="347">
        <v>1</v>
      </c>
      <c r="W20" s="316">
        <f>Table6[[#This Row],[CHEST REW. MOD.]]*($D$14+$D$15+$D$16)</f>
        <v>27000</v>
      </c>
      <c r="X20" s="312">
        <f t="shared" si="0"/>
        <v>3</v>
      </c>
      <c r="Y20" s="312">
        <f>ROUND((Table6[[#This Row],[DAILY REW. MOD.]]*($D$24+$D$26+$D$28))/7,0)</f>
        <v>11429</v>
      </c>
      <c r="Z20" s="312">
        <f t="shared" si="1"/>
        <v>0.9</v>
      </c>
      <c r="AA20" s="317">
        <f>ROUND((INDEX(Table12[AVG COINS],MATCH(Table6[[#This Row],[LEAGUE]],Table12[LEAGUE],0))) /$C$35,0)</f>
        <v>8286</v>
      </c>
      <c r="AB20" s="317">
        <f>ROUND((INDEX(Table12[AVG GEMS],MATCH(Table6[[#This Row],[LEAGUE]],Table12[LEAGUE],0))) /$C$35,2)</f>
        <v>0</v>
      </c>
      <c r="AC2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49500</v>
      </c>
      <c r="AD20" s="318">
        <f>Table6[[#This Row],[CHEST REW. MOD. NEW]]*($D$14+$D$15+$D$16)</f>
        <v>27000</v>
      </c>
      <c r="AE20" s="318">
        <f t="shared" si="2"/>
        <v>3</v>
      </c>
      <c r="AF20" s="318">
        <f>ROUND((Table6[[#This Row],[DAILY REW. MOD. NEW]]*($D$24+$D$26+$D$28))/7,0)</f>
        <v>8571</v>
      </c>
      <c r="AG20" s="318">
        <f t="shared" si="3"/>
        <v>0.9</v>
      </c>
      <c r="AH20" s="318">
        <f>ROUND((INDEX(Table12[AVG COINS NEW],MATCH(Table6[[#This Row],[LEAGUE]],Table12[LEAGUE],0))) /$C$36,0)</f>
        <v>4463</v>
      </c>
      <c r="AI20" s="318">
        <f>ROUND((INDEX(Table12[AVG GEMS NEW],MATCH(Table6[[#This Row],[LEAGUE]],Table12[LEAGUE],0))) / $C$36,2)</f>
        <v>0</v>
      </c>
      <c r="AJ2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49500</v>
      </c>
      <c r="AK20" s="354">
        <v>12190</v>
      </c>
      <c r="AL20" s="355">
        <v>1</v>
      </c>
    </row>
    <row r="21" spans="2:38" x14ac:dyDescent="0.25">
      <c r="G21" s="358" t="s">
        <v>99</v>
      </c>
      <c r="H21" s="362">
        <f>Table6[[#This Row],[TOTAL COINS]] +Table6[[#This Row],[COINS IN RUNS PER DAY]]</f>
        <v>130900</v>
      </c>
      <c r="I21" s="352">
        <f>Table6[[#This Row],[TOTAL COINS NEW]] + Table6[[#This Row],[COINS IN RUNS PER DAY]]</f>
        <v>121846</v>
      </c>
      <c r="J21" s="350">
        <f>Table6[[#This Row],[CHESTS COINS]] + Table6[[#This Row],[DAILY COINS]]+Table6[[#This Row],[LEAGUES COINS]]+Table6[[#This Row],[MISSIONS COINS]]</f>
        <v>119229</v>
      </c>
      <c r="K21" s="342">
        <f>Table6[[#This Row],[CHESTS GEMS]]+Table6[[#This Row],[DAILY GEMS]]+Table6[[#This Row],[LEAGUES GEMS]]</f>
        <v>3.9</v>
      </c>
      <c r="L21" s="362">
        <f>Table6[[#This Row],[CHESTS COINS NEW]] +Table6[[#This Row],[DAILY COINS NEW]] +Table6[[#This Row],[LEAGUES COINS NEW]] +Table6[[#This Row],[MISSIONS COINS NEW]]</f>
        <v>110175</v>
      </c>
      <c r="M21" s="352">
        <f>Table6[[#This Row],[CHESTS GEMS NEW]] +Table6[[#This Row],[DAILY GEMS NEW]] +Table6[[#This Row],[LEAGUES GEMS NEW]]</f>
        <v>4</v>
      </c>
      <c r="N21" s="357">
        <f>Table6[[#This Row],[COINS PER RUN]] *Table6[[#This Row],[RUNS PER DAY]]</f>
        <v>11671</v>
      </c>
      <c r="O21" s="341">
        <v>56</v>
      </c>
      <c r="P21" s="341">
        <v>50</v>
      </c>
      <c r="Q21" s="292">
        <v>56</v>
      </c>
      <c r="R21" s="339">
        <v>35</v>
      </c>
      <c r="S21" s="345">
        <v>8</v>
      </c>
      <c r="T21" s="107">
        <v>1</v>
      </c>
      <c r="U21" s="107">
        <v>1</v>
      </c>
      <c r="V21" s="347">
        <v>1</v>
      </c>
      <c r="W21" s="316">
        <f>Table6[[#This Row],[CHEST REW. MOD.]]*($D$14+$D$15+$D$16)</f>
        <v>33600</v>
      </c>
      <c r="X21" s="312">
        <f t="shared" si="0"/>
        <v>3</v>
      </c>
      <c r="Y21" s="312">
        <f>ROUND((Table6[[#This Row],[DAILY REW. MOD.]]*($D$24+$D$26+$D$28))/7,0)</f>
        <v>14286</v>
      </c>
      <c r="Z21" s="312">
        <f t="shared" si="1"/>
        <v>0.9</v>
      </c>
      <c r="AA21" s="317">
        <f>ROUND((INDEX(Table12[AVG COINS],MATCH(Table6[[#This Row],[LEAGUE]],Table12[LEAGUE],0))) /$C$35,0)</f>
        <v>9743</v>
      </c>
      <c r="AB21" s="317">
        <f>ROUND((INDEX(Table12[AVG GEMS],MATCH(Table6[[#This Row],[LEAGUE]],Table12[LEAGUE],0))) /$C$35,2)</f>
        <v>0</v>
      </c>
      <c r="AC2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61600</v>
      </c>
      <c r="AD21" s="318">
        <f>Table6[[#This Row],[CHEST REW. MOD. NEW]]*($D$14+$D$15+$D$16)</f>
        <v>33600</v>
      </c>
      <c r="AE21" s="318">
        <f t="shared" si="2"/>
        <v>3</v>
      </c>
      <c r="AF21" s="318">
        <f>ROUND((Table6[[#This Row],[DAILY REW. MOD. NEW]]*($D$24+$D$26+$D$28))/7,0)</f>
        <v>10000</v>
      </c>
      <c r="AG21" s="318">
        <f t="shared" si="3"/>
        <v>0.9</v>
      </c>
      <c r="AH21" s="318">
        <f>ROUND((INDEX(Table12[AVG COINS NEW],MATCH(Table6[[#This Row],[LEAGUE]],Table12[LEAGUE],0))) /$C$36,0)</f>
        <v>4975</v>
      </c>
      <c r="AI21" s="318">
        <f>ROUND((INDEX(Table12[AVG GEMS NEW],MATCH(Table6[[#This Row],[LEAGUE]],Table12[LEAGUE],0))) / $C$36,2)</f>
        <v>0.1</v>
      </c>
      <c r="AJ2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61600</v>
      </c>
      <c r="AK21" s="354">
        <v>11671</v>
      </c>
      <c r="AL21" s="355">
        <v>1</v>
      </c>
    </row>
    <row r="22" spans="2:38" x14ac:dyDescent="0.25">
      <c r="B22" s="374" t="s">
        <v>431</v>
      </c>
      <c r="C22" s="374"/>
      <c r="D22" s="374"/>
      <c r="G22" s="358" t="s">
        <v>144</v>
      </c>
      <c r="H22" s="362">
        <f>Table6[[#This Row],[TOTAL COINS]] +Table6[[#This Row],[COINS IN RUNS PER DAY]]</f>
        <v>149203</v>
      </c>
      <c r="I22" s="352">
        <f>Table6[[#This Row],[TOTAL COINS NEW]] + Table6[[#This Row],[COINS IN RUNS PER DAY]]</f>
        <v>139492</v>
      </c>
      <c r="J22" s="350">
        <f>Table6[[#This Row],[CHESTS COINS]] + Table6[[#This Row],[DAILY COINS]]+Table6[[#This Row],[LEAGUES COINS]]+Table6[[#This Row],[MISSIONS COINS]]</f>
        <v>132228</v>
      </c>
      <c r="K22" s="342">
        <f>Table6[[#This Row],[CHESTS GEMS]]+Table6[[#This Row],[DAILY GEMS]]+Table6[[#This Row],[LEAGUES GEMS]]</f>
        <v>3.9</v>
      </c>
      <c r="L22" s="362">
        <f>Table6[[#This Row],[CHESTS COINS NEW]] +Table6[[#This Row],[DAILY COINS NEW]] +Table6[[#This Row],[LEAGUES COINS NEW]] +Table6[[#This Row],[MISSIONS COINS NEW]]</f>
        <v>122517</v>
      </c>
      <c r="M22" s="352">
        <f>Table6[[#This Row],[CHESTS GEMS NEW]] +Table6[[#This Row],[DAILY GEMS NEW]] +Table6[[#This Row],[LEAGUES GEMS NEW]]</f>
        <v>4</v>
      </c>
      <c r="N22" s="357">
        <f>Table6[[#This Row],[COINS PER RUN]] *Table6[[#This Row],[RUNS PER DAY]]</f>
        <v>16975</v>
      </c>
      <c r="O22" s="341">
        <v>62</v>
      </c>
      <c r="P22" s="341">
        <v>55</v>
      </c>
      <c r="Q22" s="292">
        <v>62</v>
      </c>
      <c r="R22" s="339">
        <v>40</v>
      </c>
      <c r="S22" s="345">
        <v>9</v>
      </c>
      <c r="T22" s="107">
        <v>1</v>
      </c>
      <c r="U22" s="107">
        <v>1</v>
      </c>
      <c r="V22" s="347">
        <v>1</v>
      </c>
      <c r="W22" s="316">
        <f>Table6[[#This Row],[CHEST REW. MOD.]]*($D$14+$D$15+$D$16)</f>
        <v>37200</v>
      </c>
      <c r="X22" s="312">
        <f t="shared" si="0"/>
        <v>3</v>
      </c>
      <c r="Y22" s="312">
        <f>ROUND((Table6[[#This Row],[DAILY REW. MOD.]]*($D$24+$D$26+$D$28))/7,0)</f>
        <v>15714</v>
      </c>
      <c r="Z22" s="312">
        <f t="shared" si="1"/>
        <v>0.9</v>
      </c>
      <c r="AA22" s="317">
        <f>ROUND((INDEX(Table12[AVG COINS],MATCH(Table6[[#This Row],[LEAGUE]],Table12[LEAGUE],0))) /$C$35,0)</f>
        <v>11114</v>
      </c>
      <c r="AB22" s="317">
        <f>ROUND((INDEX(Table12[AVG GEMS],MATCH(Table6[[#This Row],[LEAGUE]],Table12[LEAGUE],0))) /$C$35,2)</f>
        <v>0</v>
      </c>
      <c r="AC22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68200</v>
      </c>
      <c r="AD22" s="318">
        <f>Table6[[#This Row],[CHEST REW. MOD. NEW]]*($D$14+$D$15+$D$16)</f>
        <v>37200</v>
      </c>
      <c r="AE22" s="318">
        <f t="shared" si="2"/>
        <v>3</v>
      </c>
      <c r="AF22" s="318">
        <f>ROUND((Table6[[#This Row],[DAILY REW. MOD. NEW]]*($D$24+$D$26+$D$28))/7,0)</f>
        <v>11429</v>
      </c>
      <c r="AG22" s="318">
        <f t="shared" si="3"/>
        <v>0.9</v>
      </c>
      <c r="AH22" s="318">
        <f>ROUND((INDEX(Table12[AVG COINS NEW],MATCH(Table6[[#This Row],[LEAGUE]],Table12[LEAGUE],0))) /$C$36,0)</f>
        <v>5688</v>
      </c>
      <c r="AI22" s="318">
        <f>ROUND((INDEX(Table12[AVG GEMS NEW],MATCH(Table6[[#This Row],[LEAGUE]],Table12[LEAGUE],0))) / $C$36,2)</f>
        <v>0.1</v>
      </c>
      <c r="AJ22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68200</v>
      </c>
      <c r="AK22" s="354">
        <v>16975</v>
      </c>
      <c r="AL22" s="355">
        <v>1</v>
      </c>
    </row>
    <row r="23" spans="2:38" x14ac:dyDescent="0.25">
      <c r="B23" s="295" t="s">
        <v>429</v>
      </c>
      <c r="C23" s="295" t="s">
        <v>420</v>
      </c>
      <c r="D23" s="327" t="s">
        <v>421</v>
      </c>
      <c r="E23" s="329" t="s">
        <v>462</v>
      </c>
      <c r="G23" s="358" t="s">
        <v>100</v>
      </c>
      <c r="H23" s="362">
        <f>Table6[[#This Row],[TOTAL COINS]] +Table6[[#This Row],[COINS IN RUNS PER DAY]]</f>
        <v>157229</v>
      </c>
      <c r="I23" s="352">
        <f>Table6[[#This Row],[TOTAL COINS NEW]] + Table6[[#This Row],[COINS IN RUNS PER DAY]]</f>
        <v>147517</v>
      </c>
      <c r="J23" s="350">
        <f>Table6[[#This Row],[CHESTS COINS]] + Table6[[#This Row],[DAILY COINS]]+Table6[[#This Row],[LEAGUES COINS]]+Table6[[#This Row],[MISSIONS COINS]]</f>
        <v>142157</v>
      </c>
      <c r="K23" s="342">
        <f>Table6[[#This Row],[CHESTS GEMS]]+Table6[[#This Row],[DAILY GEMS]]+Table6[[#This Row],[LEAGUES GEMS]]</f>
        <v>3.9</v>
      </c>
      <c r="L23" s="362">
        <f>Table6[[#This Row],[CHESTS COINS NEW]] +Table6[[#This Row],[DAILY COINS NEW]] +Table6[[#This Row],[LEAGUES COINS NEW]] +Table6[[#This Row],[MISSIONS COINS NEW]]</f>
        <v>132445</v>
      </c>
      <c r="M23" s="352">
        <f>Table6[[#This Row],[CHESTS GEMS NEW]] +Table6[[#This Row],[DAILY GEMS NEW]] +Table6[[#This Row],[LEAGUES GEMS NEW]]</f>
        <v>4</v>
      </c>
      <c r="N23" s="357">
        <f>Table6[[#This Row],[COINS PER RUN]] *Table6[[#This Row],[RUNS PER DAY]]</f>
        <v>15072</v>
      </c>
      <c r="O23" s="341">
        <v>67</v>
      </c>
      <c r="P23" s="341">
        <v>60</v>
      </c>
      <c r="Q23" s="292">
        <v>67</v>
      </c>
      <c r="R23" s="339">
        <v>45</v>
      </c>
      <c r="S23" s="345">
        <v>9</v>
      </c>
      <c r="T23" s="107">
        <v>1</v>
      </c>
      <c r="U23" s="107">
        <v>1</v>
      </c>
      <c r="V23" s="347">
        <v>1</v>
      </c>
      <c r="W23" s="316">
        <f>Table6[[#This Row],[CHEST REW. MOD.]]*($D$14+$D$15+$D$16)</f>
        <v>40200</v>
      </c>
      <c r="X23" s="312">
        <f t="shared" si="0"/>
        <v>3</v>
      </c>
      <c r="Y23" s="312">
        <f>ROUND((Table6[[#This Row],[DAILY REW. MOD.]]*($D$24+$D$26+$D$28))/7,0)</f>
        <v>17143</v>
      </c>
      <c r="Z23" s="312">
        <f t="shared" si="1"/>
        <v>0.9</v>
      </c>
      <c r="AA23" s="317">
        <f>ROUND((INDEX(Table12[AVG COINS],MATCH(Table6[[#This Row],[LEAGUE]],Table12[LEAGUE],0))) /$C$35,0)</f>
        <v>11114</v>
      </c>
      <c r="AB23" s="317">
        <f>ROUND((INDEX(Table12[AVG GEMS],MATCH(Table6[[#This Row],[LEAGUE]],Table12[LEAGUE],0))) /$C$35,2)</f>
        <v>0</v>
      </c>
      <c r="AC23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73700</v>
      </c>
      <c r="AD23" s="318">
        <f>Table6[[#This Row],[CHEST REW. MOD. NEW]]*($D$14+$D$15+$D$16)</f>
        <v>40200</v>
      </c>
      <c r="AE23" s="318">
        <f t="shared" si="2"/>
        <v>3</v>
      </c>
      <c r="AF23" s="318">
        <f>ROUND((Table6[[#This Row],[DAILY REW. MOD. NEW]]*($D$24+$D$26+$D$28))/7,0)</f>
        <v>12857</v>
      </c>
      <c r="AG23" s="318">
        <f t="shared" si="3"/>
        <v>0.9</v>
      </c>
      <c r="AH23" s="318">
        <f>ROUND((INDEX(Table12[AVG COINS NEW],MATCH(Table6[[#This Row],[LEAGUE]],Table12[LEAGUE],0))) /$C$36,0)</f>
        <v>5688</v>
      </c>
      <c r="AI23" s="318">
        <f>ROUND((INDEX(Table12[AVG GEMS NEW],MATCH(Table6[[#This Row],[LEAGUE]],Table12[LEAGUE],0))) / $C$36,2)</f>
        <v>0.1</v>
      </c>
      <c r="AJ23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73700</v>
      </c>
      <c r="AK23" s="354">
        <v>15072</v>
      </c>
      <c r="AL23" s="355">
        <v>1</v>
      </c>
    </row>
    <row r="24" spans="2:38" x14ac:dyDescent="0.25">
      <c r="B24" s="284">
        <v>1</v>
      </c>
      <c r="C24" s="303" t="s">
        <v>425</v>
      </c>
      <c r="D24" s="323">
        <v>300</v>
      </c>
      <c r="E24" s="330">
        <v>250</v>
      </c>
      <c r="G24" s="358" t="s">
        <v>101</v>
      </c>
      <c r="H24" s="362">
        <f>Table6[[#This Row],[TOTAL COINS]] +Table6[[#This Row],[COINS IN RUNS PER DAY]]</f>
        <v>181835</v>
      </c>
      <c r="I24" s="352">
        <f>Table6[[#This Row],[TOTAL COINS NEW]] + Table6[[#This Row],[COINS IN RUNS PER DAY]]</f>
        <v>170113</v>
      </c>
      <c r="J24" s="350">
        <f>Table6[[#This Row],[CHESTS COINS]] + Table6[[#This Row],[DAILY COINS]]+Table6[[#This Row],[LEAGUES COINS]]+Table6[[#This Row],[MISSIONS COINS]]</f>
        <v>168171</v>
      </c>
      <c r="K24" s="342">
        <f>Table6[[#This Row],[CHESTS GEMS]]+Table6[[#This Row],[DAILY GEMS]]+Table6[[#This Row],[LEAGUES GEMS]]</f>
        <v>3.9</v>
      </c>
      <c r="L24" s="362">
        <f>Table6[[#This Row],[CHESTS COINS NEW]] +Table6[[#This Row],[DAILY COINS NEW]] +Table6[[#This Row],[LEAGUES COINS NEW]] +Table6[[#This Row],[MISSIONS COINS NEW]]</f>
        <v>156449</v>
      </c>
      <c r="M24" s="352">
        <f>Table6[[#This Row],[CHESTS GEMS NEW]] +Table6[[#This Row],[DAILY GEMS NEW]] +Table6[[#This Row],[LEAGUES GEMS NEW]]</f>
        <v>4.0999999999999996</v>
      </c>
      <c r="N24" s="357">
        <f>Table6[[#This Row],[COINS PER RUN]] *Table6[[#This Row],[RUNS PER DAY]]</f>
        <v>13664</v>
      </c>
      <c r="O24" s="341">
        <v>80</v>
      </c>
      <c r="P24" s="341">
        <v>65</v>
      </c>
      <c r="Q24" s="292">
        <v>80</v>
      </c>
      <c r="R24" s="339">
        <v>50</v>
      </c>
      <c r="S24" s="345">
        <v>10</v>
      </c>
      <c r="T24" s="107">
        <v>1</v>
      </c>
      <c r="U24" s="107">
        <v>1</v>
      </c>
      <c r="V24" s="347">
        <v>1</v>
      </c>
      <c r="W24" s="316">
        <f>Table6[[#This Row],[CHEST REW. MOD.]]*($D$14+$D$15+$D$16)</f>
        <v>48000</v>
      </c>
      <c r="X24" s="312">
        <f t="shared" si="0"/>
        <v>3</v>
      </c>
      <c r="Y24" s="312">
        <f>ROUND((Table6[[#This Row],[DAILY REW. MOD.]]*($D$24+$D$26+$D$28))/7,0)</f>
        <v>18571</v>
      </c>
      <c r="Z24" s="312">
        <f t="shared" si="1"/>
        <v>0.9</v>
      </c>
      <c r="AA24" s="317">
        <f>ROUND((INDEX(Table12[AVG COINS],MATCH(Table6[[#This Row],[LEAGUE]],Table12[LEAGUE],0))) /$C$35,0)</f>
        <v>13600</v>
      </c>
      <c r="AB24" s="317">
        <f>ROUND((INDEX(Table12[AVG GEMS],MATCH(Table6[[#This Row],[LEAGUE]],Table12[LEAGUE],0))) /$C$35,2)</f>
        <v>0</v>
      </c>
      <c r="AC2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88000</v>
      </c>
      <c r="AD24" s="318">
        <f>Table6[[#This Row],[CHEST REW. MOD. NEW]]*($D$14+$D$15+$D$16)</f>
        <v>48000</v>
      </c>
      <c r="AE24" s="318">
        <f t="shared" si="2"/>
        <v>3</v>
      </c>
      <c r="AF24" s="318">
        <f>ROUND((Table6[[#This Row],[DAILY REW. MOD. NEW]]*($D$24+$D$26+$D$28))/7,0)</f>
        <v>14286</v>
      </c>
      <c r="AG24" s="318">
        <f t="shared" si="3"/>
        <v>0.9</v>
      </c>
      <c r="AH24" s="318">
        <f>ROUND((INDEX(Table12[AVG COINS NEW],MATCH(Table6[[#This Row],[LEAGUE]],Table12[LEAGUE],0))) /$C$36,0)</f>
        <v>6163</v>
      </c>
      <c r="AI24" s="318">
        <f>ROUND((INDEX(Table12[AVG GEMS NEW],MATCH(Table6[[#This Row],[LEAGUE]],Table12[LEAGUE],0))) / $C$36,2)</f>
        <v>0.2</v>
      </c>
      <c r="AJ2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88000</v>
      </c>
      <c r="AK24" s="354">
        <v>13664</v>
      </c>
      <c r="AL24" s="355">
        <v>1</v>
      </c>
    </row>
    <row r="25" spans="2:38" x14ac:dyDescent="0.25">
      <c r="B25" s="282">
        <v>2</v>
      </c>
      <c r="C25" s="303" t="s">
        <v>426</v>
      </c>
      <c r="D25" s="323">
        <v>1</v>
      </c>
      <c r="E25" s="331">
        <v>1</v>
      </c>
      <c r="G25" s="358" t="s">
        <v>145</v>
      </c>
      <c r="H25" s="362">
        <f>Table6[[#This Row],[TOTAL COINS]] +Table6[[#This Row],[COINS IN RUNS PER DAY]]</f>
        <v>187433</v>
      </c>
      <c r="I25" s="352">
        <f>Table6[[#This Row],[TOTAL COINS NEW]] + Table6[[#This Row],[COINS IN RUNS PER DAY]]</f>
        <v>175710</v>
      </c>
      <c r="J25" s="350">
        <f>Table6[[#This Row],[CHESTS COINS]] + Table6[[#This Row],[DAILY COINS]]+Table6[[#This Row],[LEAGUES COINS]]+Table6[[#This Row],[MISSIONS COINS]]</f>
        <v>178100</v>
      </c>
      <c r="K25" s="342">
        <f>Table6[[#This Row],[CHESTS GEMS]]+Table6[[#This Row],[DAILY GEMS]]+Table6[[#This Row],[LEAGUES GEMS]]</f>
        <v>3.9</v>
      </c>
      <c r="L25" s="362">
        <f>Table6[[#This Row],[CHESTS COINS NEW]] +Table6[[#This Row],[DAILY COINS NEW]] +Table6[[#This Row],[LEAGUES COINS NEW]] +Table6[[#This Row],[MISSIONS COINS NEW]]</f>
        <v>166377</v>
      </c>
      <c r="M25" s="352">
        <f>Table6[[#This Row],[CHESTS GEMS NEW]] +Table6[[#This Row],[DAILY GEMS NEW]] +Table6[[#This Row],[LEAGUES GEMS NEW]]</f>
        <v>4.0999999999999996</v>
      </c>
      <c r="N25" s="357">
        <f>Table6[[#This Row],[COINS PER RUN]] *Table6[[#This Row],[RUNS PER DAY]]</f>
        <v>9333</v>
      </c>
      <c r="O25" s="341">
        <v>85</v>
      </c>
      <c r="P25" s="341">
        <v>70</v>
      </c>
      <c r="Q25" s="292">
        <v>85</v>
      </c>
      <c r="R25" s="339">
        <v>55</v>
      </c>
      <c r="S25" s="345">
        <v>10</v>
      </c>
      <c r="T25" s="107">
        <v>1</v>
      </c>
      <c r="U25" s="107">
        <v>1</v>
      </c>
      <c r="V25" s="347">
        <v>1</v>
      </c>
      <c r="W25" s="316">
        <f>Table6[[#This Row],[CHEST REW. MOD.]]*($D$14+$D$15+$D$16)</f>
        <v>51000</v>
      </c>
      <c r="X25" s="312">
        <f t="shared" si="0"/>
        <v>3</v>
      </c>
      <c r="Y25" s="312">
        <f>ROUND((Table6[[#This Row],[DAILY REW. MOD.]]*($D$24+$D$26+$D$28))/7,0)</f>
        <v>20000</v>
      </c>
      <c r="Z25" s="312">
        <f t="shared" si="1"/>
        <v>0.9</v>
      </c>
      <c r="AA25" s="317">
        <f>ROUND((INDEX(Table12[AVG COINS],MATCH(Table6[[#This Row],[LEAGUE]],Table12[LEAGUE],0))) /$C$35,0)</f>
        <v>13600</v>
      </c>
      <c r="AB25" s="317">
        <f>ROUND((INDEX(Table12[AVG GEMS],MATCH(Table6[[#This Row],[LEAGUE]],Table12[LEAGUE],0))) /$C$35,2)</f>
        <v>0</v>
      </c>
      <c r="AC2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93500</v>
      </c>
      <c r="AD25" s="318">
        <f>Table6[[#This Row],[CHEST REW. MOD. NEW]]*($D$14+$D$15+$D$16)</f>
        <v>51000</v>
      </c>
      <c r="AE25" s="318">
        <f t="shared" si="2"/>
        <v>3</v>
      </c>
      <c r="AF25" s="318">
        <f>ROUND((Table6[[#This Row],[DAILY REW. MOD. NEW]]*($D$24+$D$26+$D$28))/7,0)</f>
        <v>15714</v>
      </c>
      <c r="AG25" s="318">
        <f t="shared" si="3"/>
        <v>0.9</v>
      </c>
      <c r="AH25" s="318">
        <f>ROUND((INDEX(Table12[AVG COINS NEW],MATCH(Table6[[#This Row],[LEAGUE]],Table12[LEAGUE],0))) /$C$36,0)</f>
        <v>6163</v>
      </c>
      <c r="AI25" s="318">
        <f>ROUND((INDEX(Table12[AVG GEMS NEW],MATCH(Table6[[#This Row],[LEAGUE]],Table12[LEAGUE],0))) / $C$36,2)</f>
        <v>0.2</v>
      </c>
      <c r="AJ2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93500</v>
      </c>
      <c r="AK25" s="354">
        <v>9333</v>
      </c>
      <c r="AL25" s="355">
        <v>1</v>
      </c>
    </row>
    <row r="26" spans="2:38" x14ac:dyDescent="0.25">
      <c r="B26" s="282">
        <v>3</v>
      </c>
      <c r="C26" s="303" t="s">
        <v>425</v>
      </c>
      <c r="D26" s="323">
        <v>700</v>
      </c>
      <c r="E26" s="331">
        <v>500</v>
      </c>
      <c r="G26" s="360" t="s">
        <v>218</v>
      </c>
      <c r="H26" s="362">
        <f>Table6[[#This Row],[TOTAL COINS]] +Table6[[#This Row],[COINS IN RUNS PER DAY]]</f>
        <v>204633</v>
      </c>
      <c r="I26" s="352">
        <f>Table6[[#This Row],[TOTAL COINS NEW]] + Table6[[#This Row],[COINS IN RUNS PER DAY]]</f>
        <v>192910</v>
      </c>
      <c r="J26" s="350">
        <f>Table6[[#This Row],[CHESTS COINS]] + Table6[[#This Row],[DAILY COINS]]+Table6[[#This Row],[LEAGUES COINS]]+Table6[[#This Row],[MISSIONS COINS]]</f>
        <v>188029</v>
      </c>
      <c r="K26" s="342">
        <f>Table6[[#This Row],[CHESTS GEMS]]+Table6[[#This Row],[DAILY GEMS]]+Table6[[#This Row],[LEAGUES GEMS]]</f>
        <v>3.9</v>
      </c>
      <c r="L26" s="362">
        <f>Table6[[#This Row],[CHESTS COINS NEW]] +Table6[[#This Row],[DAILY COINS NEW]] +Table6[[#This Row],[LEAGUES COINS NEW]] +Table6[[#This Row],[MISSIONS COINS NEW]]</f>
        <v>176306</v>
      </c>
      <c r="M26" s="352">
        <f>Table6[[#This Row],[CHESTS GEMS NEW]] +Table6[[#This Row],[DAILY GEMS NEW]] +Table6[[#This Row],[LEAGUES GEMS NEW]]</f>
        <v>4.0999999999999996</v>
      </c>
      <c r="N26" s="357">
        <f>Table6[[#This Row],[COINS PER RUN]] *Table6[[#This Row],[RUNS PER DAY]]</f>
        <v>16604</v>
      </c>
      <c r="O26" s="341">
        <v>90</v>
      </c>
      <c r="P26" s="341">
        <v>75</v>
      </c>
      <c r="Q26" s="292">
        <v>90</v>
      </c>
      <c r="R26" s="339">
        <v>60</v>
      </c>
      <c r="S26" s="345">
        <v>10</v>
      </c>
      <c r="T26" s="107">
        <v>1</v>
      </c>
      <c r="U26" s="107">
        <v>1</v>
      </c>
      <c r="V26" s="347">
        <v>1</v>
      </c>
      <c r="W26" s="316">
        <f>Table6[[#This Row],[CHEST REW. MOD.]]*($D$14+$D$15+$D$16)</f>
        <v>54000</v>
      </c>
      <c r="X26" s="312">
        <f t="shared" si="0"/>
        <v>3</v>
      </c>
      <c r="Y26" s="312">
        <f>ROUND((Table6[[#This Row],[DAILY REW. MOD.]]*($D$24+$D$26+$D$28))/7,0)</f>
        <v>21429</v>
      </c>
      <c r="Z26" s="312">
        <f t="shared" si="1"/>
        <v>0.9</v>
      </c>
      <c r="AA26" s="317">
        <f>ROUND((INDEX(Table12[AVG COINS],MATCH(Table6[[#This Row],[LEAGUE]],Table12[LEAGUE],0))) /$C$35,0)</f>
        <v>13600</v>
      </c>
      <c r="AB26" s="317">
        <f>ROUND((INDEX(Table12[AVG GEMS],MATCH(Table6[[#This Row],[LEAGUE]],Table12[LEAGUE],0))) /$C$35,2)</f>
        <v>0</v>
      </c>
      <c r="AC2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6" s="318">
        <f>Table6[[#This Row],[CHEST REW. MOD. NEW]]*($D$14+$D$15+$D$16)</f>
        <v>54000</v>
      </c>
      <c r="AE26" s="318">
        <f t="shared" si="2"/>
        <v>3</v>
      </c>
      <c r="AF26" s="318">
        <f>ROUND((Table6[[#This Row],[DAILY REW. MOD. NEW]]*($D$24+$D$26+$D$28))/7,0)</f>
        <v>17143</v>
      </c>
      <c r="AG26" s="318">
        <f t="shared" si="3"/>
        <v>0.9</v>
      </c>
      <c r="AH26" s="318">
        <f>ROUND((INDEX(Table12[AVG COINS NEW],MATCH(Table6[[#This Row],[LEAGUE]],Table12[LEAGUE],0))) /$C$36,0)</f>
        <v>6163</v>
      </c>
      <c r="AI26" s="318">
        <f>ROUND((INDEX(Table12[AVG GEMS NEW],MATCH(Table6[[#This Row],[LEAGUE]],Table12[LEAGUE],0))) / $C$36,2)</f>
        <v>0.2</v>
      </c>
      <c r="AJ2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6" s="354">
        <v>16604</v>
      </c>
      <c r="AL26" s="355">
        <v>1</v>
      </c>
    </row>
    <row r="27" spans="2:38" x14ac:dyDescent="0.25">
      <c r="B27" s="282">
        <v>4</v>
      </c>
      <c r="C27" s="303" t="s">
        <v>426</v>
      </c>
      <c r="D27" s="323">
        <v>2</v>
      </c>
      <c r="E27" s="331">
        <v>2</v>
      </c>
      <c r="G27" s="358" t="s">
        <v>408</v>
      </c>
      <c r="H27" s="362">
        <f>Table6[[#This Row],[TOTAL COINS]] +Table6[[#This Row],[COINS IN RUNS PER DAY]]</f>
        <v>188030</v>
      </c>
      <c r="I27" s="352">
        <f>Table6[[#This Row],[TOTAL COINS NEW]] + Table6[[#This Row],[COINS IN RUNS PER DAY]]</f>
        <v>176307</v>
      </c>
      <c r="J27" s="350">
        <f>Table6[[#This Row],[CHESTS COINS]] + Table6[[#This Row],[DAILY COINS]]+Table6[[#This Row],[LEAGUES COINS]]+Table6[[#This Row],[MISSIONS COINS]]</f>
        <v>188029</v>
      </c>
      <c r="K27" s="342">
        <f>Table6[[#This Row],[CHESTS GEMS]]+Table6[[#This Row],[DAILY GEMS]]+Table6[[#This Row],[LEAGUES GEMS]]</f>
        <v>3.9</v>
      </c>
      <c r="L27" s="362">
        <f>Table6[[#This Row],[CHESTS COINS NEW]] +Table6[[#This Row],[DAILY COINS NEW]] +Table6[[#This Row],[LEAGUES COINS NEW]] +Table6[[#This Row],[MISSIONS COINS NEW]]</f>
        <v>176306</v>
      </c>
      <c r="M27" s="352">
        <f>Table6[[#This Row],[CHESTS GEMS NEW]] +Table6[[#This Row],[DAILY GEMS NEW]] +Table6[[#This Row],[LEAGUES GEMS NEW]]</f>
        <v>4.0999999999999996</v>
      </c>
      <c r="N27" s="357">
        <f>Table6[[#This Row],[COINS PER RUN]] *Table6[[#This Row],[RUNS PER DAY]]</f>
        <v>1</v>
      </c>
      <c r="O27" s="341">
        <v>90</v>
      </c>
      <c r="P27" s="341">
        <v>75</v>
      </c>
      <c r="Q27" s="292">
        <v>90</v>
      </c>
      <c r="R27" s="339">
        <v>60</v>
      </c>
      <c r="S27" s="345">
        <v>10</v>
      </c>
      <c r="T27" s="107">
        <v>1</v>
      </c>
      <c r="U27" s="107">
        <v>1</v>
      </c>
      <c r="V27" s="347">
        <v>1</v>
      </c>
      <c r="W27" s="316">
        <f>Table6[[#This Row],[CHEST REW. MOD.]]*($D$14+$D$15+$D$16)</f>
        <v>54000</v>
      </c>
      <c r="X27" s="312">
        <f t="shared" si="0"/>
        <v>3</v>
      </c>
      <c r="Y27" s="312">
        <f>ROUND((Table6[[#This Row],[DAILY REW. MOD.]]*($D$24+$D$26+$D$28))/7,0)</f>
        <v>21429</v>
      </c>
      <c r="Z27" s="312">
        <f t="shared" si="1"/>
        <v>0.9</v>
      </c>
      <c r="AA27" s="317">
        <f>ROUND((INDEX(Table12[AVG COINS],MATCH(Table6[[#This Row],[LEAGUE]],Table12[LEAGUE],0))) /$C$35,0)</f>
        <v>13600</v>
      </c>
      <c r="AB27" s="317">
        <f>ROUND((INDEX(Table12[AVG GEMS],MATCH(Table6[[#This Row],[LEAGUE]],Table12[LEAGUE],0))) /$C$35,2)</f>
        <v>0</v>
      </c>
      <c r="AC2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7" s="318">
        <f>Table6[[#This Row],[CHEST REW. MOD. NEW]]*($D$14+$D$15+$D$16)</f>
        <v>54000</v>
      </c>
      <c r="AE27" s="318">
        <f t="shared" si="2"/>
        <v>3</v>
      </c>
      <c r="AF27" s="318">
        <f>ROUND((Table6[[#This Row],[DAILY REW. MOD. NEW]]*($D$24+$D$26+$D$28))/7,0)</f>
        <v>17143</v>
      </c>
      <c r="AG27" s="318">
        <f t="shared" si="3"/>
        <v>0.9</v>
      </c>
      <c r="AH27" s="318">
        <f>ROUND((INDEX(Table12[AVG COINS NEW],MATCH(Table6[[#This Row],[LEAGUE]],Table12[LEAGUE],0))) /$C$36,0)</f>
        <v>6163</v>
      </c>
      <c r="AI27" s="318">
        <f>ROUND((INDEX(Table12[AVG GEMS NEW],MATCH(Table6[[#This Row],[LEAGUE]],Table12[LEAGUE],0))) / $C$36,2)</f>
        <v>0.2</v>
      </c>
      <c r="AJ2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7" s="354">
        <v>1</v>
      </c>
      <c r="AL27" s="355">
        <v>1</v>
      </c>
    </row>
    <row r="28" spans="2:38" x14ac:dyDescent="0.25">
      <c r="B28" s="282">
        <v>5</v>
      </c>
      <c r="C28" s="303" t="s">
        <v>425</v>
      </c>
      <c r="D28" s="323">
        <v>1000</v>
      </c>
      <c r="E28" s="331">
        <v>1000</v>
      </c>
      <c r="G28" s="358" t="s">
        <v>409</v>
      </c>
      <c r="H28" s="362">
        <f>Table6[[#This Row],[TOTAL COINS]] +Table6[[#This Row],[COINS IN RUNS PER DAY]]</f>
        <v>188030</v>
      </c>
      <c r="I28" s="352">
        <f>Table6[[#This Row],[TOTAL COINS NEW]] + Table6[[#This Row],[COINS IN RUNS PER DAY]]</f>
        <v>176307</v>
      </c>
      <c r="J28" s="350">
        <f>Table6[[#This Row],[CHESTS COINS]] + Table6[[#This Row],[DAILY COINS]]+Table6[[#This Row],[LEAGUES COINS]]+Table6[[#This Row],[MISSIONS COINS]]</f>
        <v>188029</v>
      </c>
      <c r="K28" s="342">
        <f>Table6[[#This Row],[CHESTS GEMS]]+Table6[[#This Row],[DAILY GEMS]]+Table6[[#This Row],[LEAGUES GEMS]]</f>
        <v>3.9</v>
      </c>
      <c r="L28" s="362">
        <f>Table6[[#This Row],[CHESTS COINS NEW]] +Table6[[#This Row],[DAILY COINS NEW]] +Table6[[#This Row],[LEAGUES COINS NEW]] +Table6[[#This Row],[MISSIONS COINS NEW]]</f>
        <v>176306</v>
      </c>
      <c r="M28" s="352">
        <f>Table6[[#This Row],[CHESTS GEMS NEW]] +Table6[[#This Row],[DAILY GEMS NEW]] +Table6[[#This Row],[LEAGUES GEMS NEW]]</f>
        <v>4.0999999999999996</v>
      </c>
      <c r="N28" s="357">
        <f>Table6[[#This Row],[COINS PER RUN]] *Table6[[#This Row],[RUNS PER DAY]]</f>
        <v>1</v>
      </c>
      <c r="O28" s="341">
        <v>90</v>
      </c>
      <c r="P28" s="341">
        <v>75</v>
      </c>
      <c r="Q28" s="292">
        <v>90</v>
      </c>
      <c r="R28" s="339">
        <v>60</v>
      </c>
      <c r="S28" s="345">
        <v>10</v>
      </c>
      <c r="T28" s="107">
        <v>1</v>
      </c>
      <c r="U28" s="107">
        <v>1</v>
      </c>
      <c r="V28" s="347">
        <v>1</v>
      </c>
      <c r="W28" s="316">
        <f>Table6[[#This Row],[CHEST REW. MOD.]]*($D$14+$D$15+$D$16)</f>
        <v>54000</v>
      </c>
      <c r="X28" s="312">
        <f t="shared" si="0"/>
        <v>3</v>
      </c>
      <c r="Y28" s="312">
        <f>ROUND((Table6[[#This Row],[DAILY REW. MOD.]]*($D$24+$D$26+$D$28))/7,0)</f>
        <v>21429</v>
      </c>
      <c r="Z28" s="312">
        <f t="shared" si="1"/>
        <v>0.9</v>
      </c>
      <c r="AA28" s="317">
        <f>ROUND((INDEX(Table12[AVG COINS],MATCH(Table6[[#This Row],[LEAGUE]],Table12[LEAGUE],0))) /$C$35,0)</f>
        <v>13600</v>
      </c>
      <c r="AB28" s="317">
        <f>ROUND((INDEX(Table12[AVG GEMS],MATCH(Table6[[#This Row],[LEAGUE]],Table12[LEAGUE],0))) /$C$35,2)</f>
        <v>0</v>
      </c>
      <c r="AC2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8" s="318">
        <f>Table6[[#This Row],[CHEST REW. MOD. NEW]]*($D$14+$D$15+$D$16)</f>
        <v>54000</v>
      </c>
      <c r="AE28" s="318">
        <f t="shared" si="2"/>
        <v>3</v>
      </c>
      <c r="AF28" s="318">
        <f>ROUND((Table6[[#This Row],[DAILY REW. MOD. NEW]]*($D$24+$D$26+$D$28))/7,0)</f>
        <v>17143</v>
      </c>
      <c r="AG28" s="318">
        <f t="shared" si="3"/>
        <v>0.9</v>
      </c>
      <c r="AH28" s="318">
        <f>ROUND((INDEX(Table12[AVG COINS NEW],MATCH(Table6[[#This Row],[LEAGUE]],Table12[LEAGUE],0))) /$C$36,0)</f>
        <v>6163</v>
      </c>
      <c r="AI28" s="318">
        <f>ROUND((INDEX(Table12[AVG GEMS NEW],MATCH(Table6[[#This Row],[LEAGUE]],Table12[LEAGUE],0))) / $C$36,2)</f>
        <v>0.2</v>
      </c>
      <c r="AJ2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8" s="354">
        <v>1</v>
      </c>
      <c r="AL28" s="355">
        <v>1</v>
      </c>
    </row>
    <row r="29" spans="2:38" x14ac:dyDescent="0.25">
      <c r="B29" s="282">
        <v>6</v>
      </c>
      <c r="C29" s="303" t="s">
        <v>426</v>
      </c>
      <c r="D29" s="323">
        <v>3</v>
      </c>
      <c r="E29" s="331">
        <v>3</v>
      </c>
      <c r="G29" s="358" t="s">
        <v>410</v>
      </c>
      <c r="H29" s="362">
        <f>Table6[[#This Row],[TOTAL COINS]] +Table6[[#This Row],[COINS IN RUNS PER DAY]]</f>
        <v>188030</v>
      </c>
      <c r="I29" s="352">
        <f>Table6[[#This Row],[TOTAL COINS NEW]] + Table6[[#This Row],[COINS IN RUNS PER DAY]]</f>
        <v>176307</v>
      </c>
      <c r="J29" s="350">
        <f>Table6[[#This Row],[CHESTS COINS]] + Table6[[#This Row],[DAILY COINS]]+Table6[[#This Row],[LEAGUES COINS]]+Table6[[#This Row],[MISSIONS COINS]]</f>
        <v>188029</v>
      </c>
      <c r="K29" s="342">
        <f>Table6[[#This Row],[CHESTS GEMS]]+Table6[[#This Row],[DAILY GEMS]]+Table6[[#This Row],[LEAGUES GEMS]]</f>
        <v>3.9</v>
      </c>
      <c r="L29" s="362">
        <f>Table6[[#This Row],[CHESTS COINS NEW]] +Table6[[#This Row],[DAILY COINS NEW]] +Table6[[#This Row],[LEAGUES COINS NEW]] +Table6[[#This Row],[MISSIONS COINS NEW]]</f>
        <v>176306</v>
      </c>
      <c r="M29" s="352">
        <f>Table6[[#This Row],[CHESTS GEMS NEW]] +Table6[[#This Row],[DAILY GEMS NEW]] +Table6[[#This Row],[LEAGUES GEMS NEW]]</f>
        <v>4.0999999999999996</v>
      </c>
      <c r="N29" s="357">
        <f>Table6[[#This Row],[COINS PER RUN]] *Table6[[#This Row],[RUNS PER DAY]]</f>
        <v>1</v>
      </c>
      <c r="O29" s="341">
        <v>90</v>
      </c>
      <c r="P29" s="341">
        <v>75</v>
      </c>
      <c r="Q29" s="292">
        <v>90</v>
      </c>
      <c r="R29" s="339">
        <v>60</v>
      </c>
      <c r="S29" s="345">
        <v>10</v>
      </c>
      <c r="T29" s="107">
        <v>1</v>
      </c>
      <c r="U29" s="107">
        <v>1</v>
      </c>
      <c r="V29" s="347">
        <v>1</v>
      </c>
      <c r="W29" s="316">
        <f>Table6[[#This Row],[CHEST REW. MOD.]]*($D$14+$D$15+$D$16)</f>
        <v>54000</v>
      </c>
      <c r="X29" s="312">
        <f t="shared" si="0"/>
        <v>3</v>
      </c>
      <c r="Y29" s="312">
        <f>ROUND((Table6[[#This Row],[DAILY REW. MOD.]]*($D$24+$D$26+$D$28))/7,0)</f>
        <v>21429</v>
      </c>
      <c r="Z29" s="312">
        <f t="shared" si="1"/>
        <v>0.9</v>
      </c>
      <c r="AA29" s="317">
        <f>ROUND((INDEX(Table12[AVG COINS],MATCH(Table6[[#This Row],[LEAGUE]],Table12[LEAGUE],0))) /$C$35,0)</f>
        <v>13600</v>
      </c>
      <c r="AB29" s="317">
        <f>ROUND((INDEX(Table12[AVG GEMS],MATCH(Table6[[#This Row],[LEAGUE]],Table12[LEAGUE],0))) /$C$35,2)</f>
        <v>0</v>
      </c>
      <c r="AC2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9" s="318">
        <f>Table6[[#This Row],[CHEST REW. MOD. NEW]]*($D$14+$D$15+$D$16)</f>
        <v>54000</v>
      </c>
      <c r="AE29" s="318">
        <f t="shared" si="2"/>
        <v>3</v>
      </c>
      <c r="AF29" s="318">
        <f>ROUND((Table6[[#This Row],[DAILY REW. MOD. NEW]]*($D$24+$D$26+$D$28))/7,0)</f>
        <v>17143</v>
      </c>
      <c r="AG29" s="318">
        <f t="shared" si="3"/>
        <v>0.9</v>
      </c>
      <c r="AH29" s="318">
        <f>ROUND((INDEX(Table12[AVG COINS NEW],MATCH(Table6[[#This Row],[LEAGUE]],Table12[LEAGUE],0))) /$C$36,0)</f>
        <v>6163</v>
      </c>
      <c r="AI29" s="318">
        <f>ROUND((INDEX(Table12[AVG GEMS NEW],MATCH(Table6[[#This Row],[LEAGUE]],Table12[LEAGUE],0))) / $C$36,2)</f>
        <v>0.2</v>
      </c>
      <c r="AJ2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9" s="354">
        <v>1</v>
      </c>
      <c r="AL29" s="355">
        <v>1</v>
      </c>
    </row>
    <row r="30" spans="2:38" x14ac:dyDescent="0.25">
      <c r="B30" s="282">
        <v>7</v>
      </c>
      <c r="C30" s="303" t="s">
        <v>427</v>
      </c>
      <c r="D30" s="323">
        <v>1</v>
      </c>
      <c r="E30" s="331">
        <v>1</v>
      </c>
      <c r="G30" s="358" t="s">
        <v>411</v>
      </c>
      <c r="H30" s="362">
        <f>Table6[[#This Row],[TOTAL COINS]] +Table6[[#This Row],[COINS IN RUNS PER DAY]]</f>
        <v>188030</v>
      </c>
      <c r="I30" s="352">
        <f>Table6[[#This Row],[TOTAL COINS NEW]] + Table6[[#This Row],[COINS IN RUNS PER DAY]]</f>
        <v>176307</v>
      </c>
      <c r="J30" s="350">
        <f>Table6[[#This Row],[CHESTS COINS]] + Table6[[#This Row],[DAILY COINS]]+Table6[[#This Row],[LEAGUES COINS]]+Table6[[#This Row],[MISSIONS COINS]]</f>
        <v>188029</v>
      </c>
      <c r="K30" s="342">
        <f>Table6[[#This Row],[CHESTS GEMS]]+Table6[[#This Row],[DAILY GEMS]]+Table6[[#This Row],[LEAGUES GEMS]]</f>
        <v>3.9</v>
      </c>
      <c r="L30" s="362">
        <f>Table6[[#This Row],[CHESTS COINS NEW]] +Table6[[#This Row],[DAILY COINS NEW]] +Table6[[#This Row],[LEAGUES COINS NEW]] +Table6[[#This Row],[MISSIONS COINS NEW]]</f>
        <v>176306</v>
      </c>
      <c r="M30" s="352">
        <f>Table6[[#This Row],[CHESTS GEMS NEW]] +Table6[[#This Row],[DAILY GEMS NEW]] +Table6[[#This Row],[LEAGUES GEMS NEW]]</f>
        <v>4.0999999999999996</v>
      </c>
      <c r="N30" s="357">
        <f>Table6[[#This Row],[COINS PER RUN]] *Table6[[#This Row],[RUNS PER DAY]]</f>
        <v>1</v>
      </c>
      <c r="O30" s="341">
        <v>90</v>
      </c>
      <c r="P30" s="341">
        <v>75</v>
      </c>
      <c r="Q30" s="292">
        <v>90</v>
      </c>
      <c r="R30" s="339">
        <v>60</v>
      </c>
      <c r="S30" s="345">
        <v>10</v>
      </c>
      <c r="T30" s="107">
        <v>1</v>
      </c>
      <c r="U30" s="107">
        <v>1</v>
      </c>
      <c r="V30" s="347">
        <v>1</v>
      </c>
      <c r="W30" s="316">
        <f>Table6[[#This Row],[CHEST REW. MOD.]]*($D$14+$D$15+$D$16)</f>
        <v>54000</v>
      </c>
      <c r="X30" s="312">
        <f t="shared" si="0"/>
        <v>3</v>
      </c>
      <c r="Y30" s="312">
        <f>ROUND((Table6[[#This Row],[DAILY REW. MOD.]]*($D$24+$D$26+$D$28))/7,0)</f>
        <v>21429</v>
      </c>
      <c r="Z30" s="312">
        <f t="shared" si="1"/>
        <v>0.9</v>
      </c>
      <c r="AA30" s="317">
        <f>ROUND((INDEX(Table12[AVG COINS],MATCH(Table6[[#This Row],[LEAGUE]],Table12[LEAGUE],0))) /$C$35,0)</f>
        <v>13600</v>
      </c>
      <c r="AB30" s="317">
        <f>ROUND((INDEX(Table12[AVG GEMS],MATCH(Table6[[#This Row],[LEAGUE]],Table12[LEAGUE],0))) /$C$35,2)</f>
        <v>0</v>
      </c>
      <c r="AC3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0" s="318">
        <f>Table6[[#This Row],[CHEST REW. MOD. NEW]]*($D$14+$D$15+$D$16)</f>
        <v>54000</v>
      </c>
      <c r="AE30" s="318">
        <f t="shared" si="2"/>
        <v>3</v>
      </c>
      <c r="AF30" s="318">
        <f>ROUND((Table6[[#This Row],[DAILY REW. MOD. NEW]]*($D$24+$D$26+$D$28))/7,0)</f>
        <v>17143</v>
      </c>
      <c r="AG30" s="318">
        <f t="shared" si="3"/>
        <v>0.9</v>
      </c>
      <c r="AH30" s="318">
        <f>ROUND((INDEX(Table12[AVG COINS NEW],MATCH(Table6[[#This Row],[LEAGUE]],Table12[LEAGUE],0))) /$C$36,0)</f>
        <v>6163</v>
      </c>
      <c r="AI30" s="318">
        <f>ROUND((INDEX(Table12[AVG GEMS NEW],MATCH(Table6[[#This Row],[LEAGUE]],Table12[LEAGUE],0))) / $C$36,2)</f>
        <v>0.2</v>
      </c>
      <c r="AJ3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0" s="354">
        <v>1</v>
      </c>
      <c r="AL30" s="355">
        <v>1</v>
      </c>
    </row>
    <row r="31" spans="2:38" x14ac:dyDescent="0.25">
      <c r="B31" s="282">
        <v>14</v>
      </c>
      <c r="C31" s="305" t="s">
        <v>428</v>
      </c>
      <c r="D31" s="328">
        <v>1</v>
      </c>
      <c r="E31" s="331">
        <v>1</v>
      </c>
      <c r="G31" s="358" t="s">
        <v>412</v>
      </c>
      <c r="H31" s="362">
        <f>Table6[[#This Row],[TOTAL COINS]] +Table6[[#This Row],[COINS IN RUNS PER DAY]]</f>
        <v>188030</v>
      </c>
      <c r="I31" s="352">
        <f>Table6[[#This Row],[TOTAL COINS NEW]] + Table6[[#This Row],[COINS IN RUNS PER DAY]]</f>
        <v>176307</v>
      </c>
      <c r="J31" s="350">
        <f>Table6[[#This Row],[CHESTS COINS]] + Table6[[#This Row],[DAILY COINS]]+Table6[[#This Row],[LEAGUES COINS]]+Table6[[#This Row],[MISSIONS COINS]]</f>
        <v>188029</v>
      </c>
      <c r="K31" s="342">
        <f>Table6[[#This Row],[CHESTS GEMS]]+Table6[[#This Row],[DAILY GEMS]]+Table6[[#This Row],[LEAGUES GEMS]]</f>
        <v>3.9</v>
      </c>
      <c r="L31" s="362">
        <f>Table6[[#This Row],[CHESTS COINS NEW]] +Table6[[#This Row],[DAILY COINS NEW]] +Table6[[#This Row],[LEAGUES COINS NEW]] +Table6[[#This Row],[MISSIONS COINS NEW]]</f>
        <v>176306</v>
      </c>
      <c r="M31" s="352">
        <f>Table6[[#This Row],[CHESTS GEMS NEW]] +Table6[[#This Row],[DAILY GEMS NEW]] +Table6[[#This Row],[LEAGUES GEMS NEW]]</f>
        <v>4.0999999999999996</v>
      </c>
      <c r="N31" s="357">
        <f>Table6[[#This Row],[COINS PER RUN]] *Table6[[#This Row],[RUNS PER DAY]]</f>
        <v>1</v>
      </c>
      <c r="O31" s="341">
        <v>90</v>
      </c>
      <c r="P31" s="341">
        <v>75</v>
      </c>
      <c r="Q31" s="292">
        <v>90</v>
      </c>
      <c r="R31" s="339">
        <v>60</v>
      </c>
      <c r="S31" s="345">
        <v>10</v>
      </c>
      <c r="T31" s="107">
        <v>1</v>
      </c>
      <c r="U31" s="107">
        <v>1</v>
      </c>
      <c r="V31" s="347">
        <v>1</v>
      </c>
      <c r="W31" s="316">
        <f>Table6[[#This Row],[CHEST REW. MOD.]]*($D$14+$D$15+$D$16)</f>
        <v>54000</v>
      </c>
      <c r="X31" s="312">
        <f t="shared" si="0"/>
        <v>3</v>
      </c>
      <c r="Y31" s="312">
        <f>ROUND((Table6[[#This Row],[DAILY REW. MOD.]]*($D$24+$D$26+$D$28))/7,0)</f>
        <v>21429</v>
      </c>
      <c r="Z31" s="312">
        <f t="shared" si="1"/>
        <v>0.9</v>
      </c>
      <c r="AA31" s="317">
        <f>ROUND((INDEX(Table12[AVG COINS],MATCH(Table6[[#This Row],[LEAGUE]],Table12[LEAGUE],0))) /$C$35,0)</f>
        <v>13600</v>
      </c>
      <c r="AB31" s="317">
        <f>ROUND((INDEX(Table12[AVG GEMS],MATCH(Table6[[#This Row],[LEAGUE]],Table12[LEAGUE],0))) /$C$35,2)</f>
        <v>0</v>
      </c>
      <c r="AC3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1" s="318">
        <f>Table6[[#This Row],[CHEST REW. MOD. NEW]]*($D$14+$D$15+$D$16)</f>
        <v>54000</v>
      </c>
      <c r="AE31" s="318">
        <f t="shared" si="2"/>
        <v>3</v>
      </c>
      <c r="AF31" s="318">
        <f>ROUND((Table6[[#This Row],[DAILY REW. MOD. NEW]]*($D$24+$D$26+$D$28))/7,0)</f>
        <v>17143</v>
      </c>
      <c r="AG31" s="318">
        <f t="shared" si="3"/>
        <v>0.9</v>
      </c>
      <c r="AH31" s="318">
        <f>ROUND((INDEX(Table12[AVG COINS NEW],MATCH(Table6[[#This Row],[LEAGUE]],Table12[LEAGUE],0))) /$C$36,0)</f>
        <v>6163</v>
      </c>
      <c r="AI31" s="318">
        <f>ROUND((INDEX(Table12[AVG GEMS NEW],MATCH(Table6[[#This Row],[LEAGUE]],Table12[LEAGUE],0))) / $C$36,2)</f>
        <v>0.2</v>
      </c>
      <c r="AJ3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1" s="354">
        <v>1</v>
      </c>
      <c r="AL31" s="355">
        <v>1</v>
      </c>
    </row>
    <row r="33" spans="2:8" x14ac:dyDescent="0.25">
      <c r="H33" t="s">
        <v>413</v>
      </c>
    </row>
    <row r="34" spans="2:8" x14ac:dyDescent="0.25">
      <c r="B34" s="150" t="s">
        <v>440</v>
      </c>
    </row>
    <row r="35" spans="2:8" x14ac:dyDescent="0.25">
      <c r="B35" s="295" t="s">
        <v>417</v>
      </c>
      <c r="C35" s="283">
        <v>7</v>
      </c>
      <c r="D35" t="s">
        <v>434</v>
      </c>
    </row>
    <row r="36" spans="2:8" x14ac:dyDescent="0.25">
      <c r="B36" s="353" t="s">
        <v>485</v>
      </c>
      <c r="C36" s="283">
        <v>2</v>
      </c>
      <c r="D36" t="s">
        <v>434</v>
      </c>
    </row>
    <row r="38" spans="2:8" x14ac:dyDescent="0.25">
      <c r="B38" s="296" t="s">
        <v>435</v>
      </c>
      <c r="C38" s="297" t="s">
        <v>436</v>
      </c>
      <c r="D38" s="298" t="s">
        <v>437</v>
      </c>
      <c r="E38" s="333" t="s">
        <v>464</v>
      </c>
      <c r="F38" s="332" t="s">
        <v>465</v>
      </c>
    </row>
    <row r="39" spans="2:8" x14ac:dyDescent="0.25">
      <c r="B39" s="286">
        <v>1</v>
      </c>
      <c r="C39" s="311">
        <f>ROUND(SUM(F60:F64)/100,0)</f>
        <v>7600</v>
      </c>
      <c r="D39" s="312">
        <v>0</v>
      </c>
      <c r="E39" s="311">
        <f>ROUND(SUM(J60:J64)/100,0)</f>
        <v>753</v>
      </c>
      <c r="F39" s="309">
        <v>0</v>
      </c>
    </row>
    <row r="40" spans="2:8" x14ac:dyDescent="0.25">
      <c r="B40" s="287">
        <v>2</v>
      </c>
      <c r="C40" s="311">
        <f>ROUND(SUM(F65:F69)/100,0)</f>
        <v>15600</v>
      </c>
      <c r="D40" s="312">
        <v>0</v>
      </c>
      <c r="E40" s="311">
        <f>ROUND(SUM(J65:J69)/100,0)</f>
        <v>1260</v>
      </c>
      <c r="F40" s="309">
        <v>0</v>
      </c>
    </row>
    <row r="41" spans="2:8" x14ac:dyDescent="0.25">
      <c r="B41" s="288">
        <v>3</v>
      </c>
      <c r="C41" s="311">
        <f>ROUND(SUM(F70:F74)/100,0)</f>
        <v>23700</v>
      </c>
      <c r="D41" s="312">
        <v>0</v>
      </c>
      <c r="E41" s="311">
        <f>ROUND(SUM(J70:J73)/100,0)</f>
        <v>2985</v>
      </c>
      <c r="F41" s="309">
        <v>0</v>
      </c>
    </row>
    <row r="42" spans="2:8" x14ac:dyDescent="0.25">
      <c r="B42" s="287">
        <v>4</v>
      </c>
      <c r="C42" s="311">
        <f>ROUND(SUM(F75:F79)/100,0)</f>
        <v>34800</v>
      </c>
      <c r="D42" s="312">
        <v>0</v>
      </c>
      <c r="E42" s="311">
        <f>ROUND(SUM(J75:J78)/100,0)</f>
        <v>4470</v>
      </c>
      <c r="F42" s="309">
        <v>0</v>
      </c>
    </row>
    <row r="43" spans="2:8" x14ac:dyDescent="0.25">
      <c r="B43" s="288">
        <v>5</v>
      </c>
      <c r="C43" s="311">
        <f>ROUND(SUM(F80:F84)/100,0)</f>
        <v>43500</v>
      </c>
      <c r="D43" s="312">
        <v>0</v>
      </c>
      <c r="E43" s="311">
        <f>ROUND(SUM(J80:J83)/100,0)</f>
        <v>5955</v>
      </c>
      <c r="F43" s="309">
        <v>0</v>
      </c>
    </row>
    <row r="44" spans="2:8" x14ac:dyDescent="0.25">
      <c r="B44" s="287">
        <v>6</v>
      </c>
      <c r="C44" s="311">
        <f>ROUND(SUM(F85:F89)/100,0)</f>
        <v>50400</v>
      </c>
      <c r="D44" s="312">
        <v>0</v>
      </c>
      <c r="E44" s="311">
        <f>ROUND(SUM(J85:J88)/100,0)</f>
        <v>7440</v>
      </c>
      <c r="F44" s="309">
        <v>0</v>
      </c>
    </row>
    <row r="45" spans="2:8" x14ac:dyDescent="0.25">
      <c r="B45" s="288">
        <v>7</v>
      </c>
      <c r="C45" s="311">
        <f>ROUND(SUM(F90:F94)/100,0)</f>
        <v>58000</v>
      </c>
      <c r="D45" s="312">
        <v>0</v>
      </c>
      <c r="E45" s="311">
        <f>ROUND(SUM(J90:J93)/100,0)</f>
        <v>8925</v>
      </c>
      <c r="F45" s="309">
        <v>0</v>
      </c>
    </row>
    <row r="46" spans="2:8" x14ac:dyDescent="0.25">
      <c r="B46" s="287">
        <v>8</v>
      </c>
      <c r="C46" s="311">
        <f>ROUND(SUM(F95:F99)/100,0)</f>
        <v>68200</v>
      </c>
      <c r="D46" s="312">
        <f>ROUND(F98/100,2)</f>
        <v>0</v>
      </c>
      <c r="E46" s="311">
        <f>ROUND(SUM(J95:J97)/100,0)</f>
        <v>9950</v>
      </c>
      <c r="F46" s="312">
        <f>ROUND(J98/100,2)</f>
        <v>0.2</v>
      </c>
    </row>
    <row r="47" spans="2:8" x14ac:dyDescent="0.25">
      <c r="B47" s="288">
        <v>9</v>
      </c>
      <c r="C47" s="311">
        <f>ROUND(SUM(F100:F104)/100,0)</f>
        <v>77800</v>
      </c>
      <c r="D47" s="312">
        <f>ROUND(F103/100,2)</f>
        <v>0</v>
      </c>
      <c r="E47" s="311">
        <f>ROUND(SUM(J100:J102)/100,0)</f>
        <v>11375</v>
      </c>
      <c r="F47" s="312">
        <f>ROUND(J103/100,2)</f>
        <v>0.2</v>
      </c>
    </row>
    <row r="48" spans="2:8" x14ac:dyDescent="0.25">
      <c r="B48" s="289">
        <v>10</v>
      </c>
      <c r="C48" s="311">
        <f>ROUND(SUM(F105:F109)/100,0)</f>
        <v>95200</v>
      </c>
      <c r="D48" s="312">
        <f>ROUND(F108/100,2)</f>
        <v>0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5" t="s">
        <v>445</v>
      </c>
      <c r="C58" s="375"/>
      <c r="D58" s="375"/>
      <c r="E58" s="375"/>
      <c r="F58" s="375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484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4000</v>
      </c>
      <c r="E60" s="306">
        <v>100</v>
      </c>
      <c r="F60" s="335">
        <f>Table13[[#This Row],[AMOUNT]]*(Table13[[#This Row],[TARGET]]-E61)</f>
        <v>40000</v>
      </c>
      <c r="G60" s="306" t="s">
        <v>425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8000</v>
      </c>
      <c r="E61" s="307">
        <v>90</v>
      </c>
      <c r="F61" s="335">
        <f>Table13[[#This Row],[AMOUNT]]*(Table13[[#This Row],[TARGET]]-E62)</f>
        <v>320000</v>
      </c>
      <c r="G61" s="307" t="s">
        <v>425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10000</v>
      </c>
      <c r="E62" s="307">
        <v>50</v>
      </c>
      <c r="F62" s="335">
        <f>Table13[[#This Row],[AMOUNT]]*(Table13[[#This Row],[TARGET]]-E63)</f>
        <v>400000</v>
      </c>
      <c r="G62" s="307" t="s">
        <v>425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483</v>
      </c>
      <c r="D63" s="307">
        <v>20</v>
      </c>
      <c r="E63" s="307">
        <v>10</v>
      </c>
      <c r="F63" s="335">
        <v>0</v>
      </c>
      <c r="G63" s="307" t="s">
        <v>425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483</v>
      </c>
      <c r="D64" s="307">
        <v>80</v>
      </c>
      <c r="E64" s="307">
        <v>1</v>
      </c>
      <c r="F64" s="335">
        <v>0</v>
      </c>
      <c r="G64" s="307" t="s">
        <v>425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12000</v>
      </c>
      <c r="E65" s="307">
        <v>100</v>
      </c>
      <c r="F65" s="335">
        <f>Table13[[#This Row],[AMOUNT]]*(Table13[[#This Row],[TARGET]]-E66)</f>
        <v>120000</v>
      </c>
      <c r="G65" s="307" t="s">
        <v>425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16000</v>
      </c>
      <c r="E66" s="307">
        <v>90</v>
      </c>
      <c r="F66" s="335">
        <f>Table13[[#This Row],[AMOUNT]]*(Table13[[#This Row],[TARGET]]-E67)</f>
        <v>640000</v>
      </c>
      <c r="G66" s="307" t="s">
        <v>425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20000</v>
      </c>
      <c r="E67" s="307">
        <v>50</v>
      </c>
      <c r="F67" s="335">
        <f>Table13[[#This Row],[AMOUNT]]*(Table13[[#This Row],[TARGET]]-E68)</f>
        <v>800000</v>
      </c>
      <c r="G67" s="307" t="s">
        <v>425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483</v>
      </c>
      <c r="D68" s="307">
        <v>30</v>
      </c>
      <c r="E68" s="307">
        <v>10</v>
      </c>
      <c r="F68" s="335">
        <v>0</v>
      </c>
      <c r="G68" s="307" t="s">
        <v>425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483</v>
      </c>
      <c r="D69" s="307">
        <v>100</v>
      </c>
      <c r="E69" s="307">
        <v>1</v>
      </c>
      <c r="F69" s="335">
        <v>0</v>
      </c>
      <c r="G69" s="307" t="s">
        <v>425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21000</v>
      </c>
      <c r="E70" s="307">
        <v>100</v>
      </c>
      <c r="F70" s="335">
        <f>Table13[[#This Row],[AMOUNT]]*(Table13[[#This Row],[TARGET]]-E71)</f>
        <v>210000</v>
      </c>
      <c r="G70" s="307" t="s">
        <v>425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24000</v>
      </c>
      <c r="E71" s="307">
        <v>90</v>
      </c>
      <c r="F71" s="335">
        <f>Table13[[#This Row],[AMOUNT]]*(Table13[[#This Row],[TARGET]]-E72)</f>
        <v>960000</v>
      </c>
      <c r="G71" s="307" t="s">
        <v>425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30000</v>
      </c>
      <c r="E72" s="307">
        <v>50</v>
      </c>
      <c r="F72" s="335">
        <f>Table13[[#This Row],[AMOUNT]]*(Table13[[#This Row],[TARGET]]-E73)</f>
        <v>1200000</v>
      </c>
      <c r="G72" s="307" t="s">
        <v>425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483</v>
      </c>
      <c r="D73" s="307">
        <v>50</v>
      </c>
      <c r="E73" s="307">
        <v>10</v>
      </c>
      <c r="F73" s="335">
        <v>0</v>
      </c>
      <c r="G73" s="307" t="s">
        <v>425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483</v>
      </c>
      <c r="D74" s="307">
        <v>110</v>
      </c>
      <c r="E74" s="307">
        <v>1</v>
      </c>
      <c r="F74" s="335">
        <v>0</v>
      </c>
      <c r="G74" s="307" t="s">
        <v>428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425</v>
      </c>
      <c r="D75" s="307">
        <v>32000</v>
      </c>
      <c r="E75" s="307">
        <v>100</v>
      </c>
      <c r="F75" s="335">
        <f>Table13[[#This Row],[AMOUNT]]*(Table13[[#This Row],[TARGET]]-E76)</f>
        <v>320000</v>
      </c>
      <c r="G75" s="307" t="s">
        <v>425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37000</v>
      </c>
      <c r="E76" s="307">
        <v>90</v>
      </c>
      <c r="F76" s="335">
        <f>Table13[[#This Row],[AMOUNT]]*(Table13[[#This Row],[TARGET]]-E77)</f>
        <v>1480000</v>
      </c>
      <c r="G76" s="307" t="s">
        <v>425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42000</v>
      </c>
      <c r="E77" s="307">
        <v>50</v>
      </c>
      <c r="F77" s="335">
        <f>Table13[[#This Row],[AMOUNT]]*(Table13[[#This Row],[TARGET]]-E78)</f>
        <v>1680000</v>
      </c>
      <c r="G77" s="307" t="s">
        <v>425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483</v>
      </c>
      <c r="D78" s="307">
        <v>60</v>
      </c>
      <c r="E78" s="307">
        <v>10</v>
      </c>
      <c r="F78" s="335">
        <v>0</v>
      </c>
      <c r="G78" s="307" t="s">
        <v>425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483</v>
      </c>
      <c r="D79" s="307">
        <v>120</v>
      </c>
      <c r="E79" s="307">
        <v>1</v>
      </c>
      <c r="F79" s="335">
        <v>0</v>
      </c>
      <c r="G79" s="307" t="s">
        <v>428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425</v>
      </c>
      <c r="D80" s="307">
        <v>43000</v>
      </c>
      <c r="E80" s="307">
        <v>100</v>
      </c>
      <c r="F80" s="335">
        <f>Table13[[#This Row],[AMOUNT]]*(Table13[[#This Row],[TARGET]]-E81)</f>
        <v>430000</v>
      </c>
      <c r="G80" s="307" t="s">
        <v>425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48000</v>
      </c>
      <c r="E81" s="307">
        <v>90</v>
      </c>
      <c r="F81" s="335">
        <f>Table13[[#This Row],[AMOUNT]]*(Table13[[#This Row],[TARGET]]-E82)</f>
        <v>1920000</v>
      </c>
      <c r="G81" s="307" t="s">
        <v>425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50000</v>
      </c>
      <c r="E82" s="307">
        <v>50</v>
      </c>
      <c r="F82" s="335">
        <f>Table13[[#This Row],[AMOUNT]]*(Table13[[#This Row],[TARGET]]-E83)</f>
        <v>2000000</v>
      </c>
      <c r="G82" s="307" t="s">
        <v>425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483</v>
      </c>
      <c r="D83" s="307">
        <v>70</v>
      </c>
      <c r="E83" s="307">
        <v>10</v>
      </c>
      <c r="F83" s="335">
        <v>0</v>
      </c>
      <c r="G83" s="307" t="s">
        <v>425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483</v>
      </c>
      <c r="D84" s="307">
        <v>130</v>
      </c>
      <c r="E84" s="307">
        <v>1</v>
      </c>
      <c r="F84" s="335">
        <v>0</v>
      </c>
      <c r="G84" s="307" t="s">
        <v>428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425</v>
      </c>
      <c r="D85" s="307">
        <v>52000</v>
      </c>
      <c r="E85" s="307">
        <v>100</v>
      </c>
      <c r="F85" s="335">
        <f>Table13[[#This Row],[AMOUNT]]*(Table13[[#This Row],[TARGET]]-E86)</f>
        <v>520000</v>
      </c>
      <c r="G85" s="307" t="s">
        <v>425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55000</v>
      </c>
      <c r="E86" s="307">
        <v>90</v>
      </c>
      <c r="F86" s="335">
        <f>Table13[[#This Row],[AMOUNT]]*(Table13[[#This Row],[TARGET]]-E87)</f>
        <v>2200000</v>
      </c>
      <c r="G86" s="307" t="s">
        <v>425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58000</v>
      </c>
      <c r="E87" s="307">
        <v>50</v>
      </c>
      <c r="F87" s="335">
        <f>Table13[[#This Row],[AMOUNT]]*(Table13[[#This Row],[TARGET]]-E88)</f>
        <v>2320000</v>
      </c>
      <c r="G87" s="307" t="s">
        <v>425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483</v>
      </c>
      <c r="D88" s="307">
        <v>80</v>
      </c>
      <c r="E88" s="307">
        <v>10</v>
      </c>
      <c r="F88" s="335">
        <v>0</v>
      </c>
      <c r="G88" s="307" t="s">
        <v>425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483</v>
      </c>
      <c r="D89" s="307">
        <v>140</v>
      </c>
      <c r="E89" s="307">
        <v>1</v>
      </c>
      <c r="F89" s="335">
        <v>0</v>
      </c>
      <c r="G89" s="307" t="s">
        <v>428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425</v>
      </c>
      <c r="D90" s="307">
        <v>60000</v>
      </c>
      <c r="E90" s="307">
        <v>100</v>
      </c>
      <c r="F90" s="335">
        <f>Table13[[#This Row],[AMOUNT]]*(Table13[[#This Row],[TARGET]]-E91)</f>
        <v>600000</v>
      </c>
      <c r="G90" s="307" t="s">
        <v>425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63000</v>
      </c>
      <c r="E91" s="307">
        <v>90</v>
      </c>
      <c r="F91" s="335">
        <f>Table13[[#This Row],[AMOUNT]]*(Table13[[#This Row],[TARGET]]-E92)</f>
        <v>2520000</v>
      </c>
      <c r="G91" s="307" t="s">
        <v>425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67000</v>
      </c>
      <c r="E92" s="307">
        <v>50</v>
      </c>
      <c r="F92" s="335">
        <f>Table13[[#This Row],[AMOUNT]]*(Table13[[#This Row],[TARGET]]-E93)</f>
        <v>2680000</v>
      </c>
      <c r="G92" s="307" t="s">
        <v>425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483</v>
      </c>
      <c r="D93" s="307">
        <v>90</v>
      </c>
      <c r="E93" s="307">
        <v>10</v>
      </c>
      <c r="F93" s="335">
        <v>0</v>
      </c>
      <c r="G93" s="307" t="s">
        <v>425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483</v>
      </c>
      <c r="D94" s="307">
        <v>150</v>
      </c>
      <c r="E94" s="307">
        <v>1</v>
      </c>
      <c r="F94" s="335">
        <v>0</v>
      </c>
      <c r="G94" s="307" t="s">
        <v>428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425</v>
      </c>
      <c r="D95" s="307">
        <v>70000</v>
      </c>
      <c r="E95" s="307">
        <v>100</v>
      </c>
      <c r="F95" s="335">
        <f>Table13[[#This Row],[AMOUNT]]*(Table13[[#This Row],[TARGET]]-E96)</f>
        <v>700000</v>
      </c>
      <c r="G95" s="307" t="s">
        <v>425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73000</v>
      </c>
      <c r="E96" s="307">
        <v>90</v>
      </c>
      <c r="F96" s="335">
        <f>Table13[[#This Row],[AMOUNT]]*(Table13[[#This Row],[TARGET]]-E97)</f>
        <v>2920000</v>
      </c>
      <c r="G96" s="307" t="s">
        <v>425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80000</v>
      </c>
      <c r="E97" s="307">
        <v>50</v>
      </c>
      <c r="F97" s="335">
        <f>Table13[[#This Row],[AMOUNT]]*(Table13[[#This Row],[TARGET]]-E98)</f>
        <v>3200000</v>
      </c>
      <c r="G97" s="307" t="s">
        <v>425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483</v>
      </c>
      <c r="D98" s="307">
        <v>100</v>
      </c>
      <c r="E98" s="307">
        <v>10</v>
      </c>
      <c r="F98" s="335">
        <v>0</v>
      </c>
      <c r="G98" s="307" t="s">
        <v>419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483</v>
      </c>
      <c r="D99" s="307">
        <v>160</v>
      </c>
      <c r="E99" s="307">
        <v>1</v>
      </c>
      <c r="F99" s="335">
        <v>0</v>
      </c>
      <c r="G99" s="307" t="s">
        <v>428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425</v>
      </c>
      <c r="D100" s="307">
        <v>82000</v>
      </c>
      <c r="E100" s="307">
        <v>100</v>
      </c>
      <c r="F100" s="335">
        <f>Table13[[#This Row],[AMOUNT]]*(Table13[[#This Row],[TARGET]]-E101)</f>
        <v>820000</v>
      </c>
      <c r="G100" s="307" t="s">
        <v>425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85000</v>
      </c>
      <c r="E101" s="307">
        <v>90</v>
      </c>
      <c r="F101" s="335">
        <f>Table13[[#This Row],[AMOUNT]]*(Table13[[#This Row],[TARGET]]-E102)</f>
        <v>3400000</v>
      </c>
      <c r="G101" s="307" t="s">
        <v>425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89000</v>
      </c>
      <c r="E102" s="307">
        <v>50</v>
      </c>
      <c r="F102" s="335">
        <f>Table13[[#This Row],[AMOUNT]]*(Table13[[#This Row],[TARGET]]-E103)</f>
        <v>3560000</v>
      </c>
      <c r="G102" s="307" t="s">
        <v>425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483</v>
      </c>
      <c r="D103" s="307">
        <v>110</v>
      </c>
      <c r="E103" s="307">
        <v>10</v>
      </c>
      <c r="F103" s="335">
        <v>0</v>
      </c>
      <c r="G103" s="307" t="s">
        <v>419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483</v>
      </c>
      <c r="D104" s="307">
        <v>170</v>
      </c>
      <c r="E104" s="307">
        <v>1</v>
      </c>
      <c r="F104" s="335">
        <v>0</v>
      </c>
      <c r="G104" s="307" t="s">
        <v>428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425</v>
      </c>
      <c r="D105" s="307">
        <v>92000</v>
      </c>
      <c r="E105" s="307">
        <v>100</v>
      </c>
      <c r="F105" s="335">
        <f>Table13[[#This Row],[AMOUNT]]*(Table13[[#This Row],[TARGET]]-E106)</f>
        <v>920000</v>
      </c>
      <c r="G105" s="307" t="s">
        <v>425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95000</v>
      </c>
      <c r="E106" s="307">
        <v>90</v>
      </c>
      <c r="F106" s="335">
        <f>Table13[[#This Row],[AMOUNT]]*(Table13[[#This Row],[TARGET]]-E107)</f>
        <v>3800000</v>
      </c>
      <c r="G106" s="307" t="s">
        <v>425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120000</v>
      </c>
      <c r="E107" s="307">
        <v>50</v>
      </c>
      <c r="F107" s="335">
        <f>Table13[[#This Row],[AMOUNT]]*(Table13[[#This Row],[TARGET]]-E108)</f>
        <v>4800000</v>
      </c>
      <c r="G107" s="307" t="s">
        <v>425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483</v>
      </c>
      <c r="D108" s="307">
        <v>120</v>
      </c>
      <c r="E108" s="307">
        <v>10</v>
      </c>
      <c r="F108" s="335">
        <v>0</v>
      </c>
      <c r="G108" s="307" t="s">
        <v>419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483</v>
      </c>
      <c r="D109" s="308">
        <v>180</v>
      </c>
      <c r="E109" s="308">
        <v>1</v>
      </c>
      <c r="F109" s="335">
        <v>0</v>
      </c>
      <c r="G109" s="308" t="s">
        <v>428</v>
      </c>
      <c r="H109" s="320" t="s">
        <v>230</v>
      </c>
      <c r="I109" s="320">
        <v>1</v>
      </c>
      <c r="J109" s="33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disablePrompts="1"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workbookViewId="0">
      <selection activeCell="J56" sqref="J5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4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81" t="s">
        <v>203</v>
      </c>
      <c r="G15" s="382"/>
      <c r="H15" s="383"/>
      <c r="I15" s="381" t="s">
        <v>270</v>
      </c>
      <c r="J15" s="382"/>
      <c r="K15" s="383"/>
      <c r="L15" s="381" t="s">
        <v>281</v>
      </c>
      <c r="M15" s="382"/>
      <c r="N15" s="383"/>
      <c r="O15" s="381" t="s">
        <v>282</v>
      </c>
      <c r="P15" s="382"/>
      <c r="Q15" s="383"/>
      <c r="R15" s="381" t="s">
        <v>283</v>
      </c>
      <c r="S15" s="382"/>
      <c r="T15" s="383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600</v>
      </c>
      <c r="G29" s="175">
        <f>F29/$B$3</f>
        <v>60</v>
      </c>
      <c r="H29" s="167">
        <f t="shared" si="1"/>
        <v>40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650</v>
      </c>
      <c r="G30" s="183">
        <f>F30/$B$3</f>
        <v>65</v>
      </c>
      <c r="H30" s="168">
        <f>ROUND(F30/$B$4,2)</f>
        <v>43.33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700</v>
      </c>
      <c r="G31" s="175">
        <f t="shared" si="2"/>
        <v>70</v>
      </c>
      <c r="H31" s="167">
        <f t="shared" si="1"/>
        <v>46.67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750</v>
      </c>
      <c r="G32" s="183">
        <f t="shared" si="2"/>
        <v>75</v>
      </c>
      <c r="H32" s="168">
        <f t="shared" si="1"/>
        <v>50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800</v>
      </c>
      <c r="G33" s="207">
        <f t="shared" si="2"/>
        <v>80</v>
      </c>
      <c r="H33" s="166">
        <f t="shared" si="1"/>
        <v>53.33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4" t="s">
        <v>267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</row>
    <row r="54" spans="1:15" ht="15" customHeight="1" x14ac:dyDescent="0.25">
      <c r="A54" s="384"/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414</v>
      </c>
      <c r="H80" s="128">
        <f t="shared" si="7"/>
        <v>1.7000000000000001E-2</v>
      </c>
      <c r="I80" s="135">
        <f t="shared" si="8"/>
        <v>2.5000000000000001E-2</v>
      </c>
      <c r="K80" s="222">
        <v>1</v>
      </c>
      <c r="L80" s="134" t="s">
        <v>241</v>
      </c>
      <c r="M80" s="197">
        <f t="shared" si="5"/>
        <v>60</v>
      </c>
      <c r="N80" s="200">
        <f t="shared" si="6"/>
        <v>40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415</v>
      </c>
      <c r="H81" s="127">
        <f t="shared" si="7"/>
        <v>1.4999999999999999E-2</v>
      </c>
      <c r="I81" s="133">
        <f t="shared" si="8"/>
        <v>2.3E-2</v>
      </c>
      <c r="K81" s="222">
        <v>1</v>
      </c>
      <c r="L81" s="132" t="s">
        <v>242</v>
      </c>
      <c r="M81" s="198">
        <f t="shared" si="5"/>
        <v>65</v>
      </c>
      <c r="N81" s="199">
        <f t="shared" si="6"/>
        <v>43.33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1.4E-2</v>
      </c>
      <c r="I82" s="135">
        <f t="shared" si="8"/>
        <v>2.1000000000000001E-2</v>
      </c>
      <c r="K82" s="222">
        <v>1</v>
      </c>
      <c r="L82" s="134" t="s">
        <v>243</v>
      </c>
      <c r="M82" s="197">
        <f t="shared" si="5"/>
        <v>70</v>
      </c>
      <c r="N82" s="200">
        <f t="shared" si="6"/>
        <v>46.67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1.2999999999999999E-2</v>
      </c>
      <c r="I83" s="133">
        <f t="shared" si="8"/>
        <v>0.02</v>
      </c>
      <c r="K83" s="222">
        <v>1</v>
      </c>
      <c r="L83" s="132" t="s">
        <v>244</v>
      </c>
      <c r="M83" s="198">
        <f t="shared" si="5"/>
        <v>75</v>
      </c>
      <c r="N83" s="199">
        <f t="shared" si="6"/>
        <v>50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1.2999999999999999E-2</v>
      </c>
      <c r="I84" s="239">
        <f t="shared" si="8"/>
        <v>1.9E-2</v>
      </c>
      <c r="K84" s="250">
        <v>1</v>
      </c>
      <c r="L84" s="224" t="s">
        <v>250</v>
      </c>
      <c r="M84" s="251">
        <f t="shared" si="5"/>
        <v>80</v>
      </c>
      <c r="N84" s="252">
        <f t="shared" si="6"/>
        <v>53.33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0</v>
      </c>
      <c r="C122" s="145">
        <f>B122*J28</f>
        <v>0</v>
      </c>
      <c r="D122" s="146">
        <f>B122*K28</f>
        <v>0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406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0</v>
      </c>
      <c r="D128" s="263">
        <f>ROUND(SUM(D59:D125),1)</f>
        <v>0</v>
      </c>
      <c r="F128" s="261" t="s">
        <v>403</v>
      </c>
      <c r="G128" s="269"/>
      <c r="H128" s="262" t="s">
        <v>405</v>
      </c>
    </row>
    <row r="129" spans="1:8" ht="15.75" thickTop="1" x14ac:dyDescent="0.25">
      <c r="A129" s="264" t="s">
        <v>127</v>
      </c>
      <c r="B129" s="119">
        <v>10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407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09DE11B8-3459-491D-8BA8-7D75F0234420}">
  <ds:schemaRefs/>
</ds:datastoreItem>
</file>

<file path=customXml/itemProps4.xml><?xml version="1.0" encoding="utf-8"?>
<ds:datastoreItem xmlns:ds="http://schemas.openxmlformats.org/officeDocument/2006/customXml" ds:itemID="{E4A9B254-DDD8-464F-AF7A-4D112BB6FD8E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F92C5DF9-F10E-4F67-A74E-2A3531B26D44}">
  <ds:schemaRefs/>
</ds:datastoreItem>
</file>

<file path=customXml/itemProps8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</ds:schemaRefs>
</ds:datastoreItem>
</file>

<file path=customXml/itemProps9.xml><?xml version="1.0" encoding="utf-8"?>
<ds:datastoreItem xmlns:ds="http://schemas.openxmlformats.org/officeDocument/2006/customXml" ds:itemID="{8428E760-B837-43D3-BFB6-FA3F00E4351C}">
  <ds:schemaRefs/>
</ds:datastoreItem>
</file>

<file path=customXml/itemProps1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498F0357-19EF-429B-ABBE-9EE0F18B7652}">
  <ds:schemaRefs/>
</ds:datastoreItem>
</file>

<file path=customXml/itemProps12.xml><?xml version="1.0" encoding="utf-8"?>
<ds:datastoreItem xmlns:ds="http://schemas.openxmlformats.org/officeDocument/2006/customXml" ds:itemID="{E68C531D-A362-4FEB-8EB6-C7E4117D7A69}">
  <ds:schemaRefs/>
</ds:datastoreItem>
</file>

<file path=customXml/itemProps13.xml><?xml version="1.0" encoding="utf-8"?>
<ds:datastoreItem xmlns:ds="http://schemas.openxmlformats.org/officeDocument/2006/customXml" ds:itemID="{457F4C07-1709-4595-8EC4-6C0DABF04268}">
  <ds:schemaRefs/>
</ds:datastoreItem>
</file>

<file path=customXml/itemProps14.xml><?xml version="1.0" encoding="utf-8"?>
<ds:datastoreItem xmlns:ds="http://schemas.openxmlformats.org/officeDocument/2006/customXml" ds:itemID="{B0B7BE38-2889-44EA-9FB0-2D6FF9BB889A}">
  <ds:schemaRefs/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3B5C8196-2348-4D06-B408-7ECE9A09663C}">
  <ds:schemaRefs/>
</ds:datastoreItem>
</file>

<file path=customXml/itemProps1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27B0BC59-0E6A-4278-957E-2A6158A5EF58}">
  <ds:schemaRefs/>
</ds:datastoreItem>
</file>

<file path=customXml/itemProps20.xml><?xml version="1.0" encoding="utf-8"?>
<ds:datastoreItem xmlns:ds="http://schemas.openxmlformats.org/officeDocument/2006/customXml" ds:itemID="{A502F854-1DC8-4930-AC9B-4F60D9DD5EEF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73EAB481-866B-4C0F-8627-26832E150B4D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2019-09-09T07:03:50Z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