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34" i="15" l="1"/>
  <c r="N133" i="15"/>
  <c r="N132" i="15"/>
  <c r="N131" i="15"/>
  <c r="M134" i="15"/>
  <c r="M133" i="15"/>
  <c r="M132" i="15"/>
  <c r="M131" i="15"/>
  <c r="I134" i="15"/>
  <c r="I133" i="15"/>
  <c r="I132" i="15"/>
  <c r="I131" i="15"/>
  <c r="H134" i="15"/>
  <c r="H133" i="15"/>
  <c r="H132" i="15"/>
  <c r="H131" i="15"/>
  <c r="H81" i="15"/>
  <c r="D134" i="15"/>
  <c r="D133" i="15"/>
  <c r="D132" i="15"/>
  <c r="D131" i="15"/>
  <c r="C134" i="15"/>
  <c r="C133" i="15"/>
  <c r="C132" i="15"/>
  <c r="C131" i="15"/>
  <c r="M81" i="15"/>
  <c r="C81" i="15"/>
  <c r="S29" i="15"/>
  <c r="P29" i="15"/>
  <c r="M29" i="15"/>
  <c r="M28" i="15"/>
  <c r="G29" i="15"/>
  <c r="J29" i="15"/>
  <c r="N28" i="53"/>
  <c r="W28" i="53"/>
  <c r="J28" i="53" s="1"/>
  <c r="H28" i="53" s="1"/>
  <c r="X28" i="53"/>
  <c r="K28" i="53" s="1"/>
  <c r="Y28" i="53"/>
  <c r="Z28" i="53"/>
  <c r="AA28" i="53"/>
  <c r="AB28" i="53"/>
  <c r="AC28" i="53"/>
  <c r="AD28" i="53"/>
  <c r="AE28" i="53"/>
  <c r="AF28" i="53"/>
  <c r="L28" i="53" s="1"/>
  <c r="I28" i="53" s="1"/>
  <c r="AG28" i="53"/>
  <c r="AH28" i="53"/>
  <c r="AI28" i="53"/>
  <c r="M28" i="53" s="1"/>
  <c r="AJ28" i="53"/>
  <c r="J29" i="53"/>
  <c r="H29" i="53" s="1"/>
  <c r="N29" i="53"/>
  <c r="W29" i="53"/>
  <c r="X29" i="53"/>
  <c r="K29" i="53" s="1"/>
  <c r="Y29" i="53"/>
  <c r="Z29" i="53"/>
  <c r="AA29" i="53"/>
  <c r="AB29" i="53"/>
  <c r="AC29" i="53"/>
  <c r="AD29" i="53"/>
  <c r="L29" i="53" s="1"/>
  <c r="I29" i="53" s="1"/>
  <c r="AE29" i="53"/>
  <c r="M29" i="53" s="1"/>
  <c r="AF29" i="53"/>
  <c r="AG29" i="53"/>
  <c r="AH29" i="53"/>
  <c r="AI29" i="53"/>
  <c r="AJ29" i="53"/>
  <c r="N30" i="53"/>
  <c r="W30" i="53"/>
  <c r="J30" i="53" s="1"/>
  <c r="H30" i="53" s="1"/>
  <c r="X30" i="53"/>
  <c r="Y30" i="53"/>
  <c r="Z30" i="53"/>
  <c r="AA30" i="53"/>
  <c r="AB30" i="53"/>
  <c r="K30" i="53" s="1"/>
  <c r="AC30" i="53"/>
  <c r="AD30" i="53"/>
  <c r="AE30" i="53"/>
  <c r="AF30" i="53"/>
  <c r="L30" i="53" s="1"/>
  <c r="I30" i="53" s="1"/>
  <c r="AG30" i="53"/>
  <c r="M30" i="53" s="1"/>
  <c r="AH30" i="53"/>
  <c r="AI30" i="53"/>
  <c r="AJ30" i="53"/>
  <c r="N31" i="53"/>
  <c r="W31" i="53"/>
  <c r="J31" i="53" s="1"/>
  <c r="H31" i="53" s="1"/>
  <c r="X31" i="53"/>
  <c r="K31" i="53" s="1"/>
  <c r="Y31" i="53"/>
  <c r="Z31" i="53"/>
  <c r="AA31" i="53"/>
  <c r="AB31" i="53"/>
  <c r="AC31" i="53"/>
  <c r="AD31" i="53"/>
  <c r="AE31" i="53"/>
  <c r="M31" i="53" s="1"/>
  <c r="AF31" i="53"/>
  <c r="L31" i="53" s="1"/>
  <c r="I31" i="53" s="1"/>
  <c r="AG31" i="53"/>
  <c r="AH31" i="53"/>
  <c r="AI31" i="53"/>
  <c r="AJ31" i="53"/>
  <c r="N32" i="53"/>
  <c r="W32" i="53"/>
  <c r="J32" i="53" s="1"/>
  <c r="H32" i="53" s="1"/>
  <c r="X32" i="53"/>
  <c r="Y32" i="53"/>
  <c r="Z32" i="53"/>
  <c r="K32" i="53" s="1"/>
  <c r="AA32" i="53"/>
  <c r="AB32" i="53"/>
  <c r="AC32" i="53"/>
  <c r="AD32" i="53"/>
  <c r="AE32" i="53"/>
  <c r="AF32" i="53"/>
  <c r="L32" i="53" s="1"/>
  <c r="I32" i="53" s="1"/>
  <c r="AG32" i="53"/>
  <c r="M32" i="53" s="1"/>
  <c r="AH32" i="53"/>
  <c r="AI32" i="53"/>
  <c r="AJ32" i="53"/>
  <c r="B91" i="32"/>
  <c r="B92" i="32"/>
  <c r="E24" i="32"/>
  <c r="C24" i="32"/>
  <c r="F58" i="32"/>
  <c r="F75" i="32" s="1"/>
  <c r="B62" i="32"/>
  <c r="C65" i="32"/>
  <c r="C64" i="32"/>
  <c r="C63" i="32"/>
  <c r="C62" i="32"/>
  <c r="B63" i="32"/>
  <c r="Q74" i="32"/>
  <c r="B74" i="32"/>
  <c r="B75" i="32"/>
  <c r="E75" i="32"/>
  <c r="L75" i="32"/>
  <c r="M75" i="32"/>
  <c r="N75" i="32"/>
  <c r="Q75" i="32"/>
  <c r="G58" i="32"/>
  <c r="H58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U58" i="32"/>
  <c r="V58" i="32"/>
  <c r="W58" i="32"/>
  <c r="X58" i="32"/>
  <c r="Y57" i="32"/>
  <c r="X57" i="32"/>
  <c r="W57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D58" i="32" a="1"/>
  <c r="D58" i="32" s="1"/>
  <c r="C58" i="32"/>
  <c r="C57" i="32"/>
  <c r="C20" i="13"/>
  <c r="O11" i="4"/>
  <c r="N11" i="4"/>
  <c r="P75" i="32" l="1"/>
  <c r="D75" i="32"/>
  <c r="O75" i="32"/>
  <c r="C75" i="32"/>
  <c r="I75" i="32"/>
  <c r="K75" i="32"/>
  <c r="T75" i="32"/>
  <c r="H75" i="32"/>
  <c r="S75" i="32"/>
  <c r="G75" i="32"/>
  <c r="J75" i="32"/>
  <c r="R75" i="32"/>
  <c r="E58" i="32"/>
  <c r="O9" i="4"/>
  <c r="N9" i="4"/>
  <c r="C92" i="32" l="1"/>
  <c r="D37" i="2" l="1"/>
  <c r="V26" i="15" l="1"/>
  <c r="H122" i="15" s="1"/>
  <c r="V25" i="15"/>
  <c r="C104" i="15" s="1"/>
  <c r="V22" i="15"/>
  <c r="H104" i="15" s="1"/>
  <c r="M117" i="15" l="1"/>
  <c r="M104" i="15"/>
  <c r="C122" i="15"/>
  <c r="M122" i="15"/>
  <c r="H117" i="15"/>
  <c r="C117" i="15"/>
  <c r="F109" i="53"/>
  <c r="F104" i="53"/>
  <c r="F99" i="53"/>
  <c r="F94" i="53"/>
  <c r="F89" i="53"/>
  <c r="F84" i="53"/>
  <c r="F79" i="53"/>
  <c r="F74" i="53"/>
  <c r="F70" i="53"/>
  <c r="F69" i="53"/>
  <c r="F65" i="53"/>
  <c r="F64" i="53"/>
  <c r="F63" i="53"/>
  <c r="AG16" i="53" l="1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3" i="53"/>
  <c r="F92" i="53"/>
  <c r="F91" i="53"/>
  <c r="C46" i="53" s="1"/>
  <c r="AA20" i="53" s="1"/>
  <c r="F88" i="53"/>
  <c r="F87" i="53"/>
  <c r="F86" i="53"/>
  <c r="C45" i="53" s="1"/>
  <c r="AA19" i="53" s="1"/>
  <c r="F83" i="53"/>
  <c r="F82" i="53"/>
  <c r="F81" i="53"/>
  <c r="C44" i="53" s="1"/>
  <c r="AA18" i="53" s="1"/>
  <c r="F78" i="53"/>
  <c r="F77" i="53"/>
  <c r="F76" i="53"/>
  <c r="F73" i="53"/>
  <c r="F72" i="53"/>
  <c r="F71" i="53"/>
  <c r="C42" i="53" s="1"/>
  <c r="AA16" i="53" s="1"/>
  <c r="F68" i="53"/>
  <c r="F67" i="53"/>
  <c r="F66" i="53"/>
  <c r="F62" i="53"/>
  <c r="F61" i="53"/>
  <c r="C43" i="53" l="1"/>
  <c r="AA17" i="53" s="1"/>
  <c r="C40" i="53"/>
  <c r="AA14" i="53" s="1"/>
  <c r="C41" i="53"/>
  <c r="AA15" i="53" s="1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14" i="53"/>
  <c r="J107" i="53"/>
  <c r="J108" i="53"/>
  <c r="J109" i="53"/>
  <c r="F49" i="53" s="1"/>
  <c r="J106" i="53"/>
  <c r="E49" i="53" s="1"/>
  <c r="J102" i="53"/>
  <c r="J103" i="53"/>
  <c r="J104" i="53"/>
  <c r="F48" i="53" s="1"/>
  <c r="J101" i="53"/>
  <c r="J99" i="53"/>
  <c r="F47" i="53" s="1"/>
  <c r="AI21" i="53" s="1"/>
  <c r="J97" i="53"/>
  <c r="J98" i="53"/>
  <c r="J96" i="53"/>
  <c r="J92" i="53"/>
  <c r="J93" i="53"/>
  <c r="J94" i="53"/>
  <c r="J91" i="53"/>
  <c r="J87" i="53"/>
  <c r="J88" i="53"/>
  <c r="J89" i="53"/>
  <c r="J86" i="53"/>
  <c r="J82" i="53"/>
  <c r="J83" i="53"/>
  <c r="J84" i="53"/>
  <c r="J81" i="53"/>
  <c r="J77" i="53"/>
  <c r="J78" i="53"/>
  <c r="J79" i="53"/>
  <c r="J76" i="53"/>
  <c r="J72" i="53"/>
  <c r="J73" i="53"/>
  <c r="J74" i="53"/>
  <c r="J71" i="53"/>
  <c r="J70" i="53"/>
  <c r="J67" i="53"/>
  <c r="J68" i="53"/>
  <c r="J69" i="53"/>
  <c r="J66" i="53"/>
  <c r="J65" i="53"/>
  <c r="J62" i="53"/>
  <c r="J63" i="53"/>
  <c r="J64" i="53"/>
  <c r="J61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M16" i="53" l="1"/>
  <c r="AI23" i="53"/>
  <c r="M23" i="53" s="1"/>
  <c r="AI22" i="53"/>
  <c r="M22" i="53" s="1"/>
  <c r="AI26" i="53"/>
  <c r="M26" i="53" s="1"/>
  <c r="AI27" i="53"/>
  <c r="M27" i="53" s="1"/>
  <c r="AI24" i="53"/>
  <c r="M24" i="53" s="1"/>
  <c r="AI25" i="53"/>
  <c r="M25" i="53" s="1"/>
  <c r="M17" i="53"/>
  <c r="M21" i="53"/>
  <c r="M15" i="53"/>
  <c r="M14" i="53"/>
  <c r="M20" i="53"/>
  <c r="M18" i="53"/>
  <c r="K14" i="53"/>
  <c r="M19" i="53"/>
  <c r="K15" i="53"/>
  <c r="E40" i="53"/>
  <c r="AH14" i="53" s="1"/>
  <c r="K20" i="53"/>
  <c r="E42" i="53"/>
  <c r="E45" i="53"/>
  <c r="E48" i="53"/>
  <c r="K16" i="53"/>
  <c r="E43" i="53"/>
  <c r="E46" i="53"/>
  <c r="E47" i="53"/>
  <c r="E41" i="53"/>
  <c r="E44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6" i="53"/>
  <c r="L26" i="53" s="1"/>
  <c r="I26" i="53" s="1"/>
  <c r="AH27" i="53"/>
  <c r="L27" i="53" s="1"/>
  <c r="I27" i="53" s="1"/>
  <c r="AH24" i="53"/>
  <c r="L24" i="53" s="1"/>
  <c r="I24" i="53" s="1"/>
  <c r="F107" i="53" l="1"/>
  <c r="F108" i="53"/>
  <c r="D49" i="53"/>
  <c r="F106" i="53"/>
  <c r="C49" i="53" s="1"/>
  <c r="F102" i="53"/>
  <c r="F103" i="53"/>
  <c r="D48" i="53"/>
  <c r="F101" i="53"/>
  <c r="C48" i="53" s="1"/>
  <c r="D47" i="53"/>
  <c r="F97" i="53"/>
  <c r="F98" i="53"/>
  <c r="F96" i="53"/>
  <c r="C47" i="53" s="1"/>
  <c r="AA21" i="53" s="1"/>
  <c r="AA23" i="53" l="1"/>
  <c r="AA22" i="53"/>
  <c r="AA25" i="53"/>
  <c r="AA26" i="53"/>
  <c r="AA27" i="53"/>
  <c r="AA24" i="53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5" i="53"/>
  <c r="H25" i="53" s="1"/>
  <c r="J24" i="53"/>
  <c r="H24" i="53" s="1"/>
  <c r="G31" i="15"/>
  <c r="G30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C116" i="15" s="1"/>
  <c r="S24" i="15"/>
  <c r="S23" i="15"/>
  <c r="S22" i="15"/>
  <c r="C103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9" i="15" s="1"/>
  <c r="H92" i="15" l="1"/>
  <c r="M92" i="15"/>
  <c r="C92" i="15"/>
  <c r="C107" i="15"/>
  <c r="H107" i="15"/>
  <c r="M107" i="15"/>
  <c r="C101" i="15"/>
  <c r="H101" i="15"/>
  <c r="M101" i="15"/>
  <c r="C120" i="15"/>
  <c r="M120" i="15"/>
  <c r="H120" i="15"/>
  <c r="C114" i="15"/>
  <c r="H114" i="15"/>
  <c r="M114" i="15"/>
  <c r="H103" i="15"/>
  <c r="M103" i="15"/>
  <c r="C102" i="15"/>
  <c r="H102" i="15"/>
  <c r="M102" i="15"/>
  <c r="H111" i="15"/>
  <c r="M111" i="15"/>
  <c r="C111" i="15"/>
  <c r="M106" i="15"/>
  <c r="C106" i="15"/>
  <c r="H106" i="15"/>
  <c r="M123" i="15"/>
  <c r="C123" i="15"/>
  <c r="H123" i="15"/>
  <c r="C87" i="15"/>
  <c r="M87" i="15"/>
  <c r="H87" i="15"/>
  <c r="C128" i="15"/>
  <c r="H128" i="15"/>
  <c r="M128" i="15"/>
  <c r="H91" i="15"/>
  <c r="M91" i="15"/>
  <c r="C91" i="15"/>
  <c r="C93" i="15"/>
  <c r="H93" i="15"/>
  <c r="M93" i="15"/>
  <c r="H116" i="15"/>
  <c r="M116" i="15"/>
  <c r="M105" i="15"/>
  <c r="H105" i="15"/>
  <c r="C105" i="15"/>
  <c r="M109" i="15"/>
  <c r="C109" i="15"/>
  <c r="H109" i="15"/>
  <c r="C113" i="15"/>
  <c r="H113" i="15"/>
  <c r="M113" i="15"/>
  <c r="M118" i="15"/>
  <c r="H118" i="15"/>
  <c r="C118" i="15"/>
  <c r="C127" i="15"/>
  <c r="H127" i="15"/>
  <c r="M127" i="15"/>
  <c r="H110" i="15"/>
  <c r="M110" i="15"/>
  <c r="C110" i="15"/>
  <c r="C89" i="15"/>
  <c r="H89" i="15"/>
  <c r="M89" i="15"/>
  <c r="C108" i="15"/>
  <c r="H108" i="15"/>
  <c r="M108" i="15"/>
  <c r="M124" i="15"/>
  <c r="H124" i="15"/>
  <c r="C124" i="15"/>
  <c r="C94" i="15"/>
  <c r="H94" i="15"/>
  <c r="M94" i="15"/>
  <c r="H130" i="15"/>
  <c r="M130" i="15"/>
  <c r="C130" i="15"/>
  <c r="H97" i="15"/>
  <c r="C97" i="15"/>
  <c r="M97" i="15"/>
  <c r="C88" i="15"/>
  <c r="H88" i="15"/>
  <c r="M88" i="15"/>
  <c r="C96" i="15"/>
  <c r="H96" i="15"/>
  <c r="M96" i="15"/>
  <c r="C121" i="15"/>
  <c r="H121" i="15"/>
  <c r="M121" i="15"/>
  <c r="C95" i="15"/>
  <c r="H95" i="15"/>
  <c r="M95" i="15"/>
  <c r="M98" i="15"/>
  <c r="H98" i="15"/>
  <c r="C98" i="15"/>
  <c r="H115" i="15"/>
  <c r="C115" i="15"/>
  <c r="M115" i="15"/>
  <c r="H125" i="15"/>
  <c r="M125" i="15"/>
  <c r="C125" i="15"/>
  <c r="M119" i="15"/>
  <c r="C119" i="15"/>
  <c r="H119" i="15"/>
  <c r="C129" i="15"/>
  <c r="H129" i="15"/>
  <c r="M129" i="15"/>
  <c r="H112" i="15"/>
  <c r="M112" i="15"/>
  <c r="C112" i="15"/>
  <c r="C100" i="15"/>
  <c r="H100" i="15"/>
  <c r="M100" i="15"/>
  <c r="H90" i="15"/>
  <c r="C90" i="15"/>
  <c r="M90" i="15"/>
  <c r="M99" i="15"/>
  <c r="C99" i="15"/>
  <c r="H99" i="15"/>
  <c r="H126" i="15"/>
  <c r="M126" i="15"/>
  <c r="C126" i="15"/>
  <c r="G19" i="15"/>
  <c r="H71" i="15" s="1"/>
  <c r="F4" i="15"/>
  <c r="F3" i="15"/>
  <c r="B36" i="15" s="1"/>
  <c r="B32" i="15"/>
  <c r="B22" i="15"/>
  <c r="B21" i="15"/>
  <c r="G3" i="15" l="1"/>
  <c r="M61" i="15"/>
  <c r="F41" i="15"/>
  <c r="F13" i="15"/>
  <c r="F12" i="15"/>
  <c r="G13" i="15" l="1"/>
  <c r="M65" i="15" s="1"/>
  <c r="N41" i="15"/>
  <c r="C65" i="15" s="1"/>
  <c r="H65" i="15"/>
  <c r="J41" i="15"/>
  <c r="C64" i="15" s="1"/>
  <c r="H64" i="15"/>
  <c r="G12" i="15"/>
  <c r="M64" i="15" s="1"/>
  <c r="E36" i="15"/>
  <c r="F9" i="15"/>
  <c r="G9" i="15" s="1"/>
  <c r="F8" i="15"/>
  <c r="G8" i="15" s="1"/>
  <c r="F7" i="15"/>
  <c r="B23" i="15"/>
  <c r="B24" i="15"/>
  <c r="B25" i="15"/>
  <c r="B26" i="15"/>
  <c r="B41" i="15" l="1"/>
  <c r="G7" i="15"/>
  <c r="M60" i="15"/>
  <c r="H68" i="15"/>
  <c r="H67" i="15"/>
  <c r="H66" i="15"/>
  <c r="H63" i="15"/>
  <c r="H62" i="15"/>
  <c r="H61" i="15"/>
  <c r="H60" i="15"/>
  <c r="M67" i="15" l="1"/>
  <c r="C61" i="15" l="1"/>
  <c r="G34" i="15"/>
  <c r="G33" i="15"/>
  <c r="G32" i="15"/>
  <c r="M86" i="15" l="1"/>
  <c r="H86" i="15"/>
  <c r="M85" i="15"/>
  <c r="H85" i="15"/>
  <c r="M84" i="15"/>
  <c r="H84" i="15"/>
  <c r="M83" i="15"/>
  <c r="H83" i="15"/>
  <c r="M82" i="15"/>
  <c r="H82" i="15"/>
  <c r="C83" i="15"/>
  <c r="C86" i="15"/>
  <c r="C85" i="15"/>
  <c r="C84" i="15"/>
  <c r="C82" i="15"/>
  <c r="C63" i="15" l="1"/>
  <c r="G4" i="15"/>
  <c r="M63" i="15" s="1"/>
  <c r="M62" i="15"/>
  <c r="L32" i="32" l="1"/>
  <c r="K32" i="32"/>
  <c r="J32" i="32"/>
  <c r="G28" i="15" l="1"/>
  <c r="M80" i="15" l="1"/>
  <c r="H80" i="15"/>
  <c r="C80" i="15"/>
  <c r="G25" i="2"/>
  <c r="H25" i="2"/>
  <c r="I25" i="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R74" i="32"/>
  <c r="S74" i="32"/>
  <c r="T74" i="32"/>
  <c r="G56" i="32"/>
  <c r="H56" i="32"/>
  <c r="I56" i="32"/>
  <c r="J56" i="32"/>
  <c r="K56" i="32"/>
  <c r="L56" i="32"/>
  <c r="M56" i="32"/>
  <c r="N56" i="32"/>
  <c r="O56" i="32"/>
  <c r="P56" i="32"/>
  <c r="Q56" i="32"/>
  <c r="R56" i="32"/>
  <c r="S56" i="32"/>
  <c r="T56" i="32"/>
  <c r="U56" i="32"/>
  <c r="V56" i="32"/>
  <c r="W56" i="32"/>
  <c r="X56" i="32"/>
  <c r="F56" i="32"/>
  <c r="F32" i="32"/>
  <c r="F50" i="32"/>
  <c r="F54" i="32"/>
  <c r="Y55" i="32"/>
  <c r="X55" i="32"/>
  <c r="W55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D56" i="32" a="1"/>
  <c r="D56" i="32" s="1"/>
  <c r="C56" i="32"/>
  <c r="C55" i="32"/>
  <c r="M11" i="4"/>
  <c r="C19" i="13"/>
  <c r="E23" i="32" s="1"/>
  <c r="C23" i="32"/>
  <c r="C91" i="32" l="1"/>
  <c r="E56" i="32"/>
  <c r="M68" i="15"/>
  <c r="M66" i="15"/>
  <c r="C60" i="15"/>
  <c r="G27" i="15"/>
  <c r="G26" i="15"/>
  <c r="G25" i="15"/>
  <c r="C77" i="15" s="1"/>
  <c r="G24" i="15"/>
  <c r="G23" i="15"/>
  <c r="G22" i="15"/>
  <c r="G21" i="15"/>
  <c r="G20" i="15"/>
  <c r="M71" i="15"/>
  <c r="G18" i="15"/>
  <c r="M69" i="15"/>
  <c r="M76" i="15" l="1"/>
  <c r="H76" i="15"/>
  <c r="M73" i="15"/>
  <c r="H73" i="15"/>
  <c r="M78" i="15"/>
  <c r="H78" i="15"/>
  <c r="M77" i="15"/>
  <c r="H77" i="15"/>
  <c r="M74" i="15"/>
  <c r="H74" i="15"/>
  <c r="M75" i="15"/>
  <c r="H75" i="15"/>
  <c r="M79" i="15"/>
  <c r="H79" i="15"/>
  <c r="M70" i="15"/>
  <c r="H70" i="15"/>
  <c r="M72" i="15"/>
  <c r="H72" i="15"/>
  <c r="C74" i="15"/>
  <c r="C75" i="15"/>
  <c r="C76" i="15"/>
  <c r="C72" i="15"/>
  <c r="C73" i="15"/>
  <c r="C78" i="15"/>
  <c r="C70" i="15"/>
  <c r="C71" i="15"/>
  <c r="C79" i="15"/>
  <c r="C69" i="15"/>
  <c r="B13" i="15"/>
  <c r="B4" i="15" s="1"/>
  <c r="T29" i="15" s="1"/>
  <c r="H29" i="15" l="1"/>
  <c r="O12" i="4"/>
  <c r="W25" i="15"/>
  <c r="W22" i="15"/>
  <c r="W26" i="15"/>
  <c r="H31" i="15"/>
  <c r="T25" i="15"/>
  <c r="Q19" i="15"/>
  <c r="T28" i="15"/>
  <c r="T23" i="15"/>
  <c r="T26" i="15"/>
  <c r="N17" i="15"/>
  <c r="T22" i="15"/>
  <c r="D103" i="15" s="1"/>
  <c r="Q20" i="15"/>
  <c r="T24" i="15"/>
  <c r="T27" i="15"/>
  <c r="Q21" i="15"/>
  <c r="N18" i="15"/>
  <c r="B42" i="15"/>
  <c r="B37" i="15"/>
  <c r="H20" i="15"/>
  <c r="F42" i="15"/>
  <c r="D63" i="15" s="1"/>
  <c r="N42" i="15"/>
  <c r="D65" i="15" s="1"/>
  <c r="I65" i="15"/>
  <c r="I64" i="15"/>
  <c r="J42" i="15"/>
  <c r="D64" i="15" s="1"/>
  <c r="B18" i="15"/>
  <c r="H13" i="15"/>
  <c r="N65" i="15" s="1"/>
  <c r="H12" i="15"/>
  <c r="N64" i="15" s="1"/>
  <c r="N60" i="15"/>
  <c r="I60" i="15"/>
  <c r="I68" i="15"/>
  <c r="I63" i="15"/>
  <c r="I62" i="15"/>
  <c r="I66" i="15"/>
  <c r="I67" i="15"/>
  <c r="H34" i="15"/>
  <c r="H32" i="15"/>
  <c r="H33" i="15"/>
  <c r="H30" i="15"/>
  <c r="H4" i="15"/>
  <c r="N63" i="15" s="1"/>
  <c r="H3" i="15"/>
  <c r="N62" i="15" s="1"/>
  <c r="H28" i="15"/>
  <c r="N12" i="4"/>
  <c r="H18" i="15"/>
  <c r="H17" i="15"/>
  <c r="H19" i="15"/>
  <c r="H27" i="15"/>
  <c r="H23" i="15"/>
  <c r="H22" i="15"/>
  <c r="H8" i="15"/>
  <c r="N67" i="15" s="1"/>
  <c r="H26" i="15"/>
  <c r="H9" i="15"/>
  <c r="N68" i="15" s="1"/>
  <c r="H25" i="15"/>
  <c r="H7" i="15"/>
  <c r="N66" i="15" s="1"/>
  <c r="H24" i="15"/>
  <c r="H21" i="15"/>
  <c r="B51" i="15"/>
  <c r="C68" i="15" s="1"/>
  <c r="B46" i="15"/>
  <c r="C67" i="15" s="1"/>
  <c r="C66" i="15"/>
  <c r="C62" i="15"/>
  <c r="N81" i="15" l="1"/>
  <c r="I81" i="15"/>
  <c r="D81" i="15"/>
  <c r="K29" i="15"/>
  <c r="Q29" i="15"/>
  <c r="N29" i="15"/>
  <c r="N122" i="15"/>
  <c r="D122" i="15"/>
  <c r="I122" i="15"/>
  <c r="D104" i="15"/>
  <c r="I104" i="15"/>
  <c r="N104" i="15"/>
  <c r="D117" i="15"/>
  <c r="I117" i="15"/>
  <c r="N117" i="15"/>
  <c r="N78" i="15"/>
  <c r="I78" i="15"/>
  <c r="D96" i="15"/>
  <c r="N96" i="15"/>
  <c r="I96" i="15"/>
  <c r="N75" i="15"/>
  <c r="I75" i="15"/>
  <c r="I103" i="15"/>
  <c r="N103" i="15"/>
  <c r="D126" i="15"/>
  <c r="I126" i="15"/>
  <c r="N126" i="15"/>
  <c r="N74" i="15"/>
  <c r="I74" i="15"/>
  <c r="D88" i="15"/>
  <c r="I88" i="15"/>
  <c r="N88" i="15"/>
  <c r="N71" i="15"/>
  <c r="I71" i="15"/>
  <c r="I121" i="15"/>
  <c r="N121" i="15"/>
  <c r="D121" i="15"/>
  <c r="N69" i="15"/>
  <c r="I69" i="15"/>
  <c r="N70" i="15"/>
  <c r="I70" i="15"/>
  <c r="N72" i="15"/>
  <c r="I72" i="15"/>
  <c r="I130" i="15"/>
  <c r="N130" i="15"/>
  <c r="D130" i="15"/>
  <c r="N76" i="15"/>
  <c r="I76" i="15"/>
  <c r="D93" i="15"/>
  <c r="I93" i="15"/>
  <c r="N93" i="15"/>
  <c r="N77" i="15"/>
  <c r="I77" i="15"/>
  <c r="D90" i="15"/>
  <c r="I90" i="15"/>
  <c r="N90" i="15"/>
  <c r="D99" i="15"/>
  <c r="I99" i="15"/>
  <c r="N99" i="15"/>
  <c r="D112" i="15"/>
  <c r="I112" i="15"/>
  <c r="N112" i="15"/>
  <c r="N79" i="15"/>
  <c r="I79" i="15"/>
  <c r="N108" i="15"/>
  <c r="D108" i="15"/>
  <c r="I108" i="15"/>
  <c r="N73" i="15"/>
  <c r="I73" i="15"/>
  <c r="N80" i="15"/>
  <c r="I80" i="15"/>
  <c r="I116" i="15"/>
  <c r="N116" i="15"/>
  <c r="D116" i="15"/>
  <c r="C137" i="15"/>
  <c r="B139" i="15" s="1"/>
  <c r="N86" i="15"/>
  <c r="I86" i="15"/>
  <c r="N85" i="15"/>
  <c r="I85" i="15"/>
  <c r="N84" i="15"/>
  <c r="I84" i="15"/>
  <c r="N83" i="15"/>
  <c r="I83" i="15"/>
  <c r="N82" i="15"/>
  <c r="I82" i="15"/>
  <c r="N61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7" i="15"/>
  <c r="D61" i="15"/>
  <c r="I61" i="15"/>
  <c r="D84" i="15"/>
  <c r="D74" i="15"/>
  <c r="D82" i="15"/>
  <c r="D76" i="15"/>
  <c r="D78" i="15"/>
  <c r="D72" i="15"/>
  <c r="D75" i="15"/>
  <c r="D85" i="15"/>
  <c r="D79" i="15"/>
  <c r="D71" i="15"/>
  <c r="D86" i="15"/>
  <c r="D73" i="15"/>
  <c r="D69" i="15"/>
  <c r="D83" i="15"/>
  <c r="D70" i="15"/>
  <c r="D77" i="15"/>
  <c r="D80" i="15"/>
  <c r="B85" i="32"/>
  <c r="I113" i="15" l="1"/>
  <c r="N113" i="15"/>
  <c r="D113" i="15"/>
  <c r="N89" i="15"/>
  <c r="I89" i="15"/>
  <c r="D89" i="15"/>
  <c r="N123" i="15"/>
  <c r="D123" i="15"/>
  <c r="I123" i="15"/>
  <c r="D129" i="15"/>
  <c r="I129" i="15"/>
  <c r="N129" i="15"/>
  <c r="N128" i="15"/>
  <c r="I128" i="15"/>
  <c r="D128" i="15"/>
  <c r="D111" i="15"/>
  <c r="I111" i="15"/>
  <c r="N111" i="15"/>
  <c r="D94" i="15"/>
  <c r="N94" i="15"/>
  <c r="I94" i="15"/>
  <c r="I119" i="15"/>
  <c r="D119" i="15"/>
  <c r="N119" i="15"/>
  <c r="N95" i="15"/>
  <c r="D95" i="15"/>
  <c r="I95" i="15"/>
  <c r="N110" i="15"/>
  <c r="I110" i="15"/>
  <c r="D110" i="15"/>
  <c r="I107" i="15"/>
  <c r="D107" i="15"/>
  <c r="N107" i="15"/>
  <c r="I106" i="15"/>
  <c r="D106" i="15"/>
  <c r="N106" i="15"/>
  <c r="D125" i="15"/>
  <c r="I125" i="15"/>
  <c r="N125" i="15"/>
  <c r="I97" i="15"/>
  <c r="D97" i="15"/>
  <c r="N97" i="15"/>
  <c r="I118" i="15"/>
  <c r="N118" i="15"/>
  <c r="D118" i="15"/>
  <c r="N91" i="15"/>
  <c r="I91" i="15"/>
  <c r="D91" i="15"/>
  <c r="N124" i="15"/>
  <c r="D124" i="15"/>
  <c r="I124" i="15"/>
  <c r="N92" i="15"/>
  <c r="I92" i="15"/>
  <c r="D92" i="15"/>
  <c r="I105" i="15"/>
  <c r="N105" i="15"/>
  <c r="D105" i="15"/>
  <c r="D120" i="15"/>
  <c r="I120" i="15"/>
  <c r="N120" i="15"/>
  <c r="D87" i="15"/>
  <c r="N87" i="15"/>
  <c r="I87" i="15"/>
  <c r="I127" i="15"/>
  <c r="N127" i="15"/>
  <c r="D127" i="15"/>
  <c r="N98" i="15"/>
  <c r="D98" i="15"/>
  <c r="I98" i="15"/>
  <c r="N109" i="15"/>
  <c r="D109" i="15"/>
  <c r="I109" i="15"/>
  <c r="I114" i="15"/>
  <c r="D114" i="15"/>
  <c r="N114" i="15"/>
  <c r="I101" i="15"/>
  <c r="D101" i="15"/>
  <c r="N101" i="15"/>
  <c r="N100" i="15"/>
  <c r="D100" i="15"/>
  <c r="I100" i="15"/>
  <c r="D102" i="15"/>
  <c r="N102" i="15"/>
  <c r="I102" i="15"/>
  <c r="D115" i="15"/>
  <c r="I115" i="15"/>
  <c r="N115" i="15"/>
  <c r="C11" i="32"/>
  <c r="D54" i="32" a="1"/>
  <c r="E54" i="32" s="1"/>
  <c r="D52" i="32" a="1"/>
  <c r="D52" i="32" s="1"/>
  <c r="C52" i="32"/>
  <c r="C50" i="32"/>
  <c r="B88" i="32"/>
  <c r="B90" i="32"/>
  <c r="B89" i="32"/>
  <c r="Y54" i="32"/>
  <c r="F53" i="32"/>
  <c r="Y53" i="32"/>
  <c r="X53" i="32"/>
  <c r="W53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C54" i="32"/>
  <c r="C53" i="32"/>
  <c r="Y51" i="32"/>
  <c r="Y52" i="32" s="1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C51" i="32"/>
  <c r="C21" i="32"/>
  <c r="C22" i="32"/>
  <c r="C20" i="32"/>
  <c r="D54" i="32" l="1"/>
  <c r="E52" i="32"/>
  <c r="F52" i="32"/>
  <c r="G54" i="32"/>
  <c r="B72" i="32"/>
  <c r="S54" i="32" l="1"/>
  <c r="K54" i="32"/>
  <c r="N54" i="32"/>
  <c r="R54" i="32"/>
  <c r="U54" i="32"/>
  <c r="B73" i="32"/>
  <c r="L54" i="32"/>
  <c r="I54" i="32"/>
  <c r="E73" i="32" s="1"/>
  <c r="Q54" i="32"/>
  <c r="J54" i="32"/>
  <c r="F73" i="32" s="1"/>
  <c r="P54" i="32"/>
  <c r="L73" i="32" s="1"/>
  <c r="V54" i="32"/>
  <c r="H54" i="32"/>
  <c r="W54" i="32"/>
  <c r="T54" i="32"/>
  <c r="X54" i="32"/>
  <c r="M54" i="32"/>
  <c r="O54" i="32"/>
  <c r="W52" i="32"/>
  <c r="G52" i="32"/>
  <c r="C72" i="32" s="1"/>
  <c r="I52" i="32"/>
  <c r="Q52" i="32"/>
  <c r="V52" i="32"/>
  <c r="L52" i="32"/>
  <c r="J52" i="32"/>
  <c r="T52" i="32"/>
  <c r="S52" i="32"/>
  <c r="X52" i="32"/>
  <c r="R52" i="32"/>
  <c r="N52" i="32"/>
  <c r="M52" i="32"/>
  <c r="K52" i="32"/>
  <c r="O52" i="32"/>
  <c r="U52" i="32"/>
  <c r="P52" i="32"/>
  <c r="H52" i="32"/>
  <c r="H73" i="32" l="1"/>
  <c r="I73" i="32"/>
  <c r="T73" i="32"/>
  <c r="N73" i="32"/>
  <c r="M73" i="32"/>
  <c r="K73" i="32"/>
  <c r="Q73" i="32"/>
  <c r="P73" i="32"/>
  <c r="J73" i="32"/>
  <c r="S73" i="32"/>
  <c r="G73" i="32"/>
  <c r="D73" i="32"/>
  <c r="O73" i="32"/>
  <c r="R73" i="32"/>
  <c r="C73" i="32"/>
  <c r="G72" i="32"/>
  <c r="L72" i="32"/>
  <c r="E72" i="32"/>
  <c r="R72" i="32"/>
  <c r="M72" i="32"/>
  <c r="S72" i="32"/>
  <c r="Q72" i="32"/>
  <c r="N72" i="32"/>
  <c r="K72" i="32"/>
  <c r="J72" i="32"/>
  <c r="O72" i="32"/>
  <c r="I72" i="32"/>
  <c r="P72" i="32"/>
  <c r="F72" i="32"/>
  <c r="T72" i="32"/>
  <c r="D72" i="32"/>
  <c r="H72" i="32"/>
  <c r="C90" i="32" l="1"/>
  <c r="C89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2" i="32"/>
  <c r="M9" i="4" l="1"/>
  <c r="B8" i="15" l="1"/>
  <c r="B12" i="15"/>
  <c r="B52" i="15"/>
  <c r="D68" i="15" s="1"/>
  <c r="B47" i="15" l="1"/>
  <c r="D67" i="15" s="1"/>
  <c r="D66" i="15"/>
  <c r="D62" i="15"/>
  <c r="D60" i="15"/>
  <c r="M12" i="4"/>
  <c r="S62" i="32"/>
  <c r="Q67" i="32"/>
  <c r="C9" i="4"/>
  <c r="E9" i="4"/>
  <c r="G9" i="4"/>
  <c r="H9" i="4"/>
  <c r="I9" i="4"/>
  <c r="K9" i="4"/>
  <c r="B9" i="4"/>
  <c r="B79" i="32"/>
  <c r="B80" i="32"/>
  <c r="B81" i="32"/>
  <c r="B82" i="32"/>
  <c r="B83" i="32"/>
  <c r="B84" i="32"/>
  <c r="B86" i="32"/>
  <c r="B87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62" i="32"/>
  <c r="U63" i="32"/>
  <c r="U64" i="32"/>
  <c r="U65" i="32"/>
  <c r="U66" i="32"/>
  <c r="U67" i="32"/>
  <c r="U68" i="32"/>
  <c r="U69" i="32"/>
  <c r="U70" i="32"/>
  <c r="U71" i="32"/>
  <c r="C33" i="32"/>
  <c r="C34" i="32"/>
  <c r="C35" i="32"/>
  <c r="C36" i="32"/>
  <c r="C37" i="32"/>
  <c r="C38" i="32"/>
  <c r="C39" i="32"/>
  <c r="C40" i="32"/>
  <c r="C41" i="32"/>
  <c r="C42" i="32"/>
  <c r="D42" i="32" s="1" a="1"/>
  <c r="C43" i="32"/>
  <c r="C44" i="32"/>
  <c r="C45" i="32"/>
  <c r="C46" i="32"/>
  <c r="C47" i="32"/>
  <c r="C48" i="32"/>
  <c r="C49" i="32"/>
  <c r="C31" i="32"/>
  <c r="H45" i="32"/>
  <c r="L41" i="32"/>
  <c r="G33" i="32"/>
  <c r="I31" i="32"/>
  <c r="G49" i="32"/>
  <c r="H49" i="32"/>
  <c r="I49" i="32"/>
  <c r="J49" i="32"/>
  <c r="K49" i="32"/>
  <c r="L49" i="32"/>
  <c r="M49" i="32"/>
  <c r="N49" i="32"/>
  <c r="O49" i="32"/>
  <c r="P49" i="32"/>
  <c r="Q49" i="32"/>
  <c r="R49" i="32"/>
  <c r="S49" i="32"/>
  <c r="T49" i="32"/>
  <c r="U49" i="32"/>
  <c r="V49" i="32"/>
  <c r="W49" i="32"/>
  <c r="X49" i="32"/>
  <c r="Y49" i="32"/>
  <c r="Y50" i="32"/>
  <c r="F4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K45" i="32"/>
  <c r="L45" i="32"/>
  <c r="M45" i="32"/>
  <c r="Q45" i="32"/>
  <c r="R45" i="32"/>
  <c r="S45" i="32"/>
  <c r="W45" i="32"/>
  <c r="X45" i="32"/>
  <c r="Y45" i="32"/>
  <c r="Y46" i="32"/>
  <c r="G43" i="32"/>
  <c r="H43" i="32"/>
  <c r="I43" i="32"/>
  <c r="J43" i="32"/>
  <c r="K43" i="32"/>
  <c r="L43" i="32"/>
  <c r="M43" i="32"/>
  <c r="N43" i="32"/>
  <c r="O43" i="32"/>
  <c r="P43" i="32"/>
  <c r="Q43" i="32"/>
  <c r="R43" i="32"/>
  <c r="S43" i="32"/>
  <c r="T43" i="32"/>
  <c r="U43" i="32"/>
  <c r="U44" i="32"/>
  <c r="Q68" i="32" s="1"/>
  <c r="V43" i="32"/>
  <c r="V44" i="32"/>
  <c r="R68" i="32" s="1"/>
  <c r="W43" i="32"/>
  <c r="W44" i="32"/>
  <c r="S68" i="32" s="1"/>
  <c r="X43" i="32"/>
  <c r="X44" i="32"/>
  <c r="T68" i="32" s="1"/>
  <c r="Y43" i="32"/>
  <c r="Y44" i="32"/>
  <c r="F43" i="32"/>
  <c r="G41" i="32"/>
  <c r="I41" i="32"/>
  <c r="J41" i="32"/>
  <c r="K41" i="32"/>
  <c r="M41" i="32"/>
  <c r="O41" i="32"/>
  <c r="P41" i="32"/>
  <c r="Q41" i="32"/>
  <c r="S41" i="32"/>
  <c r="U41" i="32"/>
  <c r="U42" i="32"/>
  <c r="V41" i="32"/>
  <c r="V42" i="32"/>
  <c r="R67" i="32" s="1"/>
  <c r="W41" i="32"/>
  <c r="W42" i="32"/>
  <c r="S67" i="32" s="1"/>
  <c r="Y41" i="32"/>
  <c r="Y42" i="32"/>
  <c r="G39" i="32"/>
  <c r="H39" i="32"/>
  <c r="I39" i="32"/>
  <c r="J39" i="32"/>
  <c r="K39" i="32"/>
  <c r="L39" i="32"/>
  <c r="M39" i="32"/>
  <c r="N39" i="32"/>
  <c r="O39" i="32"/>
  <c r="P39" i="32"/>
  <c r="Q39" i="32"/>
  <c r="R39" i="32"/>
  <c r="S39" i="32"/>
  <c r="T39" i="32"/>
  <c r="T40" i="32"/>
  <c r="P66" i="32" s="1"/>
  <c r="U39" i="32"/>
  <c r="U40" i="32"/>
  <c r="Q66" i="32" s="1"/>
  <c r="V39" i="32"/>
  <c r="V40" i="32"/>
  <c r="R66" i="32" s="1"/>
  <c r="W39" i="32"/>
  <c r="W40" i="32"/>
  <c r="S66" i="32" s="1"/>
  <c r="X39" i="32"/>
  <c r="X40" i="32"/>
  <c r="T66" i="32" s="1"/>
  <c r="Y39" i="32"/>
  <c r="Y40" i="32"/>
  <c r="F39" i="32"/>
  <c r="H37" i="32"/>
  <c r="I37" i="32"/>
  <c r="J37" i="32"/>
  <c r="N37" i="32"/>
  <c r="O37" i="32"/>
  <c r="O38" i="32" s="1"/>
  <c r="K65" i="32" s="1"/>
  <c r="P37" i="32"/>
  <c r="P38" i="32"/>
  <c r="L65" i="32" s="1"/>
  <c r="T37" i="32"/>
  <c r="T38" i="32"/>
  <c r="P65" i="32" s="1"/>
  <c r="U37" i="32"/>
  <c r="U38" i="32" s="1"/>
  <c r="Q65" i="32" s="1"/>
  <c r="V37" i="32"/>
  <c r="V38" i="32"/>
  <c r="R65" i="32" s="1"/>
  <c r="F37" i="32"/>
  <c r="H35" i="32"/>
  <c r="K35" i="32"/>
  <c r="L35" i="32"/>
  <c r="N35" i="32"/>
  <c r="Q35" i="32"/>
  <c r="Q36" i="32"/>
  <c r="M64" i="32" s="1"/>
  <c r="R35" i="32"/>
  <c r="R36" i="32"/>
  <c r="N64" i="32" s="1"/>
  <c r="T35" i="32"/>
  <c r="T36" i="32"/>
  <c r="P64" i="32" s="1"/>
  <c r="W35" i="32"/>
  <c r="W36" i="32"/>
  <c r="S64" i="32" s="1"/>
  <c r="X35" i="32"/>
  <c r="X36" i="32"/>
  <c r="T64" i="32" s="1"/>
  <c r="F35" i="32"/>
  <c r="I33" i="32"/>
  <c r="K33" i="32"/>
  <c r="L33" i="32"/>
  <c r="M33" i="32"/>
  <c r="N33" i="32"/>
  <c r="O33" i="32"/>
  <c r="O34" i="32"/>
  <c r="K63" i="32" s="1"/>
  <c r="P33" i="32"/>
  <c r="P34" i="32"/>
  <c r="L63" i="32" s="1"/>
  <c r="Q33" i="32"/>
  <c r="Q34" i="32"/>
  <c r="M63" i="32" s="1"/>
  <c r="R33" i="32"/>
  <c r="R34" i="32"/>
  <c r="N63" i="32" s="1"/>
  <c r="S33" i="32"/>
  <c r="S34" i="32"/>
  <c r="O63" i="32" s="1"/>
  <c r="T33" i="32"/>
  <c r="T34" i="32"/>
  <c r="P63" i="32" s="1"/>
  <c r="U33" i="32"/>
  <c r="U34" i="32"/>
  <c r="Q63" i="32" s="1"/>
  <c r="V33" i="32"/>
  <c r="V34" i="32"/>
  <c r="R63" i="32" s="1"/>
  <c r="W33" i="32"/>
  <c r="W34" i="32"/>
  <c r="S63" i="32" s="1"/>
  <c r="X33" i="32"/>
  <c r="X34" i="32"/>
  <c r="T63" i="32" s="1"/>
  <c r="Y33" i="32"/>
  <c r="Y34" i="32"/>
  <c r="F33" i="32"/>
  <c r="H31" i="32"/>
  <c r="J31" i="32"/>
  <c r="N31" i="32"/>
  <c r="N32" i="32"/>
  <c r="J62" i="32" s="1"/>
  <c r="P31" i="32"/>
  <c r="P32" i="32"/>
  <c r="L62" i="32" s="1"/>
  <c r="T31" i="32"/>
  <c r="T32" i="32"/>
  <c r="P62" i="32" s="1"/>
  <c r="V31" i="32"/>
  <c r="V32" i="32"/>
  <c r="R62" i="32" s="1"/>
  <c r="F31" i="32"/>
  <c r="V45" i="32"/>
  <c r="P45" i="32"/>
  <c r="J45" i="32"/>
  <c r="U45" i="32"/>
  <c r="O45" i="32"/>
  <c r="I45" i="32"/>
  <c r="F45" i="32"/>
  <c r="T45" i="32"/>
  <c r="N45" i="32"/>
  <c r="F41" i="32"/>
  <c r="T41" i="32"/>
  <c r="T42" i="32"/>
  <c r="P67" i="32" s="1"/>
  <c r="N41" i="32"/>
  <c r="H41" i="32"/>
  <c r="X41" i="32"/>
  <c r="X42" i="32"/>
  <c r="T67" i="32" s="1"/>
  <c r="R41" i="32"/>
  <c r="Y37" i="32"/>
  <c r="Y38" i="32" s="1"/>
  <c r="S37" i="32"/>
  <c r="S38" i="32" s="1"/>
  <c r="O65" i="32" s="1"/>
  <c r="M37" i="32"/>
  <c r="G37" i="32"/>
  <c r="X37" i="32"/>
  <c r="X38" i="32"/>
  <c r="T65" i="32" s="1"/>
  <c r="R37" i="32"/>
  <c r="R38" i="32" s="1"/>
  <c r="N65" i="32" s="1"/>
  <c r="L37" i="32"/>
  <c r="W37" i="32"/>
  <c r="W38" i="32" s="1"/>
  <c r="S65" i="32" s="1"/>
  <c r="Q37" i="32"/>
  <c r="Q38" i="32" s="1"/>
  <c r="M65" i="32" s="1"/>
  <c r="K37" i="32"/>
  <c r="V35" i="32"/>
  <c r="V36" i="32"/>
  <c r="R64" i="32" s="1"/>
  <c r="P35" i="32"/>
  <c r="P36" i="32"/>
  <c r="L64" i="32" s="1"/>
  <c r="J35" i="32"/>
  <c r="U35" i="32"/>
  <c r="U36" i="32"/>
  <c r="Q64" i="32" s="1"/>
  <c r="O35" i="32"/>
  <c r="O36" i="32"/>
  <c r="K64" i="32" s="1"/>
  <c r="I35" i="32"/>
  <c r="Y35" i="32"/>
  <c r="Y36" i="32"/>
  <c r="S35" i="32"/>
  <c r="S36" i="32"/>
  <c r="O64" i="32" s="1"/>
  <c r="M35" i="32"/>
  <c r="G35" i="32"/>
  <c r="J33" i="32"/>
  <c r="H33" i="32"/>
  <c r="Y31" i="32"/>
  <c r="Y32" i="32"/>
  <c r="S31" i="32"/>
  <c r="S32" i="32"/>
  <c r="O62" i="32" s="1"/>
  <c r="M31" i="32"/>
  <c r="M32" i="32"/>
  <c r="I62" i="32" s="1"/>
  <c r="G31" i="32"/>
  <c r="X31" i="32"/>
  <c r="X32" i="32"/>
  <c r="T62" i="32" s="1"/>
  <c r="R31" i="32"/>
  <c r="R32" i="32"/>
  <c r="N62" i="32" s="1"/>
  <c r="L31" i="32"/>
  <c r="W31" i="32"/>
  <c r="W32" i="32"/>
  <c r="Q31" i="32"/>
  <c r="Q32" i="32"/>
  <c r="M62" i="32" s="1"/>
  <c r="K31" i="32"/>
  <c r="U31" i="32"/>
  <c r="U32" i="32"/>
  <c r="Q62" i="32" s="1"/>
  <c r="O31" i="32"/>
  <c r="O32" i="32"/>
  <c r="K62" i="32" s="1"/>
  <c r="T44" i="32"/>
  <c r="P68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2" i="32" a="1"/>
  <c r="E32" i="32" s="1"/>
  <c r="D32" i="32"/>
  <c r="M3" i="32"/>
  <c r="C19" i="32"/>
  <c r="C13" i="32"/>
  <c r="C18" i="32"/>
  <c r="C17" i="32"/>
  <c r="C16" i="32"/>
  <c r="C15" i="32"/>
  <c r="C12" i="32"/>
  <c r="C14" i="32"/>
  <c r="D137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6" i="32" a="1"/>
  <c r="D34" i="32" a="1"/>
  <c r="D40" i="32" a="1"/>
  <c r="D40" i="32" s="1"/>
  <c r="D50" i="32" a="1"/>
  <c r="E50" i="32" s="1"/>
  <c r="D38" i="32" a="1"/>
  <c r="E38" i="32" s="1"/>
  <c r="D36" i="32" a="1"/>
  <c r="E36" i="32" s="1"/>
  <c r="D44" i="32" a="1"/>
  <c r="D44" i="32" s="1"/>
  <c r="D48" i="32" a="1"/>
  <c r="E48" i="32" s="1"/>
  <c r="D42" i="32"/>
  <c r="E42" i="32"/>
  <c r="G40" i="32"/>
  <c r="E46" i="32"/>
  <c r="D46" i="32"/>
  <c r="D34" i="32"/>
  <c r="E34" i="32"/>
  <c r="G32" i="32"/>
  <c r="E40" i="32"/>
  <c r="M40" i="32" s="1"/>
  <c r="H32" i="32"/>
  <c r="I32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8" i="32" l="1"/>
  <c r="E17" i="32"/>
  <c r="E14" i="32"/>
  <c r="E20" i="32"/>
  <c r="D50" i="32"/>
  <c r="H50" i="32" s="1"/>
  <c r="D36" i="32"/>
  <c r="I38" i="32"/>
  <c r="E65" i="32" s="1"/>
  <c r="F38" i="32"/>
  <c r="B65" i="32" s="1"/>
  <c r="G38" i="32"/>
  <c r="K38" i="32"/>
  <c r="N38" i="32"/>
  <c r="L38" i="32"/>
  <c r="J38" i="32"/>
  <c r="H38" i="32"/>
  <c r="B71" i="32"/>
  <c r="D48" i="32"/>
  <c r="V48" i="32" s="1"/>
  <c r="V50" i="32"/>
  <c r="E44" i="32"/>
  <c r="S44" i="32" s="1"/>
  <c r="T50" i="32"/>
  <c r="M38" i="32"/>
  <c r="S50" i="32"/>
  <c r="N50" i="32"/>
  <c r="I50" i="32"/>
  <c r="K50" i="32"/>
  <c r="Q50" i="32"/>
  <c r="M50" i="32"/>
  <c r="L50" i="32"/>
  <c r="U50" i="32"/>
  <c r="R50" i="32"/>
  <c r="P50" i="32"/>
  <c r="W50" i="32"/>
  <c r="O50" i="32"/>
  <c r="J50" i="32"/>
  <c r="X50" i="32"/>
  <c r="G50" i="32"/>
  <c r="H40" i="32"/>
  <c r="F40" i="32"/>
  <c r="B66" i="32" s="1"/>
  <c r="N36" i="32"/>
  <c r="L36" i="32"/>
  <c r="J36" i="32"/>
  <c r="F36" i="32"/>
  <c r="B64" i="32" s="1"/>
  <c r="M36" i="32"/>
  <c r="I36" i="32"/>
  <c r="K36" i="32"/>
  <c r="G36" i="32"/>
  <c r="H36" i="32"/>
  <c r="K40" i="32"/>
  <c r="F62" i="32"/>
  <c r="O40" i="32"/>
  <c r="S40" i="32"/>
  <c r="Q40" i="32"/>
  <c r="D62" i="32"/>
  <c r="P40" i="32"/>
  <c r="R40" i="32"/>
  <c r="E62" i="32"/>
  <c r="H34" i="32"/>
  <c r="J34" i="32"/>
  <c r="K34" i="32"/>
  <c r="G34" i="32"/>
  <c r="L34" i="32"/>
  <c r="N34" i="32"/>
  <c r="M34" i="32"/>
  <c r="I34" i="32"/>
  <c r="F34" i="32"/>
  <c r="J40" i="32"/>
  <c r="N40" i="32"/>
  <c r="L40" i="32"/>
  <c r="M46" i="32"/>
  <c r="J46" i="32"/>
  <c r="K46" i="32"/>
  <c r="I46" i="32"/>
  <c r="H46" i="32"/>
  <c r="S46" i="32"/>
  <c r="T46" i="32"/>
  <c r="Q46" i="32"/>
  <c r="O46" i="32"/>
  <c r="R46" i="32"/>
  <c r="V46" i="32"/>
  <c r="N46" i="32"/>
  <c r="F46" i="32"/>
  <c r="B69" i="32" s="1"/>
  <c r="W46" i="32"/>
  <c r="X46" i="32"/>
  <c r="P46" i="32"/>
  <c r="L46" i="32"/>
  <c r="U46" i="32"/>
  <c r="G46" i="32"/>
  <c r="I40" i="32"/>
  <c r="P42" i="32"/>
  <c r="I42" i="32"/>
  <c r="F42" i="32"/>
  <c r="B67" i="32" s="1"/>
  <c r="M42" i="32"/>
  <c r="O42" i="32"/>
  <c r="Q42" i="32"/>
  <c r="G42" i="32"/>
  <c r="N42" i="32"/>
  <c r="K42" i="32"/>
  <c r="L42" i="32"/>
  <c r="R42" i="32"/>
  <c r="S42" i="32"/>
  <c r="J42" i="32"/>
  <c r="H42" i="32"/>
  <c r="H62" i="32"/>
  <c r="I11" i="32" s="1"/>
  <c r="G62" i="32"/>
  <c r="J11" i="32" l="1"/>
  <c r="M11" i="32" s="1"/>
  <c r="D65" i="32"/>
  <c r="I48" i="32"/>
  <c r="P44" i="32"/>
  <c r="S48" i="32"/>
  <c r="N48" i="32"/>
  <c r="H65" i="32"/>
  <c r="O48" i="32"/>
  <c r="K44" i="32"/>
  <c r="T48" i="32"/>
  <c r="K48" i="32"/>
  <c r="F65" i="32"/>
  <c r="E66" i="32"/>
  <c r="H48" i="32"/>
  <c r="F70" i="32" s="1"/>
  <c r="L48" i="32"/>
  <c r="R48" i="32"/>
  <c r="Q44" i="32"/>
  <c r="O44" i="32"/>
  <c r="C71" i="32"/>
  <c r="M48" i="32"/>
  <c r="G44" i="32"/>
  <c r="C68" i="32" s="1"/>
  <c r="G65" i="32"/>
  <c r="W48" i="32"/>
  <c r="M44" i="32"/>
  <c r="I44" i="32"/>
  <c r="P48" i="32"/>
  <c r="N44" i="32"/>
  <c r="I65" i="32"/>
  <c r="F44" i="32"/>
  <c r="B68" i="32" s="1"/>
  <c r="G48" i="32"/>
  <c r="F48" i="32"/>
  <c r="B70" i="32" s="1"/>
  <c r="J65" i="32"/>
  <c r="Q48" i="32"/>
  <c r="R44" i="32"/>
  <c r="J44" i="32"/>
  <c r="X48" i="32"/>
  <c r="H44" i="32"/>
  <c r="M68" i="32" s="1"/>
  <c r="U48" i="32"/>
  <c r="L44" i="32"/>
  <c r="J48" i="32"/>
  <c r="S71" i="32"/>
  <c r="K71" i="32"/>
  <c r="F71" i="32"/>
  <c r="I71" i="32"/>
  <c r="H69" i="32"/>
  <c r="D69" i="32"/>
  <c r="M71" i="32"/>
  <c r="D71" i="32"/>
  <c r="N71" i="32"/>
  <c r="C67" i="32"/>
  <c r="G66" i="32"/>
  <c r="L71" i="32"/>
  <c r="Q71" i="32"/>
  <c r="C66" i="32"/>
  <c r="J63" i="32"/>
  <c r="H63" i="32"/>
  <c r="J71" i="32"/>
  <c r="H71" i="32"/>
  <c r="G71" i="32"/>
  <c r="R71" i="32"/>
  <c r="T71" i="32"/>
  <c r="P71" i="32"/>
  <c r="O71" i="32"/>
  <c r="J66" i="32"/>
  <c r="D66" i="32"/>
  <c r="F66" i="32"/>
  <c r="E71" i="32"/>
  <c r="N66" i="32"/>
  <c r="F64" i="32"/>
  <c r="I67" i="32"/>
  <c r="G63" i="32"/>
  <c r="L66" i="32"/>
  <c r="J64" i="32"/>
  <c r="I69" i="32"/>
  <c r="F63" i="32"/>
  <c r="L69" i="32"/>
  <c r="K67" i="32"/>
  <c r="F67" i="32"/>
  <c r="L67" i="32"/>
  <c r="R69" i="32"/>
  <c r="O67" i="32"/>
  <c r="N69" i="32"/>
  <c r="H66" i="32"/>
  <c r="M66" i="32"/>
  <c r="D64" i="32"/>
  <c r="E69" i="32"/>
  <c r="T69" i="32"/>
  <c r="J69" i="32"/>
  <c r="D63" i="32"/>
  <c r="N67" i="32"/>
  <c r="H67" i="32"/>
  <c r="M69" i="32"/>
  <c r="G64" i="32"/>
  <c r="M67" i="32"/>
  <c r="H64" i="32"/>
  <c r="S69" i="32"/>
  <c r="D67" i="32"/>
  <c r="K69" i="32"/>
  <c r="I66" i="32"/>
  <c r="G67" i="32"/>
  <c r="C69" i="32"/>
  <c r="P69" i="32"/>
  <c r="E63" i="32"/>
  <c r="K66" i="32"/>
  <c r="E64" i="32"/>
  <c r="G69" i="32"/>
  <c r="F69" i="32"/>
  <c r="E67" i="32"/>
  <c r="O66" i="32"/>
  <c r="J67" i="32"/>
  <c r="Q69" i="32"/>
  <c r="O69" i="32"/>
  <c r="I63" i="32"/>
  <c r="I64" i="32"/>
  <c r="C79" i="32"/>
  <c r="E68" i="32" l="1"/>
  <c r="C82" i="32"/>
  <c r="S70" i="32"/>
  <c r="K70" i="32"/>
  <c r="G70" i="32"/>
  <c r="O70" i="32"/>
  <c r="I68" i="32"/>
  <c r="F68" i="32"/>
  <c r="M70" i="32"/>
  <c r="L70" i="32"/>
  <c r="O68" i="32"/>
  <c r="N68" i="32"/>
  <c r="I70" i="32"/>
  <c r="T70" i="32"/>
  <c r="K68" i="32"/>
  <c r="N70" i="32"/>
  <c r="L68" i="32"/>
  <c r="C70" i="32"/>
  <c r="R70" i="32"/>
  <c r="P70" i="32"/>
  <c r="G68" i="32"/>
  <c r="Q70" i="32"/>
  <c r="J70" i="32"/>
  <c r="H70" i="32"/>
  <c r="D68" i="32"/>
  <c r="E70" i="32"/>
  <c r="H68" i="32"/>
  <c r="J68" i="32"/>
  <c r="D70" i="32"/>
  <c r="C88" i="32"/>
  <c r="C80" i="32"/>
  <c r="C81" i="32"/>
  <c r="C84" i="32"/>
  <c r="C86" i="32"/>
  <c r="C83" i="32"/>
  <c r="C85" i="32" l="1"/>
  <c r="C87" i="32"/>
  <c r="C94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<sst xmlns="http://schemas.openxmlformats.org/spreadsheetml/2006/main" count="1112" uniqueCount="513">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</sst>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 tint="0.59999389629810485"/>
        <bgColor theme="4" tint="0.79998168889431442"/>
      </patternFill>
    </fill>
  </fills>
  <borders count="70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1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5" xfId="0" applyFont="1" applyFill="1" applyBorder="1"/>
    <xf numFmtId="0" fontId="15" fillId="37" borderId="29" xfId="0" applyFont="1" applyFill="1" applyBorder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13" fillId="38" borderId="64" xfId="0" applyNumberFormat="1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0" fillId="40" borderId="48" xfId="0" applyFill="1" applyBorder="1" applyAlignment="1">
      <alignment horizontal="center" vertical="center"/>
    </xf>
    <xf numFmtId="165" fontId="0" fillId="40" borderId="12" xfId="2" applyNumberFormat="1" applyFont="1" applyFill="1" applyBorder="1" applyAlignment="1">
      <alignment horizontal="center" vertical="center"/>
    </xf>
    <xf numFmtId="165" fontId="0" fillId="40" borderId="35" xfId="2" applyNumberFormat="1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0" borderId="49" xfId="0" applyFill="1" applyBorder="1" applyAlignment="1">
      <alignment horizontal="center" vertical="center"/>
    </xf>
    <xf numFmtId="0" fontId="0" fillId="40" borderId="50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49" xfId="0" applyNumberFormat="1" applyFill="1" applyBorder="1" applyAlignment="1">
      <alignment horizontal="center" vertical="center"/>
    </xf>
    <xf numFmtId="165" fontId="0" fillId="40" borderId="50" xfId="0" applyNumberFormat="1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36" dataDxfId="235">
  <autoFilter ref="A6:C20"/>
  <tableColumns count="3">
    <tableColumn id="1" name="Dragon ID / Level" dataDxfId="234"/>
    <tableColumn id="2" name="Max level" dataDxfId="233"/>
    <tableColumn id="24" name="Expected AVG time (mn)" dataDxfId="232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31" dataDxfId="230">
  <autoFilter ref="A3:U17"/>
  <tableColumns count="21">
    <tableColumn id="1" name="Dragon ID / Level" dataDxfId="229"/>
    <tableColumn id="2" name="1" dataDxfId="228"/>
    <tableColumn id="3" name="2" dataDxfId="227"/>
    <tableColumn id="4" name="3" dataDxfId="226"/>
    <tableColumn id="5" name="4" dataDxfId="225"/>
    <tableColumn id="6" name="5" dataDxfId="224"/>
    <tableColumn id="7" name="6" dataDxfId="223"/>
    <tableColumn id="8" name="7" dataDxfId="222"/>
    <tableColumn id="9" name="8" dataDxfId="221"/>
    <tableColumn id="10" name="9" dataDxfId="220"/>
    <tableColumn id="11" name="10" dataDxfId="219"/>
    <tableColumn id="12" name="11" dataDxfId="218"/>
    <tableColumn id="13" name="12" dataDxfId="217"/>
    <tableColumn id="14" name="13" dataDxfId="216"/>
    <tableColumn id="15" name="14" dataDxfId="215"/>
    <tableColumn id="16" name="15" dataDxfId="214"/>
    <tableColumn id="17" name="16" dataDxfId="213"/>
    <tableColumn id="18" name="17" dataDxfId="212"/>
    <tableColumn id="19" name="18" dataDxfId="211"/>
    <tableColumn id="20" name="19" dataDxfId="210"/>
    <tableColumn id="21" name="20" dataDxfId="209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8" dataDxfId="207">
  <autoFilter ref="B8:E12"/>
  <tableColumns count="4">
    <tableColumn id="1" name="Equivalence (min)" dataDxfId="206"/>
    <tableColumn id="2" name="HC" dataDxfId="205">
      <calculatedColumnFormula>IF(ROUND(HCtoSkipTimers[[#This Row],[Equivalence (min)]]*$F$3+$G$3,0)=0,1,ROUND(HCtoSkipTimers[[#This Row],[Equivalence (min)]]*$F$3+$G$3,0))</calculatedColumnFormula>
    </tableColumn>
    <tableColumn id="3" name="$ min" dataDxfId="204" dataCellStyle="Currency">
      <calculatedColumnFormula>C9/'Offer Simulator'!$B$3</calculatedColumnFormula>
    </tableColumn>
    <tableColumn id="4" name="$ max" dataDxfId="203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61:T75" totalsRowShown="0" headerRowDxfId="202" dataDxfId="201">
  <autoFilter ref="A61:T75"/>
  <tableColumns count="20">
    <tableColumn id="1" name="Dragon ID / Step XP per Level" dataDxfId="200"/>
    <tableColumn id="2" name="1" dataDxfId="199">
      <calculatedColumnFormula>IF(OFFSET(F31,$A62,0)="","",ROUND(SUM(OFFSET($F31:F31,$A62,0)),0))</calculatedColumnFormula>
    </tableColumn>
    <tableColumn id="3" name="2" dataDxfId="198">
      <calculatedColumnFormula>IF(OFFSET(G31,$A62,0)="","",ROUND(SUM(OFFSET($F31:G31,$A62,0)),0))</calculatedColumnFormula>
    </tableColumn>
    <tableColumn id="4" name="3" dataDxfId="197">
      <calculatedColumnFormula>IF(OFFSET(H31,$A62,0)="","",ROUND(SUM(OFFSET($F31:H31,$A62,0)),0))</calculatedColumnFormula>
    </tableColumn>
    <tableColumn id="5" name="4" dataDxfId="196">
      <calculatedColumnFormula>IF(OFFSET(I31,$A62,0)="","",ROUND(SUM(OFFSET($F31:I31,$A62,0)),0))</calculatedColumnFormula>
    </tableColumn>
    <tableColumn id="6" name="5" dataDxfId="195">
      <calculatedColumnFormula>IF(OFFSET(J31,$A62,0)="","",ROUND(SUM(OFFSET($F31:J31,$A62,0)),0))</calculatedColumnFormula>
    </tableColumn>
    <tableColumn id="7" name="6" dataDxfId="194">
      <calculatedColumnFormula>IF(OFFSET(K31,$A62,0)="","",ROUND(SUM(OFFSET($F31:K31,$A62,0)),0))</calculatedColumnFormula>
    </tableColumn>
    <tableColumn id="8" name="7" dataDxfId="193">
      <calculatedColumnFormula>IF(OFFSET(L31,$A62,0)="","",ROUND(SUM(OFFSET($F31:L31,$A62,0)),0))</calculatedColumnFormula>
    </tableColumn>
    <tableColumn id="9" name="8" dataDxfId="192">
      <calculatedColumnFormula>IF(OFFSET(M31,$A62,0)="","",ROUND(SUM(OFFSET($F31:M31,$A62,0)),0))</calculatedColumnFormula>
    </tableColumn>
    <tableColumn id="10" name="9" dataDxfId="191">
      <calculatedColumnFormula>IF(OFFSET(N31,$A62,0)="","",ROUND(SUM(OFFSET($F31:N31,$A62,0)),0))</calculatedColumnFormula>
    </tableColumn>
    <tableColumn id="11" name="10" dataDxfId="190">
      <calculatedColumnFormula>IF(OFFSET(O31,$A62,0)="","",ROUND(SUM(OFFSET($F31:O31,$A62,0)),0))</calculatedColumnFormula>
    </tableColumn>
    <tableColumn id="12" name="11" dataDxfId="189">
      <calculatedColumnFormula>IF(OFFSET(P31,$A62,0)="","",ROUND(SUM(OFFSET($F31:P31,$A62,0)),0))</calculatedColumnFormula>
    </tableColumn>
    <tableColumn id="13" name="12" dataDxfId="188">
      <calculatedColumnFormula>IF(OFFSET(Q31,$A62,0)="","",ROUND(SUM(OFFSET($F31:Q31,$A62,0)),0))</calculatedColumnFormula>
    </tableColumn>
    <tableColumn id="14" name="13" dataDxfId="187">
      <calculatedColumnFormula>IF(OFFSET(R31,$A62,0)="","",ROUND(SUM(OFFSET($F31:R31,$A62,0)),0))</calculatedColumnFormula>
    </tableColumn>
    <tableColumn id="15" name="14" dataDxfId="186">
      <calculatedColumnFormula>IF(OFFSET(S31,$A62,0)="","",ROUND(SUM(OFFSET($F31:S31,$A62,0)),0))</calculatedColumnFormula>
    </tableColumn>
    <tableColumn id="16" name="15" dataDxfId="185">
      <calculatedColumnFormula>IF(OFFSET(T31,$A62,0)="","",ROUND(SUM(OFFSET($F31:T31,$A62,0)),0))</calculatedColumnFormula>
    </tableColumn>
    <tableColumn id="17" name="16" dataDxfId="184">
      <calculatedColumnFormula>IF(OFFSET(U31,$A62,0)="","",ROUND(SUM(OFFSET($F31:U31,$A62,0)),0))</calculatedColumnFormula>
    </tableColumn>
    <tableColumn id="18" name="17" dataDxfId="183">
      <calculatedColumnFormula>IF(OFFSET(V31,$A62,0)="","",ROUND(SUM(OFFSET($F31:V31,$A62,0)),0))</calculatedColumnFormula>
    </tableColumn>
    <tableColumn id="19" name="18" dataDxfId="182">
      <calculatedColumnFormula>IF(OFFSET(W31,$A62,0)="","",ROUND(SUM(OFFSET($F31:W31,$A62,0)),0))</calculatedColumnFormula>
    </tableColumn>
    <tableColumn id="20" name="19" dataDxfId="181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8:C92" totalsRowShown="0" headerRowDxfId="180" dataDxfId="179">
  <autoFilter ref="A78:C92"/>
  <tableColumns count="3">
    <tableColumn id="1" name="Dragon ID" dataDxfId="178"/>
    <tableColumn id="2" name="AVG_XP/min" dataDxfId="177">
      <calculatedColumnFormula>ROUND(AVERAGE(D11:D11),0)</calculatedColumnFormula>
    </tableColumn>
    <tableColumn id="3" name="AVG_TIME_TO_MAX_LEVEL" dataDxfId="176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75" dataDxfId="173" headerRowBorderDxfId="174">
  <autoFilter ref="E12:J30"/>
  <tableColumns count="6">
    <tableColumn id="1" name="Dragon" dataDxfId="172"/>
    <tableColumn id="2" name="Reward Multiplier" dataDxfId="171"/>
    <tableColumn id="6" name="Easy Mission Reward" dataDxfId="170">
      <calculatedColumnFormula>missionsDragonRelativeMetrics[[#This Row],[Reward Multiplier]]*$C$5</calculatedColumnFormula>
    </tableColumn>
    <tableColumn id="7" name="Medium Mission Reward" dataDxfId="169">
      <calculatedColumnFormula>missionsDragonRelativeMetrics[[#This Row],[Reward Multiplier]]*$C$6</calculatedColumnFormula>
    </tableColumn>
    <tableColumn id="3" name="Hard Mission Reward" dataDxfId="168">
      <calculatedColumnFormula>missionsDragonRelativeMetrics[[#This Row],[Reward Multiplier]]*$C$7</calculatedColumnFormula>
    </tableColumn>
    <tableColumn id="4" name="Max. Nb. Missions" dataDxfId="167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66" dataDxfId="165">
  <autoFilter ref="A4:C7"/>
  <tableColumns count="3">
    <tableColumn id="6" name="Difficulty" dataDxfId="164"/>
    <tableColumn id="1" name="Mission Level" dataDxfId="163" totalsRowDxfId="162"/>
    <tableColumn id="2" name="Max Reward" dataDxfId="161" totalsRowDxfId="16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159" dataDxfId="157" headerRowBorderDxfId="158" tableBorderDxfId="156">
  <autoFilter ref="A12:C30"/>
  <tableColumns count="3">
    <tableColumn id="1" name="Dragon" dataDxfId="155"/>
    <tableColumn id="2" name="QuantityModifier" dataDxfId="154"/>
    <tableColumn id="3" name="Dragon Tier" dataDxfId="15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N73" totalsRowShown="0" headerRowDxfId="152" headerRowBorderDxfId="151" tableBorderDxfId="150">
  <autoFilter ref="B44:N73"/>
  <tableColumns count="13">
    <tableColumn id="1" name="MISSION TYPE"/>
    <tableColumn id="2" name="PARAM"/>
    <tableColumn id="3" name="HAS SINGLE RUN"/>
    <tableColumn id="4" name="OBJ. BASE. QU. MIN" dataDxfId="149"/>
    <tableColumn id="5" name="OBJ. BASE. QU. MAX" dataDxfId="148"/>
    <tableColumn id="6" name="OBJ. QU. RANGE" dataDxfId="147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46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45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44" headerRowBorderDxfId="143" tableBorderDxfId="142">
  <autoFilter ref="B13:E18"/>
  <tableColumns count="4">
    <tableColumn id="1" name="CHESTS" dataDxfId="141"/>
    <tableColumn id="2" name="TYPE" dataDxfId="140"/>
    <tableColumn id="3" name="AMOUNT" dataDxfId="139"/>
    <tableColumn id="4" name="AMOUNT NEW" dataDxfId="13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2" totalsRowShown="0" headerRowDxfId="137" headerRowBorderDxfId="136" tableBorderDxfId="135">
  <autoFilter ref="G13:AL32"/>
  <tableColumns count="32">
    <tableColumn id="1" name="DRAGON" dataDxfId="134"/>
    <tableColumn id="35" name="COINS" dataDxfId="133">
      <calculatedColumnFormula>Table6[[#This Row],[TOTAL COINS]] +Table6[[#This Row],[COINS IN RUNS PER DAY]]</calculatedColumnFormula>
    </tableColumn>
    <tableColumn id="34" name="COINS NEW" dataDxfId="132">
      <calculatedColumnFormula>Table6[[#This Row],[TOTAL COINS NEW]] + Table6[[#This Row],[COINS IN RUNS PER DAY]]</calculatedColumnFormula>
    </tableColumn>
    <tableColumn id="17" name="TOTAL COINS" dataDxfId="131">
      <calculatedColumnFormula>Table6[[#This Row],[CHESTS COINS]] + Table6[[#This Row],[DAILY COINS]]+Table6[[#This Row],[LEAGUES COINS]]+Table6[[#This Row],[MISSIONS COINS]]</calculatedColumnFormula>
    </tableColumn>
    <tableColumn id="16" name="TOTAL GEMS" dataDxfId="130">
      <calculatedColumnFormula>Table6[[#This Row],[CHESTS GEMS]]+Table6[[#This Row],[DAILY GEMS]]+Table6[[#This Row],[LEAGUES GEMS]]</calculatedColumnFormula>
    </tableColumn>
    <tableColumn id="28" name="TOTAL COINS NEW" dataDxfId="129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28">
      <calculatedColumnFormula>Table6[[#This Row],[CHESTS GEMS NEW]] +Table6[[#This Row],[DAILY GEMS NEW]] +Table6[[#This Row],[LEAGUES GEMS NEW]]</calculatedColumnFormula>
    </tableColumn>
    <tableColumn id="31" name="COINS IN RUNS PER DAY" dataDxfId="127">
      <calculatedColumnFormula>Table6[[#This Row],[COINS PER RUN]] *Table6[[#This Row],[RUNS PER DAY]]</calculatedColumnFormula>
    </tableColumn>
    <tableColumn id="2" name="CHEST REW. MOD." dataDxfId="126"/>
    <tableColumn id="3" name="DAILY REW. MOD." dataDxfId="125"/>
    <tableColumn id="19" name="CHEST REW. MOD. NEW" dataDxfId="124"/>
    <tableColumn id="18" name="DAILY REW. MOD. NEW" dataDxfId="123"/>
    <tableColumn id="4" name="LEAGUE" dataDxfId="122"/>
    <tableColumn id="5" name="NUM. EASY" dataDxfId="121"/>
    <tableColumn id="6" name="NUM. MED." dataDxfId="120"/>
    <tableColumn id="7" name="NUM. HARD" dataDxfId="119"/>
    <tableColumn id="8" name="CHESTS COINS" dataDxfId="118">
      <calculatedColumnFormula>Table6[[#This Row],[CHEST REW. MOD.]]*($D$14+$D$15+$D$16)</calculatedColumnFormula>
    </tableColumn>
    <tableColumn id="9" name="CHESTS GEMS" dataDxfId="117">
      <calculatedColumnFormula>$D$17+$D$18</calculatedColumnFormula>
    </tableColumn>
    <tableColumn id="10" name="DAILY COINS" dataDxfId="116">
      <calculatedColumnFormula>ROUND((Table6[[#This Row],[DAILY REW. MOD.]]*($D$24+$D$26+$D$28))/7,0)</calculatedColumnFormula>
    </tableColumn>
    <tableColumn id="11" name="DAILY GEMS" dataDxfId="115">
      <calculatedColumnFormula>ROUND(($D$25+$D$27+$D$29)/7,1)</calculatedColumnFormula>
    </tableColumn>
    <tableColumn id="12" name="LEAGUES COINS" dataDxfId="114">
      <calculatedColumnFormula>ROUND((INDEX(Table12[AVG COINS],MATCH(Table6[[#This Row],[LEAGUE]],Table12[LEAGUE],0))) /$C$37,0)</calculatedColumnFormula>
    </tableColumn>
    <tableColumn id="13" name="LEAGUES GEMS" dataDxfId="113">
      <calculatedColumnFormula>ROUND((INDEX(Table12[AVG GEMS],MATCH(Table6[[#This Row],[LEAGUE]],Table12[LEAGUE],0))) /$C$36,2)</calculatedColumnFormula>
    </tableColumn>
    <tableColumn id="14" name="MISSIONS COINS" dataDxfId="112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111">
      <calculatedColumnFormula>Table6[[#This Row],[CHEST REW. MOD. NEW]]*($D$14+$D$15+$D$16)</calculatedColumnFormula>
    </tableColumn>
    <tableColumn id="21" name="CHESTS GEMS NEW" dataDxfId="110">
      <calculatedColumnFormula>$E$17+$E$18</calculatedColumnFormula>
    </tableColumn>
    <tableColumn id="22" name="DAILY COINS NEW" dataDxfId="109">
      <calculatedColumnFormula>ROUND((Table6[[#This Row],[DAILY REW. MOD. NEW]]*($E$24+$E$26+$E$28))/7,0)</calculatedColumnFormula>
    </tableColumn>
    <tableColumn id="23" name="DAILY GEMS NEW" dataDxfId="108">
      <calculatedColumnFormula>ROUND(($E$25+$E$27+$E$29)/7,1)</calculatedColumnFormula>
    </tableColumn>
    <tableColumn id="24" name="LEAGUES COINS NEW" dataDxfId="107">
      <calculatedColumnFormula>ROUND((INDEX(Table12[AVG COINS NEW],MATCH(Table6[[#This Row],[LEAGUE]],Table12[LEAGUE],0))) /$C$37,0)</calculatedColumnFormula>
    </tableColumn>
    <tableColumn id="25" name="LEAGUES GEMS NEW" dataDxfId="106">
      <calculatedColumnFormula>ROUND((INDEX(Table12[AVG GEMS NEW],MATCH(Table6[[#This Row],[LEAGUE]],Table12[LEAGUE],0))) / $C$37,2)</calculatedColumnFormula>
    </tableColumn>
    <tableColumn id="26" name="MISSIONS COINS NEW" dataDxfId="105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104"/>
    <tableColumn id="30" name="RUNS PER DAY" dataDxfId="10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102" dataDxfId="100" headerRowBorderDxfId="101" tableBorderDxfId="99">
  <autoFilter ref="B23:E31"/>
  <tableColumns count="4">
    <tableColumn id="1" name="DAY" dataDxfId="98"/>
    <tableColumn id="2" name="TYPE" dataDxfId="97"/>
    <tableColumn id="3" name="AMOUNT" dataDxfId="96"/>
    <tableColumn id="4" name="AMOUNT NEW" dataDxfId="95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9:F49" totalsRowShown="0" headerRowDxfId="94" headerRowBorderDxfId="93" tableBorderDxfId="92">
  <autoFilter ref="B39:F49"/>
  <tableColumns count="5">
    <tableColumn id="1" name="LEAGUE" dataDxfId="91"/>
    <tableColumn id="2" name="AVG COINS" dataDxfId="90">
      <calculatedColumnFormula>SUM(F61:F65)/100</calculatedColumnFormula>
    </tableColumn>
    <tableColumn id="3" name="AVG GEMS" dataDxfId="89"/>
    <tableColumn id="4" name="AVG COINS NEW" dataDxfId="88"/>
    <tableColumn id="5" name="AVG GEMS NEW" dataDxfId="87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60:J110" totalsRowShown="0" headerRowDxfId="86" dataDxfId="84" headerRowBorderDxfId="85" tableBorderDxfId="83">
  <autoFilter ref="B60:J110"/>
  <tableColumns count="9">
    <tableColumn id="1" name="LEAGUE" dataDxfId="82"/>
    <tableColumn id="2" name="TYPE" dataDxfId="81"/>
    <tableColumn id="3" name="AMOUNT" dataDxfId="80"/>
    <tableColumn id="4" name="TARGET" dataDxfId="79"/>
    <tableColumn id="5" name="AUX 1" dataDxfId="78">
      <calculatedColumnFormula>Table13[[#This Row],[AMOUNT]]*(Table13[[#This Row],[TARGET]]/100)</calculatedColumnFormula>
    </tableColumn>
    <tableColumn id="10" name="TYPE NEW" dataDxfId="77"/>
    <tableColumn id="6" name="AMOUNT NEW" dataDxfId="76"/>
    <tableColumn id="7" name="TARGET NEW" dataDxfId="75"/>
    <tableColumn id="8" name="AUX 1 NEW" dataDxfId="74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3:E116" totalsRowShown="0" headerRowDxfId="73" dataDxfId="72">
  <autoFilter ref="B113:E116"/>
  <tableColumns count="4">
    <tableColumn id="6" name="DIFFICULTY" dataDxfId="71"/>
    <tableColumn id="1" name="MISSION LV." dataDxfId="70" totalsRowDxfId="69"/>
    <tableColumn id="2" name="MAX. REW." dataDxfId="68" totalsRowDxfId="67"/>
    <tableColumn id="3" name="MAX REW. NEW" dataDxfId="66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65" dataDxfId="64" tableBorderDxfId="63">
  <autoFilter ref="A6:C13"/>
  <tableColumns count="3">
    <tableColumn id="1" name="Price" dataDxfId="62"/>
    <tableColumn id="2" name="HC earned" dataDxfId="61">
      <calculatedColumnFormula>ROUND(Table47[[#This Row],[Price]]*$B$3+Table47[[#This Row],[Price]]*$B$3*Table47[[#This Row],[Discount]],0)</calculatedColumnFormula>
    </tableColumn>
    <tableColumn id="3" name="Discount" dataDxfId="6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59" dataDxfId="58" tableBorderDxfId="57">
  <autoFilter ref="A20:C26"/>
  <tableColumns count="3">
    <tableColumn id="1" name="Price HC" dataDxfId="56"/>
    <tableColumn id="2" name="SC earned" dataDxfId="55">
      <calculatedColumnFormula>ROUND((($B$17/$B$3)*Table479[[#This Row],[Price HC]])+((($B$17/$B$3)*Table479[[#This Row],[Price HC]])*Table479[[#This Row],[Discount]]),0)</calculatedColumnFormula>
    </tableColumn>
    <tableColumn id="3" name="Discount" dataDxfId="54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4" totalsRowShown="0" headerRowDxfId="53" tableBorderDxfId="52">
  <autoFilter ref="E16:W34"/>
  <tableColumns count="19">
    <tableColumn id="1" name="Dragon" dataDxfId="51"/>
    <tableColumn id="2" name="pricing (HC)" dataDxfId="50"/>
    <tableColumn id="3" name="Equivalence Base" dataDxfId="49">
      <calculatedColumnFormula>F17/$B$3</calculatedColumnFormula>
    </tableColumn>
    <tableColumn id="4" name="Equivalence better" dataDxfId="48">
      <calculatedColumnFormula>ROUND(F17/$B$4,2)</calculatedColumnFormula>
    </tableColumn>
    <tableColumn id="5" name="Dis. 1 price (SC or HC)" dataDxfId="47"/>
    <tableColumn id="6" name="Dis. 1 Eq. Base" dataDxfId="46">
      <calculatedColumnFormula>(Table9[[#This Row],[Dis. 1 price (SC or HC)]]/($B$17/$B$3))/$B$3</calculatedColumnFormula>
    </tableColumn>
    <tableColumn id="7" name="Dis 1 Eq. better" dataDxfId="45">
      <calculatedColumnFormula>Table9[[#This Row],[Dis. 1 price (SC or HC)]]/$B$18</calculatedColumnFormula>
    </tableColumn>
    <tableColumn id="8" name="Dis. 2 price (SC or HC)" dataDxfId="44"/>
    <tableColumn id="9" name="Dis. 2 Eq. Base" dataDxfId="43"/>
    <tableColumn id="10" name="Dis 2 Eq. better" dataDxfId="42"/>
    <tableColumn id="11" name="Dis. 3 price (SC or HC)" dataDxfId="41"/>
    <tableColumn id="12" name="Dis. 3 Eq. Base" dataDxfId="40"/>
    <tableColumn id="13" name="Dis 3 Eq. better" dataDxfId="39"/>
    <tableColumn id="14" name="Dis. 4 price (SC or HC)" dataDxfId="38"/>
    <tableColumn id="15" name="Dis. 4 Eq. Base" dataDxfId="37"/>
    <tableColumn id="16" name="Dis 4 Eq. better" dataDxfId="36"/>
    <tableColumn id="17" name="Dis. 5 price (SC or HC)" dataDxfId="35"/>
    <tableColumn id="18" name="Dis. 5 Eq. Base" dataDxfId="34"/>
    <tableColumn id="19" name="Dis 5 Eq. better" dataDxfId="33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1:B32" totalsRowShown="0" headerRowDxfId="32" tableBorderDxfId="31">
  <autoFilter ref="A31:B32"/>
  <tableColumns count="2">
    <tableColumn id="1" name="price HC" dataDxfId="30"/>
    <tableColumn id="2" name="Price $" dataDxfId="29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J35" sqref="J35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  <c r="O5" t="s">
        <v>505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F15" sqref="F1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I23" sqref="I2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80">
        <v>14</v>
      </c>
      <c r="B17" s="380">
        <v>204</v>
      </c>
      <c r="C17" s="380">
        <v>205</v>
      </c>
      <c r="D17" s="380">
        <v>206</v>
      </c>
      <c r="E17" s="380">
        <v>207</v>
      </c>
      <c r="F17" s="380">
        <v>208</v>
      </c>
      <c r="G17" s="380">
        <v>209</v>
      </c>
      <c r="H17" s="380">
        <v>210</v>
      </c>
      <c r="I17" s="380">
        <v>211</v>
      </c>
      <c r="J17" s="380">
        <v>212</v>
      </c>
      <c r="K17" s="380">
        <v>213</v>
      </c>
      <c r="L17" s="380">
        <v>214</v>
      </c>
      <c r="M17" s="380">
        <v>215</v>
      </c>
      <c r="N17" s="380">
        <v>216</v>
      </c>
      <c r="O17" s="380">
        <v>217</v>
      </c>
      <c r="P17" s="380">
        <v>218</v>
      </c>
      <c r="Q17" s="380">
        <v>219</v>
      </c>
      <c r="R17" s="380">
        <v>220</v>
      </c>
      <c r="S17" s="380">
        <v>221</v>
      </c>
      <c r="T17" s="380">
        <v>222</v>
      </c>
      <c r="U17" s="380">
        <v>223</v>
      </c>
    </row>
    <row r="22" spans="1:21" x14ac:dyDescent="0.25">
      <c r="B22" s="100" t="s">
        <v>328</v>
      </c>
    </row>
    <row r="23" spans="1:21" x14ac:dyDescent="0.25">
      <c r="B23" t="s">
        <v>329</v>
      </c>
    </row>
    <row r="24" spans="1:21" x14ac:dyDescent="0.25">
      <c r="B24" t="s">
        <v>330</v>
      </c>
    </row>
    <row r="25" spans="1:21" x14ac:dyDescent="0.25">
      <c r="B25" t="s">
        <v>331</v>
      </c>
    </row>
    <row r="26" spans="1:21" x14ac:dyDescent="0.25">
      <c r="B26" t="s">
        <v>332</v>
      </c>
    </row>
    <row r="27" spans="1:21" x14ac:dyDescent="0.25">
      <c r="B27" t="s">
        <v>333</v>
      </c>
    </row>
    <row r="28" spans="1:21" x14ac:dyDescent="0.25">
      <c r="B28" t="s">
        <v>334</v>
      </c>
    </row>
    <row r="29" spans="1:21" x14ac:dyDescent="0.25">
      <c r="B29" t="s">
        <v>335</v>
      </c>
    </row>
    <row r="30" spans="1:21" x14ac:dyDescent="0.25">
      <c r="B30" t="s">
        <v>336</v>
      </c>
    </row>
    <row r="31" spans="1:21" x14ac:dyDescent="0.25">
      <c r="B31" t="s">
        <v>337</v>
      </c>
    </row>
    <row r="32" spans="1:21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topLeftCell="A52" workbookViewId="0">
      <selection activeCell="E88" sqref="E88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0" t="s">
        <v>222</v>
      </c>
      <c r="I9" s="360"/>
      <c r="J9" s="360"/>
      <c r="L9" s="360" t="s">
        <v>225</v>
      </c>
      <c r="M9" s="36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4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177</v>
      </c>
      <c r="B26" s="97"/>
      <c r="C26" s="97"/>
      <c r="D26" t="s">
        <v>228</v>
      </c>
    </row>
    <row r="27" spans="1:25" x14ac:dyDescent="0.25">
      <c r="A27" s="1"/>
      <c r="B27" s="1"/>
      <c r="C27" s="82" t="s">
        <v>83</v>
      </c>
      <c r="D27" s="82" t="s">
        <v>227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53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57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si="4"/>
        <v>0</v>
      </c>
      <c r="D51" s="63"/>
      <c r="E51" s="63"/>
      <c r="F51" s="1" t="b">
        <f>F$30&lt;=MAX($B51:$B52)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3">IF(G51,$D$52*G30+$E$52,"")</f>
        <v>7481.7894736842109</v>
      </c>
      <c r="H52" s="34">
        <f t="shared" si="23"/>
        <v>11222.684210526317</v>
      </c>
      <c r="I52" s="34">
        <f t="shared" si="23"/>
        <v>14963.578947368422</v>
      </c>
      <c r="J52" s="34">
        <f t="shared" si="23"/>
        <v>18704.473684210527</v>
      </c>
      <c r="K52" s="34">
        <f t="shared" si="23"/>
        <v>22445.368421052633</v>
      </c>
      <c r="L52" s="34">
        <f t="shared" si="23"/>
        <v>26186.263157894737</v>
      </c>
      <c r="M52" s="34">
        <f t="shared" si="23"/>
        <v>29927.157894736843</v>
      </c>
      <c r="N52" s="34">
        <f t="shared" si="23"/>
        <v>33668.052631578947</v>
      </c>
      <c r="O52" s="34">
        <f t="shared" si="23"/>
        <v>37408.947368421053</v>
      </c>
      <c r="P52" s="34">
        <f t="shared" si="23"/>
        <v>41149.84210526316</v>
      </c>
      <c r="Q52" s="34">
        <f t="shared" si="23"/>
        <v>44890.736842105267</v>
      </c>
      <c r="R52" s="34">
        <f t="shared" si="23"/>
        <v>48631.631578947374</v>
      </c>
      <c r="S52" s="34">
        <f t="shared" si="23"/>
        <v>52372.526315789473</v>
      </c>
      <c r="T52" s="34">
        <f t="shared" si="23"/>
        <v>56113.42105263158</v>
      </c>
      <c r="U52" s="34">
        <f t="shared" si="23"/>
        <v>59854.315789473687</v>
      </c>
      <c r="V52" s="34">
        <f t="shared" si="23"/>
        <v>63595.210526315794</v>
      </c>
      <c r="W52" s="34">
        <f t="shared" si="23"/>
        <v>67336.105263157893</v>
      </c>
      <c r="X52" s="34">
        <f t="shared" si="23"/>
        <v>71077</v>
      </c>
      <c r="Y52" s="34" t="str">
        <f t="shared" si="23"/>
        <v/>
      </c>
    </row>
    <row r="53" spans="1:25" x14ac:dyDescent="0.25">
      <c r="A53" s="63">
        <v>12</v>
      </c>
      <c r="B53" s="63">
        <v>0</v>
      </c>
      <c r="C53" s="63">
        <f t="shared" si="4"/>
        <v>0</v>
      </c>
      <c r="D53" s="63"/>
      <c r="E53" s="63"/>
      <c r="F53" s="1" t="b">
        <f>F$30&lt;=MAX($B53:$B54)</f>
        <v>1</v>
      </c>
      <c r="G53" s="1" t="b">
        <f t="shared" si="21"/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4">IF(G53,$D$54*G30+$E$54,"")</f>
        <v>8305.2631578947367</v>
      </c>
      <c r="H54" s="34">
        <f t="shared" si="24"/>
        <v>12457.894736842105</v>
      </c>
      <c r="I54" s="34">
        <f t="shared" si="24"/>
        <v>16610.526315789473</v>
      </c>
      <c r="J54" s="34">
        <f t="shared" si="24"/>
        <v>20763.15789473684</v>
      </c>
      <c r="K54" s="34">
        <f t="shared" si="24"/>
        <v>24915.78947368421</v>
      </c>
      <c r="L54" s="34">
        <f t="shared" si="24"/>
        <v>29068.42105263158</v>
      </c>
      <c r="M54" s="34">
        <f t="shared" si="24"/>
        <v>33221.052631578947</v>
      </c>
      <c r="N54" s="34">
        <f t="shared" si="24"/>
        <v>37373.684210526313</v>
      </c>
      <c r="O54" s="34">
        <f t="shared" si="24"/>
        <v>41526.31578947368</v>
      </c>
      <c r="P54" s="34">
        <f t="shared" si="24"/>
        <v>45678.947368421053</v>
      </c>
      <c r="Q54" s="34">
        <f t="shared" si="24"/>
        <v>49831.57894736842</v>
      </c>
      <c r="R54" s="34">
        <f t="shared" si="24"/>
        <v>53984.210526315786</v>
      </c>
      <c r="S54" s="34">
        <f t="shared" si="24"/>
        <v>58136.84210526316</v>
      </c>
      <c r="T54" s="34">
        <f t="shared" si="24"/>
        <v>62289.473684210527</v>
      </c>
      <c r="U54" s="34">
        <f t="shared" si="24"/>
        <v>66442.105263157893</v>
      </c>
      <c r="V54" s="34">
        <f t="shared" si="24"/>
        <v>70594.736842105267</v>
      </c>
      <c r="W54" s="34">
        <f t="shared" si="24"/>
        <v>74747.368421052626</v>
      </c>
      <c r="X54" s="34">
        <f t="shared" si="24"/>
        <v>78900</v>
      </c>
      <c r="Y54" s="34" t="str">
        <f t="shared" si="24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si="21"/>
        <v>1</v>
      </c>
      <c r="H55" s="1" t="b">
        <f t="shared" si="21"/>
        <v>1</v>
      </c>
      <c r="I55" s="1" t="b">
        <f t="shared" si="21"/>
        <v>1</v>
      </c>
      <c r="J55" s="1" t="b">
        <f t="shared" si="21"/>
        <v>1</v>
      </c>
      <c r="K55" s="1" t="b">
        <f t="shared" si="21"/>
        <v>1</v>
      </c>
      <c r="L55" s="1" t="b">
        <f t="shared" si="21"/>
        <v>1</v>
      </c>
      <c r="M55" s="1" t="b">
        <f t="shared" si="21"/>
        <v>1</v>
      </c>
      <c r="N55" s="1" t="b">
        <f t="shared" si="21"/>
        <v>1</v>
      </c>
      <c r="O55" s="1" t="b">
        <f t="shared" si="21"/>
        <v>1</v>
      </c>
      <c r="P55" s="1" t="b">
        <f t="shared" si="21"/>
        <v>1</v>
      </c>
      <c r="Q55" s="1" t="b">
        <f t="shared" si="21"/>
        <v>1</v>
      </c>
      <c r="R55" s="1" t="b">
        <f t="shared" si="21"/>
        <v>1</v>
      </c>
      <c r="S55" s="1" t="b">
        <f t="shared" si="21"/>
        <v>1</v>
      </c>
      <c r="T55" s="1" t="b">
        <f t="shared" si="21"/>
        <v>1</v>
      </c>
      <c r="U55" s="1" t="b">
        <f t="shared" si="21"/>
        <v>1</v>
      </c>
      <c r="V55" s="1" t="b">
        <f t="shared" si="21"/>
        <v>1</v>
      </c>
      <c r="W55" s="1" t="b">
        <f t="shared" si="21"/>
        <v>1</v>
      </c>
      <c r="X55" s="1" t="b">
        <f t="shared" si="21"/>
        <v>1</v>
      </c>
      <c r="Y55" s="1" t="b">
        <f t="shared" si="21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25">IF(G55,$D$56*G30+$E$56,"")</f>
        <v>9142.5263157894733</v>
      </c>
      <c r="H56" s="34">
        <f t="shared" si="25"/>
        <v>13713.78947368421</v>
      </c>
      <c r="I56" s="34">
        <f t="shared" si="25"/>
        <v>18285.052631578947</v>
      </c>
      <c r="J56" s="34">
        <f t="shared" si="25"/>
        <v>22856.315789473683</v>
      </c>
      <c r="K56" s="34">
        <f t="shared" si="25"/>
        <v>27427.57894736842</v>
      </c>
      <c r="L56" s="34">
        <f t="shared" si="25"/>
        <v>31998.842105263157</v>
      </c>
      <c r="M56" s="34">
        <f t="shared" si="25"/>
        <v>36570.105263157893</v>
      </c>
      <c r="N56" s="34">
        <f t="shared" si="25"/>
        <v>41141.368421052626</v>
      </c>
      <c r="O56" s="34">
        <f t="shared" si="25"/>
        <v>45712.631578947367</v>
      </c>
      <c r="P56" s="34">
        <f t="shared" si="25"/>
        <v>50283.894736842107</v>
      </c>
      <c r="Q56" s="34">
        <f t="shared" si="25"/>
        <v>54855.15789473684</v>
      </c>
      <c r="R56" s="34">
        <f t="shared" si="25"/>
        <v>59426.421052631573</v>
      </c>
      <c r="S56" s="34">
        <f t="shared" si="25"/>
        <v>63997.684210526313</v>
      </c>
      <c r="T56" s="34">
        <f t="shared" si="25"/>
        <v>68568.947368421053</v>
      </c>
      <c r="U56" s="34">
        <f t="shared" si="25"/>
        <v>73140.210526315786</v>
      </c>
      <c r="V56" s="34">
        <f t="shared" si="25"/>
        <v>77711.473684210519</v>
      </c>
      <c r="W56" s="34">
        <f t="shared" si="25"/>
        <v>82282.736842105252</v>
      </c>
      <c r="X56" s="34">
        <f t="shared" si="25"/>
        <v>86854</v>
      </c>
      <c r="Y56" s="34"/>
    </row>
    <row r="57" spans="1:25" x14ac:dyDescent="0.25">
      <c r="A57" s="381">
        <v>14</v>
      </c>
      <c r="B57" s="381">
        <v>0</v>
      </c>
      <c r="C57" s="381">
        <f>ROUND(IF(B57=0,0,$C$28*POWER(A57,$C$29)),0)</f>
        <v>0</v>
      </c>
      <c r="D57" s="381"/>
      <c r="E57" s="381"/>
      <c r="F57" s="1" t="b">
        <f>F$30&lt;=MAX($B57:$B58)</f>
        <v>1</v>
      </c>
      <c r="G57" s="1" t="b">
        <f t="shared" si="21"/>
        <v>1</v>
      </c>
      <c r="H57" s="1" t="b">
        <f t="shared" si="21"/>
        <v>1</v>
      </c>
      <c r="I57" s="1" t="b">
        <f t="shared" si="21"/>
        <v>1</v>
      </c>
      <c r="J57" s="1" t="b">
        <f t="shared" si="21"/>
        <v>1</v>
      </c>
      <c r="K57" s="1" t="b">
        <f t="shared" si="21"/>
        <v>1</v>
      </c>
      <c r="L57" s="1" t="b">
        <f t="shared" si="21"/>
        <v>1</v>
      </c>
      <c r="M57" s="1" t="b">
        <f t="shared" si="21"/>
        <v>1</v>
      </c>
      <c r="N57" s="1" t="b">
        <f t="shared" si="21"/>
        <v>1</v>
      </c>
      <c r="O57" s="1" t="b">
        <f t="shared" si="21"/>
        <v>1</v>
      </c>
      <c r="P57" s="1" t="b">
        <f t="shared" si="21"/>
        <v>1</v>
      </c>
      <c r="Q57" s="1" t="b">
        <f t="shared" si="21"/>
        <v>1</v>
      </c>
      <c r="R57" s="1" t="b">
        <f t="shared" si="21"/>
        <v>1</v>
      </c>
      <c r="S57" s="1" t="b">
        <f t="shared" si="21"/>
        <v>1</v>
      </c>
      <c r="T57" s="1" t="b">
        <f t="shared" si="21"/>
        <v>1</v>
      </c>
      <c r="U57" s="1" t="b">
        <f t="shared" si="21"/>
        <v>1</v>
      </c>
      <c r="V57" s="1" t="b">
        <f t="shared" si="21"/>
        <v>1</v>
      </c>
      <c r="W57" s="1" t="b">
        <f t="shared" si="21"/>
        <v>1</v>
      </c>
      <c r="X57" s="1" t="b">
        <f t="shared" si="21"/>
        <v>1</v>
      </c>
      <c r="Y57" s="1" t="b">
        <f t="shared" si="2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26">IF(G57,$D$58*G30+$E$58,"")</f>
        <v>9992.8421052631584</v>
      </c>
      <c r="H58" s="34">
        <f t="shared" si="26"/>
        <v>14989.263157894737</v>
      </c>
      <c r="I58" s="34">
        <f t="shared" si="26"/>
        <v>19985.684210526317</v>
      </c>
      <c r="J58" s="34">
        <f t="shared" si="26"/>
        <v>24982.105263157897</v>
      </c>
      <c r="K58" s="34">
        <f t="shared" si="26"/>
        <v>29978.526315789473</v>
      </c>
      <c r="L58" s="34">
        <f t="shared" si="26"/>
        <v>34974.947368421053</v>
      </c>
      <c r="M58" s="34">
        <f t="shared" si="26"/>
        <v>39971.368421052633</v>
      </c>
      <c r="N58" s="34">
        <f t="shared" si="26"/>
        <v>44967.789473684214</v>
      </c>
      <c r="O58" s="34">
        <f t="shared" si="26"/>
        <v>49964.210526315794</v>
      </c>
      <c r="P58" s="34">
        <f t="shared" si="26"/>
        <v>54960.631578947374</v>
      </c>
      <c r="Q58" s="34">
        <f t="shared" si="26"/>
        <v>59957.052631578947</v>
      </c>
      <c r="R58" s="34">
        <f t="shared" si="26"/>
        <v>64953.473684210527</v>
      </c>
      <c r="S58" s="34">
        <f t="shared" si="26"/>
        <v>69949.894736842107</v>
      </c>
      <c r="T58" s="34">
        <f t="shared" si="26"/>
        <v>74946.315789473694</v>
      </c>
      <c r="U58" s="34">
        <f t="shared" si="26"/>
        <v>79942.736842105267</v>
      </c>
      <c r="V58" s="34">
        <f t="shared" si="26"/>
        <v>84939.15789473684</v>
      </c>
      <c r="W58" s="34">
        <f t="shared" si="26"/>
        <v>89935.578947368427</v>
      </c>
      <c r="X58" s="34">
        <f t="shared" si="26"/>
        <v>94932</v>
      </c>
      <c r="Y58" s="34"/>
    </row>
    <row r="60" spans="1:25" ht="18.75" x14ac:dyDescent="0.3">
      <c r="A60" s="81" t="s">
        <v>176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27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27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27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27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27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27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27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 V53:X53 F55:Y55" formulaRange="1"/>
    <ignoredError sqref="F33:Y33 F35:Y35 F43:Y43 F45:Y45 F47:Y47 F49:Y49 F41:Y41 F37:Y37 F39:Y39 F51 G51:Y51 F53:U53 Y53 F57:Y57" formula="1" formulaRange="1"/>
    <ignoredError sqref="F32:I32 F34:Y34 F36:Y36 F42:Y42 F50:Y50 F48:Y48 F46:Y46 F44:Y44 F40:Y40 F38:Y38 M32:Y32 F52:U52 V52:X52 Y52 F54:U54 V54:Y54 F56:Y56 J32:L3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N75"/>
  <sheetViews>
    <sheetView topLeftCell="A34" workbookViewId="0">
      <selection activeCell="F75" sqref="F75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</cols>
  <sheetData>
    <row r="2" spans="1:10" x14ac:dyDescent="0.25">
      <c r="G2" s="287" t="s">
        <v>445</v>
      </c>
    </row>
    <row r="3" spans="1:10" x14ac:dyDescent="0.25">
      <c r="G3" s="104" t="s">
        <v>446</v>
      </c>
    </row>
    <row r="4" spans="1:10" x14ac:dyDescent="0.25">
      <c r="A4" s="279" t="s">
        <v>74</v>
      </c>
      <c r="B4" s="279" t="s">
        <v>3</v>
      </c>
      <c r="C4" s="279" t="s">
        <v>45</v>
      </c>
      <c r="G4" s="294" t="s">
        <v>447</v>
      </c>
    </row>
    <row r="5" spans="1:10" x14ac:dyDescent="0.25">
      <c r="A5" s="1" t="s">
        <v>67</v>
      </c>
      <c r="B5" s="1">
        <v>1</v>
      </c>
      <c r="C5" s="287">
        <v>200</v>
      </c>
    </row>
    <row r="6" spans="1:10" x14ac:dyDescent="0.25">
      <c r="A6" s="1" t="s">
        <v>68</v>
      </c>
      <c r="B6" s="1">
        <v>2</v>
      </c>
      <c r="C6" s="287">
        <v>300</v>
      </c>
    </row>
    <row r="7" spans="1:10" x14ac:dyDescent="0.25">
      <c r="A7" s="1" t="s">
        <v>69</v>
      </c>
      <c r="B7" s="1">
        <v>3</v>
      </c>
      <c r="C7" s="287">
        <v>600</v>
      </c>
    </row>
    <row r="10" spans="1:10" x14ac:dyDescent="0.25">
      <c r="E10" s="100" t="s">
        <v>129</v>
      </c>
    </row>
    <row r="12" spans="1:10" x14ac:dyDescent="0.25">
      <c r="A12" s="355" t="s">
        <v>4</v>
      </c>
      <c r="B12" s="355" t="s">
        <v>139</v>
      </c>
      <c r="C12" s="355" t="s">
        <v>76</v>
      </c>
      <c r="E12" s="355" t="s">
        <v>4</v>
      </c>
      <c r="F12" s="355" t="s">
        <v>118</v>
      </c>
      <c r="G12" s="355" t="s">
        <v>70</v>
      </c>
      <c r="H12" s="355" t="s">
        <v>71</v>
      </c>
      <c r="I12" s="355" t="s">
        <v>72</v>
      </c>
      <c r="J12" s="355" t="s">
        <v>66</v>
      </c>
    </row>
    <row r="13" spans="1:10" x14ac:dyDescent="0.25">
      <c r="A13" s="103" t="s">
        <v>92</v>
      </c>
      <c r="B13" s="299">
        <v>0.1</v>
      </c>
      <c r="C13" s="299">
        <v>0</v>
      </c>
      <c r="E13" s="103" t="s">
        <v>92</v>
      </c>
      <c r="F13" s="299">
        <v>2</v>
      </c>
      <c r="G13" s="298">
        <f>missionsDragonRelativeMetrics[[#This Row],[Reward Multiplier]]*$C$5</f>
        <v>400</v>
      </c>
      <c r="H13" s="298">
        <f>missionsDragonRelativeMetrics[[#This Row],[Reward Multiplier]]*$C$6</f>
        <v>600</v>
      </c>
      <c r="I13" s="298">
        <f>missionsDragonRelativeMetrics[[#This Row],[Reward Multiplier]]*$C$7</f>
        <v>1200</v>
      </c>
      <c r="J13" s="101">
        <v>3</v>
      </c>
    </row>
    <row r="14" spans="1:10" x14ac:dyDescent="0.25">
      <c r="A14" s="103" t="s">
        <v>93</v>
      </c>
      <c r="B14" s="299">
        <v>0.7</v>
      </c>
      <c r="C14" s="299">
        <v>1</v>
      </c>
      <c r="E14" s="103" t="s">
        <v>93</v>
      </c>
      <c r="F14" s="299">
        <v>6</v>
      </c>
      <c r="G14" s="298">
        <f>missionsDragonRelativeMetrics[[#This Row],[Reward Multiplier]]*$C$5</f>
        <v>1200</v>
      </c>
      <c r="H14" s="298">
        <f>missionsDragonRelativeMetrics[[#This Row],[Reward Multiplier]]*$C$6</f>
        <v>1800</v>
      </c>
      <c r="I14" s="298">
        <f>missionsDragonRelativeMetrics[[#This Row],[Reward Multiplier]]*$C$7</f>
        <v>3600</v>
      </c>
      <c r="J14" s="101">
        <v>3</v>
      </c>
    </row>
    <row r="15" spans="1:10" x14ac:dyDescent="0.25">
      <c r="A15" s="103" t="s">
        <v>94</v>
      </c>
      <c r="B15" s="299">
        <v>1</v>
      </c>
      <c r="C15" s="299">
        <v>1</v>
      </c>
      <c r="E15" s="103" t="s">
        <v>94</v>
      </c>
      <c r="F15" s="299">
        <v>12</v>
      </c>
      <c r="G15" s="298">
        <f>missionsDragonRelativeMetrics[[#This Row],[Reward Multiplier]]*$C$5</f>
        <v>2400</v>
      </c>
      <c r="H15" s="298">
        <f>missionsDragonRelativeMetrics[[#This Row],[Reward Multiplier]]*$C$6</f>
        <v>3600</v>
      </c>
      <c r="I15" s="298">
        <f>missionsDragonRelativeMetrics[[#This Row],[Reward Multiplier]]*$C$7</f>
        <v>7200</v>
      </c>
      <c r="J15" s="101">
        <v>3</v>
      </c>
    </row>
    <row r="16" spans="1:10" x14ac:dyDescent="0.25">
      <c r="A16" s="103" t="s">
        <v>95</v>
      </c>
      <c r="B16" s="299">
        <v>1.5</v>
      </c>
      <c r="C16" s="299">
        <v>2</v>
      </c>
      <c r="E16" s="103" t="s">
        <v>95</v>
      </c>
      <c r="F16" s="299">
        <v>18</v>
      </c>
      <c r="G16" s="298">
        <f>missionsDragonRelativeMetrics[[#This Row],[Reward Multiplier]]*$C$5</f>
        <v>3600</v>
      </c>
      <c r="H16" s="298">
        <f>missionsDragonRelativeMetrics[[#This Row],[Reward Multiplier]]*$C$6</f>
        <v>5400</v>
      </c>
      <c r="I16" s="298">
        <f>missionsDragonRelativeMetrics[[#This Row],[Reward Multiplier]]*$C$7</f>
        <v>10800</v>
      </c>
      <c r="J16" s="101">
        <v>3</v>
      </c>
    </row>
    <row r="17" spans="1:10" x14ac:dyDescent="0.25">
      <c r="A17" s="103" t="s">
        <v>96</v>
      </c>
      <c r="B17" s="299">
        <v>2</v>
      </c>
      <c r="C17" s="299">
        <v>2</v>
      </c>
      <c r="E17" s="103" t="s">
        <v>96</v>
      </c>
      <c r="F17" s="299">
        <v>26</v>
      </c>
      <c r="G17" s="298">
        <f>missionsDragonRelativeMetrics[[#This Row],[Reward Multiplier]]*$C$5</f>
        <v>5200</v>
      </c>
      <c r="H17" s="298">
        <f>missionsDragonRelativeMetrics[[#This Row],[Reward Multiplier]]*$C$6</f>
        <v>7800</v>
      </c>
      <c r="I17" s="298">
        <f>missionsDragonRelativeMetrics[[#This Row],[Reward Multiplier]]*$C$7</f>
        <v>15600</v>
      </c>
      <c r="J17" s="101">
        <v>3</v>
      </c>
    </row>
    <row r="18" spans="1:10" x14ac:dyDescent="0.25">
      <c r="A18" s="103" t="s">
        <v>97</v>
      </c>
      <c r="B18" s="299">
        <v>2.5</v>
      </c>
      <c r="C18" s="299">
        <v>2</v>
      </c>
      <c r="E18" s="103" t="s">
        <v>97</v>
      </c>
      <c r="F18" s="299">
        <v>35</v>
      </c>
      <c r="G18" s="298">
        <f>missionsDragonRelativeMetrics[[#This Row],[Reward Multiplier]]*$C$5</f>
        <v>7000</v>
      </c>
      <c r="H18" s="298">
        <f>missionsDragonRelativeMetrics[[#This Row],[Reward Multiplier]]*$C$6</f>
        <v>10500</v>
      </c>
      <c r="I18" s="298">
        <f>missionsDragonRelativeMetrics[[#This Row],[Reward Multiplier]]*$C$7</f>
        <v>21000</v>
      </c>
      <c r="J18" s="101">
        <v>3</v>
      </c>
    </row>
    <row r="19" spans="1:10" x14ac:dyDescent="0.25">
      <c r="A19" s="103" t="s">
        <v>98</v>
      </c>
      <c r="B19" s="299">
        <v>3</v>
      </c>
      <c r="C19" s="299">
        <v>3</v>
      </c>
      <c r="E19" s="103" t="s">
        <v>98</v>
      </c>
      <c r="F19" s="299">
        <v>45</v>
      </c>
      <c r="G19" s="298">
        <f>missionsDragonRelativeMetrics[[#This Row],[Reward Multiplier]]*$C$5</f>
        <v>9000</v>
      </c>
      <c r="H19" s="298">
        <f>missionsDragonRelativeMetrics[[#This Row],[Reward Multiplier]]*$C$6</f>
        <v>13500</v>
      </c>
      <c r="I19" s="298">
        <f>missionsDragonRelativeMetrics[[#This Row],[Reward Multiplier]]*$C$7</f>
        <v>27000</v>
      </c>
      <c r="J19" s="101">
        <v>3</v>
      </c>
    </row>
    <row r="20" spans="1:10" x14ac:dyDescent="0.25">
      <c r="A20" s="266" t="s">
        <v>99</v>
      </c>
      <c r="B20" s="299">
        <v>4</v>
      </c>
      <c r="C20" s="299">
        <v>3</v>
      </c>
      <c r="E20" s="103" t="s">
        <v>99</v>
      </c>
      <c r="F20" s="299">
        <v>56</v>
      </c>
      <c r="G20" s="298">
        <f>missionsDragonRelativeMetrics[[#This Row],[Reward Multiplier]]*$C$5</f>
        <v>11200</v>
      </c>
      <c r="H20" s="298">
        <f>missionsDragonRelativeMetrics[[#This Row],[Reward Multiplier]]*$C$6</f>
        <v>16800</v>
      </c>
      <c r="I20" s="298">
        <f>missionsDragonRelativeMetrics[[#This Row],[Reward Multiplier]]*$C$7</f>
        <v>33600</v>
      </c>
      <c r="J20" s="101">
        <v>3</v>
      </c>
    </row>
    <row r="21" spans="1:10" x14ac:dyDescent="0.25">
      <c r="A21" s="266" t="s">
        <v>144</v>
      </c>
      <c r="B21" s="299">
        <v>4.5</v>
      </c>
      <c r="C21" s="299">
        <v>3</v>
      </c>
      <c r="E21" s="103" t="s">
        <v>144</v>
      </c>
      <c r="F21" s="299">
        <v>62</v>
      </c>
      <c r="G21" s="298">
        <f>missionsDragonRelativeMetrics[[#This Row],[Reward Multiplier]]*$C$5</f>
        <v>12400</v>
      </c>
      <c r="H21" s="298">
        <f>missionsDragonRelativeMetrics[[#This Row],[Reward Multiplier]]*$C$6</f>
        <v>18600</v>
      </c>
      <c r="I21" s="298">
        <f>missionsDragonRelativeMetrics[[#This Row],[Reward Multiplier]]*$C$7</f>
        <v>37200</v>
      </c>
      <c r="J21" s="101">
        <v>3</v>
      </c>
    </row>
    <row r="22" spans="1:10" x14ac:dyDescent="0.25">
      <c r="A22" s="266" t="s">
        <v>100</v>
      </c>
      <c r="B22" s="299">
        <v>5</v>
      </c>
      <c r="C22" s="299">
        <v>4</v>
      </c>
      <c r="E22" s="103" t="s">
        <v>100</v>
      </c>
      <c r="F22" s="299">
        <v>65</v>
      </c>
      <c r="G22" s="298">
        <f>missionsDragonRelativeMetrics[[#This Row],[Reward Multiplier]]*$C$5</f>
        <v>13000</v>
      </c>
      <c r="H22" s="298">
        <f>missionsDragonRelativeMetrics[[#This Row],[Reward Multiplier]]*$C$6</f>
        <v>19500</v>
      </c>
      <c r="I22" s="298">
        <f>missionsDragonRelativeMetrics[[#This Row],[Reward Multiplier]]*$C$7</f>
        <v>39000</v>
      </c>
      <c r="J22" s="101">
        <v>3</v>
      </c>
    </row>
    <row r="23" spans="1:10" x14ac:dyDescent="0.25">
      <c r="A23" s="266" t="s">
        <v>101</v>
      </c>
      <c r="B23" s="299">
        <v>7</v>
      </c>
      <c r="C23" s="299">
        <v>4</v>
      </c>
      <c r="E23" s="103" t="s">
        <v>101</v>
      </c>
      <c r="F23" s="299">
        <v>70</v>
      </c>
      <c r="G23" s="298">
        <f>missionsDragonRelativeMetrics[[#This Row],[Reward Multiplier]]*$C$5</f>
        <v>14000</v>
      </c>
      <c r="H23" s="298">
        <f>missionsDragonRelativeMetrics[[#This Row],[Reward Multiplier]]*$C$6</f>
        <v>21000</v>
      </c>
      <c r="I23" s="298">
        <f>missionsDragonRelativeMetrics[[#This Row],[Reward Multiplier]]*$C$7</f>
        <v>42000</v>
      </c>
      <c r="J23" s="101">
        <v>3</v>
      </c>
    </row>
    <row r="24" spans="1:10" x14ac:dyDescent="0.25">
      <c r="A24" s="266" t="s">
        <v>145</v>
      </c>
      <c r="B24" s="299">
        <v>7.5</v>
      </c>
      <c r="C24" s="299">
        <v>4</v>
      </c>
      <c r="E24" s="103" t="s">
        <v>145</v>
      </c>
      <c r="F24" s="299">
        <v>70</v>
      </c>
      <c r="G24" s="298">
        <f>missionsDragonRelativeMetrics[[#This Row],[Reward Multiplier]]*$C$5</f>
        <v>14000</v>
      </c>
      <c r="H24" s="298">
        <f>missionsDragonRelativeMetrics[[#This Row],[Reward Multiplier]]*$C$6</f>
        <v>21000</v>
      </c>
      <c r="I24" s="298">
        <f>missionsDragonRelativeMetrics[[#This Row],[Reward Multiplier]]*$C$7</f>
        <v>42000</v>
      </c>
      <c r="J24" s="101">
        <v>3</v>
      </c>
    </row>
    <row r="25" spans="1:10" x14ac:dyDescent="0.25">
      <c r="A25" s="265" t="s">
        <v>218</v>
      </c>
      <c r="B25" s="299">
        <v>8</v>
      </c>
      <c r="C25" s="299">
        <v>5</v>
      </c>
      <c r="E25" s="120" t="s">
        <v>218</v>
      </c>
      <c r="F25" s="299">
        <v>70</v>
      </c>
      <c r="G25" s="298">
        <f>missionsDragonRelativeMetrics[[#This Row],[Reward Multiplier]]*$C$5</f>
        <v>14000</v>
      </c>
      <c r="H25" s="298">
        <f>missionsDragonRelativeMetrics[[#This Row],[Reward Multiplier]]*$C$6</f>
        <v>21000</v>
      </c>
      <c r="I25" s="298">
        <f>missionsDragonRelativeMetrics[[#This Row],[Reward Multiplier]]*$C$7</f>
        <v>42000</v>
      </c>
      <c r="J25" s="101">
        <v>3</v>
      </c>
    </row>
    <row r="26" spans="1:10" x14ac:dyDescent="0.25">
      <c r="A26" s="265" t="s">
        <v>407</v>
      </c>
      <c r="B26" s="299">
        <v>8.5</v>
      </c>
      <c r="C26" s="299">
        <v>6</v>
      </c>
      <c r="E26" s="265" t="s">
        <v>407</v>
      </c>
      <c r="F26" s="299">
        <v>75</v>
      </c>
      <c r="G26" s="298">
        <f>missionsDragonRelativeMetrics[[#This Row],[Reward Multiplier]]*$C$5</f>
        <v>15000</v>
      </c>
      <c r="H26" s="298">
        <f>missionsDragonRelativeMetrics[[#This Row],[Reward Multiplier]]*$C$6</f>
        <v>22500</v>
      </c>
      <c r="I26" s="298">
        <f>missionsDragonRelativeMetrics[[#This Row],[Reward Multiplier]]*$C$7</f>
        <v>45000</v>
      </c>
      <c r="J26" s="101">
        <v>3</v>
      </c>
    </row>
    <row r="27" spans="1:10" x14ac:dyDescent="0.25">
      <c r="A27" s="265" t="s">
        <v>408</v>
      </c>
      <c r="B27" s="299">
        <v>8.5</v>
      </c>
      <c r="C27" s="299">
        <v>6</v>
      </c>
      <c r="E27" s="265" t="s">
        <v>408</v>
      </c>
      <c r="F27" s="299">
        <v>75</v>
      </c>
      <c r="G27" s="298">
        <f>missionsDragonRelativeMetrics[[#This Row],[Reward Multiplier]]*$C$5</f>
        <v>15000</v>
      </c>
      <c r="H27" s="298">
        <f>missionsDragonRelativeMetrics[[#This Row],[Reward Multiplier]]*$C$6</f>
        <v>22500</v>
      </c>
      <c r="I27" s="298">
        <f>missionsDragonRelativeMetrics[[#This Row],[Reward Multiplier]]*$C$7</f>
        <v>45000</v>
      </c>
      <c r="J27" s="101">
        <v>3</v>
      </c>
    </row>
    <row r="28" spans="1:10" x14ac:dyDescent="0.25">
      <c r="A28" s="265" t="s">
        <v>409</v>
      </c>
      <c r="B28" s="299">
        <v>8.5</v>
      </c>
      <c r="C28" s="299">
        <v>6</v>
      </c>
      <c r="E28" s="265" t="s">
        <v>409</v>
      </c>
      <c r="F28" s="299">
        <v>75</v>
      </c>
      <c r="G28" s="298">
        <f>missionsDragonRelativeMetrics[[#This Row],[Reward Multiplier]]*$C$5</f>
        <v>15000</v>
      </c>
      <c r="H28" s="298">
        <f>missionsDragonRelativeMetrics[[#This Row],[Reward Multiplier]]*$C$6</f>
        <v>22500</v>
      </c>
      <c r="I28" s="298">
        <f>missionsDragonRelativeMetrics[[#This Row],[Reward Multiplier]]*$C$7</f>
        <v>45000</v>
      </c>
      <c r="J28" s="101">
        <v>3</v>
      </c>
    </row>
    <row r="29" spans="1:10" x14ac:dyDescent="0.25">
      <c r="A29" s="265" t="s">
        <v>410</v>
      </c>
      <c r="B29" s="299">
        <v>8.5</v>
      </c>
      <c r="C29" s="299">
        <v>6</v>
      </c>
      <c r="E29" s="265" t="s">
        <v>410</v>
      </c>
      <c r="F29" s="299">
        <v>75</v>
      </c>
      <c r="G29" s="298">
        <f>missionsDragonRelativeMetrics[[#This Row],[Reward Multiplier]]*$C$5</f>
        <v>15000</v>
      </c>
      <c r="H29" s="298">
        <f>missionsDragonRelativeMetrics[[#This Row],[Reward Multiplier]]*$C$6</f>
        <v>22500</v>
      </c>
      <c r="I29" s="298">
        <f>missionsDragonRelativeMetrics[[#This Row],[Reward Multiplier]]*$C$7</f>
        <v>45000</v>
      </c>
      <c r="J29" s="101">
        <v>3</v>
      </c>
    </row>
    <row r="30" spans="1:10" x14ac:dyDescent="0.25">
      <c r="A30" s="265" t="s">
        <v>411</v>
      </c>
      <c r="B30" s="299">
        <v>8.5</v>
      </c>
      <c r="C30" s="299">
        <v>6</v>
      </c>
      <c r="E30" s="266" t="s">
        <v>411</v>
      </c>
      <c r="F30" s="299">
        <v>75</v>
      </c>
      <c r="G30" s="298">
        <f>missionsDragonRelativeMetrics[[#This Row],[Reward Multiplier]]*$C$5</f>
        <v>15000</v>
      </c>
      <c r="H30" s="298">
        <f>missionsDragonRelativeMetrics[[#This Row],[Reward Multiplier]]*$C$6</f>
        <v>22500</v>
      </c>
      <c r="I30" s="298">
        <f>missionsDragonRelativeMetrics[[#This Row],[Reward Multiplier]]*$C$7</f>
        <v>45000</v>
      </c>
      <c r="J30" s="101">
        <v>3</v>
      </c>
    </row>
    <row r="31" spans="1:10" x14ac:dyDescent="0.25">
      <c r="C31" s="1"/>
    </row>
    <row r="32" spans="1:10" x14ac:dyDescent="0.25">
      <c r="C32" s="1"/>
      <c r="D32" s="1"/>
      <c r="E32" s="100" t="s">
        <v>128</v>
      </c>
    </row>
    <row r="33" spans="1:14" x14ac:dyDescent="0.25">
      <c r="D33" s="1"/>
    </row>
    <row r="34" spans="1:14" x14ac:dyDescent="0.25">
      <c r="A34" s="306" t="s">
        <v>140</v>
      </c>
      <c r="B34" s="355" t="s">
        <v>139</v>
      </c>
      <c r="E34" s="355" t="s">
        <v>102</v>
      </c>
      <c r="F34" s="355" t="s">
        <v>91</v>
      </c>
      <c r="G34" s="355" t="s">
        <v>91</v>
      </c>
      <c r="H34" s="355" t="s">
        <v>91</v>
      </c>
      <c r="I34" s="355" t="s">
        <v>103</v>
      </c>
    </row>
    <row r="35" spans="1:14" x14ac:dyDescent="0.25">
      <c r="A35" s="359" t="b">
        <v>1</v>
      </c>
      <c r="B35" s="358">
        <v>0.7</v>
      </c>
      <c r="E35" s="245" t="s">
        <v>95</v>
      </c>
      <c r="F35" s="357" t="s">
        <v>115</v>
      </c>
      <c r="G35" s="357" t="s">
        <v>116</v>
      </c>
      <c r="H35" s="357" t="s">
        <v>117</v>
      </c>
      <c r="I35" s="245" t="b">
        <v>0</v>
      </c>
    </row>
    <row r="36" spans="1:14" x14ac:dyDescent="0.25">
      <c r="D36" s="355" t="s">
        <v>504</v>
      </c>
      <c r="E36" s="355" t="s">
        <v>104</v>
      </c>
      <c r="F36" s="355" t="s">
        <v>105</v>
      </c>
      <c r="G36" s="355" t="s">
        <v>105</v>
      </c>
      <c r="H36" s="355" t="s">
        <v>105</v>
      </c>
      <c r="I36" s="355" t="s">
        <v>106</v>
      </c>
    </row>
    <row r="37" spans="1:14" x14ac:dyDescent="0.25">
      <c r="D37" s="356">
        <f>INDEX(Table1[Dragon Tier],MATCH(E35,Table1[Dragon],0))</f>
        <v>2</v>
      </c>
      <c r="E37" s="356">
        <f>INDEX(Table1[QuantityModifier],MATCH(E35,Table1[Dragon],0))</f>
        <v>1.5</v>
      </c>
      <c r="F37" s="358">
        <v>0.05</v>
      </c>
      <c r="G37" s="358">
        <v>0.1</v>
      </c>
      <c r="H37" s="358">
        <v>0.2</v>
      </c>
      <c r="I37" s="356">
        <f>IF(I35,B35,0)</f>
        <v>0</v>
      </c>
    </row>
    <row r="40" spans="1:14" x14ac:dyDescent="0.25">
      <c r="E40" s="355" t="s">
        <v>107</v>
      </c>
      <c r="F40" s="356">
        <f>$E$37+F37</f>
        <v>1.55</v>
      </c>
      <c r="G40" s="356">
        <f>$E$37+G37</f>
        <v>1.6</v>
      </c>
      <c r="H40" s="356">
        <f>$E$37+H37</f>
        <v>1.7</v>
      </c>
      <c r="I40" t="s">
        <v>412</v>
      </c>
    </row>
    <row r="43" spans="1:14" x14ac:dyDescent="0.25">
      <c r="G43" s="361" t="s">
        <v>136</v>
      </c>
      <c r="H43" s="361"/>
      <c r="I43" s="362" t="s">
        <v>137</v>
      </c>
      <c r="J43" s="363"/>
      <c r="K43" s="364" t="s">
        <v>138</v>
      </c>
      <c r="L43" s="365"/>
    </row>
    <row r="44" spans="1:14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54" t="s">
        <v>502</v>
      </c>
      <c r="N44" s="354" t="s">
        <v>503</v>
      </c>
    </row>
    <row r="45" spans="1:14" x14ac:dyDescent="0.25">
      <c r="B45" t="s">
        <v>0</v>
      </c>
      <c r="C45" s="199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930 to 1008</v>
      </c>
      <c r="H45" t="str">
        <f>CONCATENATE(INDEX(missionsDragonRelativeMetrics[Easy Mission Reward],MATCH($E$35,missionsDragonRelativeMetrics[Dragon],0)), " coins")</f>
        <v>3600 coins</v>
      </c>
      <c r="I45" t="str">
        <f t="shared" ref="I45:I73" si="1">CONCATENATE(ROUND((E45*$G$40)*(1-$I$37),0), " to ",ROUND((F45*$G$40)*(1-$I$37),0))</f>
        <v>960 to 1040</v>
      </c>
      <c r="J45" t="str">
        <f>CONCATENATE(INDEX(missionsDragonRelativeMetrics[Medium Mission Reward],MATCH($E$35,missionsDragonRelativeMetrics[Dragon],0)), " coins")</f>
        <v>5400 coins</v>
      </c>
      <c r="K45" t="str">
        <f t="shared" ref="K45:K73" si="2">CONCATENATE(ROUND((E45*$H$40)*(1-$I$37),0), " to ",ROUND((F45*$H$40)*(1-$I$37),0))</f>
        <v>1020 to 1105</v>
      </c>
      <c r="L45" t="str">
        <f>CONCATENATE(INDEX(missionsDragonRelativeMetrics[Hard Mission Reward],MATCH($E$35,missionsDragonRelativeMetrics[Dragon],0)), " coins")</f>
        <v>10800 coins</v>
      </c>
      <c r="M45">
        <v>0</v>
      </c>
      <c r="N45">
        <v>7</v>
      </c>
    </row>
    <row r="46" spans="1:14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39 to 47</v>
      </c>
      <c r="H46" t="str">
        <f>CONCATENATE(INDEX(missionsDragonRelativeMetrics[Easy Mission Reward],MATCH($E$35,missionsDragonRelativeMetrics[Dragon],0)), " coins")</f>
        <v>3600 coins</v>
      </c>
      <c r="I46" t="str">
        <f t="shared" si="1"/>
        <v>40 to 48</v>
      </c>
      <c r="J46" t="str">
        <f>CONCATENATE(INDEX(missionsDragonRelativeMetrics[Medium Mission Reward],MATCH($E$35,missionsDragonRelativeMetrics[Dragon],0)), " coins")</f>
        <v>5400 coins</v>
      </c>
      <c r="K46" t="str">
        <f t="shared" si="2"/>
        <v>43 to 51</v>
      </c>
      <c r="L46" t="str">
        <f>CONCATENATE(INDEX(missionsDragonRelativeMetrics[Hard Mission Reward],MATCH($E$35,missionsDragonRelativeMetrics[Dragon],0)), " coins")</f>
        <v>10800 coins</v>
      </c>
      <c r="M46">
        <v>0</v>
      </c>
      <c r="N46">
        <v>7</v>
      </c>
    </row>
    <row r="47" spans="1:14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1550 to 1860</v>
      </c>
      <c r="H47" t="str">
        <f>CONCATENATE(INDEX(missionsDragonRelativeMetrics[Easy Mission Reward],MATCH($E$35,missionsDragonRelativeMetrics[Dragon],0)), " coins")</f>
        <v>3600 coins</v>
      </c>
      <c r="I47" t="str">
        <f t="shared" si="1"/>
        <v>1600 to 1920</v>
      </c>
      <c r="J47" t="str">
        <f>CONCATENATE(INDEX(missionsDragonRelativeMetrics[Medium Mission Reward],MATCH($E$35,missionsDragonRelativeMetrics[Dragon],0)), " coins")</f>
        <v>5400 coins</v>
      </c>
      <c r="K47" t="str">
        <f t="shared" si="2"/>
        <v>1700 to 2040</v>
      </c>
      <c r="L47" t="str">
        <f>CONCATENATE(INDEX(missionsDragonRelativeMetrics[Hard Mission Reward],MATCH($E$35,missionsDragonRelativeMetrics[Dragon],0)), " coins")</f>
        <v>10800 coins</v>
      </c>
      <c r="M47">
        <v>0</v>
      </c>
      <c r="N47">
        <v>7</v>
      </c>
    </row>
    <row r="48" spans="1:14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16 to 17</v>
      </c>
      <c r="H48" t="str">
        <f>CONCATENATE(INDEX(missionsDragonRelativeMetrics[Easy Mission Reward],MATCH($E$35,missionsDragonRelativeMetrics[Dragon],0)), " coins")</f>
        <v>3600 coins</v>
      </c>
      <c r="I48" t="str">
        <f t="shared" si="1"/>
        <v>16 to 18</v>
      </c>
      <c r="J48" t="str">
        <f>CONCATENATE(INDEX(missionsDragonRelativeMetrics[Medium Mission Reward],MATCH($E$35,missionsDragonRelativeMetrics[Dragon],0)), " coins")</f>
        <v>5400 coins</v>
      </c>
      <c r="K48" t="str">
        <f t="shared" si="2"/>
        <v>17 to 19</v>
      </c>
      <c r="L48" t="str">
        <f>CONCATENATE(INDEX(missionsDragonRelativeMetrics[Hard Mission Reward],MATCH($E$35,missionsDragonRelativeMetrics[Dragon],0)), " coins")</f>
        <v>10800 coins</v>
      </c>
      <c r="M48">
        <v>1</v>
      </c>
      <c r="N48">
        <v>7</v>
      </c>
    </row>
    <row r="49" spans="2:14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8 to 9</v>
      </c>
      <c r="H49" t="str">
        <f>CONCATENATE(INDEX(missionsDragonRelativeMetrics[Easy Mission Reward],MATCH($E$35,missionsDragonRelativeMetrics[Dragon],0)), " coins")</f>
        <v>3600 coins</v>
      </c>
      <c r="I49" s="111" t="str">
        <f t="shared" si="1"/>
        <v>8 to 10</v>
      </c>
      <c r="J49" t="str">
        <f>CONCATENATE(INDEX(missionsDragonRelativeMetrics[Medium Mission Reward],MATCH($E$35,missionsDragonRelativeMetrics[Dragon],0)), " coins")</f>
        <v>5400 coins</v>
      </c>
      <c r="K49" s="111" t="str">
        <f t="shared" si="2"/>
        <v>9 to 10</v>
      </c>
      <c r="L49" t="str">
        <f>CONCATENATE(INDEX(missionsDragonRelativeMetrics[Hard Mission Reward],MATCH($E$35,missionsDragonRelativeMetrics[Dragon],0)), " coins")</f>
        <v>10800 coins</v>
      </c>
      <c r="M49">
        <v>0</v>
      </c>
      <c r="N49">
        <v>7</v>
      </c>
    </row>
    <row r="50" spans="2:14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543 to 620</v>
      </c>
      <c r="H50" t="str">
        <f>CONCATENATE(INDEX(missionsDragonRelativeMetrics[Easy Mission Reward],MATCH($E$35,missionsDragonRelativeMetrics[Dragon],0)), " coins")</f>
        <v>3600 coins</v>
      </c>
      <c r="I50" s="111" t="str">
        <f t="shared" si="1"/>
        <v>560 to 640</v>
      </c>
      <c r="J50" t="str">
        <f>CONCATENATE(INDEX(missionsDragonRelativeMetrics[Medium Mission Reward],MATCH($E$35,missionsDragonRelativeMetrics[Dragon],0)), " coins")</f>
        <v>5400 coins</v>
      </c>
      <c r="K50" s="111" t="str">
        <f t="shared" si="2"/>
        <v>595 to 680</v>
      </c>
      <c r="L50" t="str">
        <f>CONCATENATE(INDEX(missionsDragonRelativeMetrics[Hard Mission Reward],MATCH($E$35,missionsDragonRelativeMetrics[Dragon],0)), " coins")</f>
        <v>10800 coins</v>
      </c>
      <c r="M50">
        <v>1</v>
      </c>
      <c r="N50">
        <v>7</v>
      </c>
    </row>
    <row r="51" spans="2:14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465 to 620</v>
      </c>
      <c r="H51" t="str">
        <f>CONCATENATE(INDEX(missionsDragonRelativeMetrics[Easy Mission Reward],MATCH($E$35,missionsDragonRelativeMetrics[Dragon],0)), " coins")</f>
        <v>3600 coins</v>
      </c>
      <c r="I51" s="111" t="str">
        <f t="shared" si="1"/>
        <v>480 to 640</v>
      </c>
      <c r="J51" t="str">
        <f>CONCATENATE(INDEX(missionsDragonRelativeMetrics[Medium Mission Reward],MATCH($E$35,missionsDragonRelativeMetrics[Dragon],0)), " coins")</f>
        <v>5400 coins</v>
      </c>
      <c r="K51" s="111" t="str">
        <f t="shared" si="2"/>
        <v>510 to 680</v>
      </c>
      <c r="L51" t="str">
        <f>CONCATENATE(INDEX(missionsDragonRelativeMetrics[Hard Mission Reward],MATCH($E$35,missionsDragonRelativeMetrics[Dragon],0)), " coins")</f>
        <v>10800 coins</v>
      </c>
      <c r="M51">
        <v>0</v>
      </c>
      <c r="N51">
        <v>7</v>
      </c>
    </row>
    <row r="52" spans="2:14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620000 to 775000</v>
      </c>
      <c r="H52" t="str">
        <f>CONCATENATE(INDEX(missionsDragonRelativeMetrics[Easy Mission Reward],MATCH($E$35,missionsDragonRelativeMetrics[Dragon],0)), " coins")</f>
        <v>3600 coins</v>
      </c>
      <c r="I52" s="111" t="str">
        <f t="shared" si="1"/>
        <v>640000 to 800000</v>
      </c>
      <c r="J52" t="str">
        <f>CONCATENATE(INDEX(missionsDragonRelativeMetrics[Medium Mission Reward],MATCH($E$35,missionsDragonRelativeMetrics[Dragon],0)), " coins")</f>
        <v>5400 coins</v>
      </c>
      <c r="K52" s="111" t="str">
        <f t="shared" si="2"/>
        <v>680000 to 850000</v>
      </c>
      <c r="L52" t="str">
        <f>CONCATENATE(INDEX(missionsDragonRelativeMetrics[Hard Mission Reward],MATCH($E$35,missionsDragonRelativeMetrics[Dragon],0)), " coins")</f>
        <v>10800 coins</v>
      </c>
      <c r="M52">
        <v>0</v>
      </c>
      <c r="N52">
        <v>7</v>
      </c>
    </row>
    <row r="53" spans="2:14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70 to 85</v>
      </c>
      <c r="H53" t="str">
        <f>CONCATENATE(INDEX(missionsDragonRelativeMetrics[Easy Mission Reward],MATCH($E$35,missionsDragonRelativeMetrics[Dragon],0)), " coins")</f>
        <v>3600 coins</v>
      </c>
      <c r="I53" s="111" t="str">
        <f t="shared" si="1"/>
        <v>72 to 88</v>
      </c>
      <c r="J53" t="str">
        <f>CONCATENATE(INDEX(missionsDragonRelativeMetrics[Medium Mission Reward],MATCH($E$35,missionsDragonRelativeMetrics[Dragon],0)), " coins")</f>
        <v>5400 coins</v>
      </c>
      <c r="K53" s="111" t="str">
        <f t="shared" si="2"/>
        <v>77 to 94</v>
      </c>
      <c r="L53" t="str">
        <f>CONCATENATE(INDEX(missionsDragonRelativeMetrics[Hard Mission Reward],MATCH($E$35,missionsDragonRelativeMetrics[Dragon],0)), " coins")</f>
        <v>10800 coins</v>
      </c>
      <c r="M53">
        <v>0</v>
      </c>
      <c r="N53">
        <v>7</v>
      </c>
    </row>
    <row r="54" spans="2:14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62 to 70</v>
      </c>
      <c r="H54" t="str">
        <f>CONCATENATE(INDEX(missionsDragonRelativeMetrics[Easy Mission Reward],MATCH($E$35,missionsDragonRelativeMetrics[Dragon],0)), " coins")</f>
        <v>3600 coins</v>
      </c>
      <c r="I54" s="111" t="str">
        <f t="shared" si="1"/>
        <v>64 to 72</v>
      </c>
      <c r="J54" t="str">
        <f>CONCATENATE(INDEX(missionsDragonRelativeMetrics[Medium Mission Reward],MATCH($E$35,missionsDragonRelativeMetrics[Dragon],0)), " coins")</f>
        <v>5400 coins</v>
      </c>
      <c r="K54" s="111" t="str">
        <f t="shared" si="2"/>
        <v>68 to 77</v>
      </c>
      <c r="L54" t="str">
        <f>CONCATENATE(INDEX(missionsDragonRelativeMetrics[Hard Mission Reward],MATCH($E$35,missionsDragonRelativeMetrics[Dragon],0)), " coins")</f>
        <v>10800 coins</v>
      </c>
      <c r="M54">
        <v>0</v>
      </c>
      <c r="N54">
        <v>7</v>
      </c>
    </row>
    <row r="55" spans="2:14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233 to 310</v>
      </c>
      <c r="H55" t="str">
        <f>CONCATENATE(INDEX(missionsDragonRelativeMetrics[Easy Mission Reward],MATCH($E$35,missionsDragonRelativeMetrics[Dragon],0)), " coins")</f>
        <v>3600 coins</v>
      </c>
      <c r="I55" s="111" t="str">
        <f t="shared" si="1"/>
        <v>240 to 320</v>
      </c>
      <c r="J55" t="str">
        <f>CONCATENATE(INDEX(missionsDragonRelativeMetrics[Medium Mission Reward],MATCH($E$35,missionsDragonRelativeMetrics[Dragon],0)), " coins")</f>
        <v>5400 coins</v>
      </c>
      <c r="K55" s="111" t="str">
        <f t="shared" si="2"/>
        <v>255 to 340</v>
      </c>
      <c r="L55" t="str">
        <f>CONCATENATE(INDEX(missionsDragonRelativeMetrics[Hard Mission Reward],MATCH($E$35,missionsDragonRelativeMetrics[Dragon],0)), " coins")</f>
        <v>10800 coins</v>
      </c>
      <c r="M55">
        <v>0</v>
      </c>
      <c r="N55">
        <v>7</v>
      </c>
    </row>
    <row r="56" spans="2:14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8 to 11</v>
      </c>
      <c r="H56" t="str">
        <f>CONCATENATE(INDEX(missionsDragonRelativeMetrics[Easy Mission Reward],MATCH($E$35,missionsDragonRelativeMetrics[Dragon],0)), " coins")</f>
        <v>3600 coins</v>
      </c>
      <c r="I56" s="111" t="str">
        <f t="shared" si="1"/>
        <v>8 to 11</v>
      </c>
      <c r="J56" t="str">
        <f>CONCATENATE(INDEX(missionsDragonRelativeMetrics[Medium Mission Reward],MATCH($E$35,missionsDragonRelativeMetrics[Dragon],0)), " coins")</f>
        <v>5400 coins</v>
      </c>
      <c r="K56" s="111" t="str">
        <f t="shared" si="2"/>
        <v>9 to 12</v>
      </c>
      <c r="L56" t="str">
        <f>CONCATENATE(INDEX(missionsDragonRelativeMetrics[Hard Mission Reward],MATCH($E$35,missionsDragonRelativeMetrics[Dragon],0)), " coins")</f>
        <v>10800 coins</v>
      </c>
      <c r="M56">
        <v>2</v>
      </c>
      <c r="N56">
        <v>7</v>
      </c>
    </row>
    <row r="57" spans="2:14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8 to 11</v>
      </c>
      <c r="H57" t="str">
        <f>CONCATENATE(INDEX(missionsDragonRelativeMetrics[Easy Mission Reward],MATCH($E$35,missionsDragonRelativeMetrics[Dragon],0)), " coins")</f>
        <v>3600 coins</v>
      </c>
      <c r="I57" s="111" t="str">
        <f t="shared" si="1"/>
        <v>8 to 11</v>
      </c>
      <c r="J57" t="str">
        <f>CONCATENATE(INDEX(missionsDragonRelativeMetrics[Medium Mission Reward],MATCH($E$35,missionsDragonRelativeMetrics[Dragon],0)), " coins")</f>
        <v>5400 coins</v>
      </c>
      <c r="K57" s="111" t="str">
        <f t="shared" si="2"/>
        <v>9 to 12</v>
      </c>
      <c r="L57" t="str">
        <f>CONCATENATE(INDEX(missionsDragonRelativeMetrics[Hard Mission Reward],MATCH($E$35,missionsDragonRelativeMetrics[Dragon],0)), " coins")</f>
        <v>10800 coins</v>
      </c>
      <c r="M57">
        <v>2</v>
      </c>
      <c r="N57">
        <v>7</v>
      </c>
    </row>
    <row r="58" spans="2:14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5 to 6</v>
      </c>
      <c r="H58" t="str">
        <f>CONCATENATE(INDEX(missionsDragonRelativeMetrics[Easy Mission Reward],MATCH($E$35,missionsDragonRelativeMetrics[Dragon],0)), " coins")</f>
        <v>3600 coins</v>
      </c>
      <c r="I58" s="111" t="str">
        <f t="shared" si="1"/>
        <v>5 to 6</v>
      </c>
      <c r="J58" t="str">
        <f>CONCATENATE(INDEX(missionsDragonRelativeMetrics[Medium Mission Reward],MATCH($E$35,missionsDragonRelativeMetrics[Dragon],0)), " coins")</f>
        <v>5400 coins</v>
      </c>
      <c r="K58" s="111" t="str">
        <f t="shared" si="2"/>
        <v>5 to 7</v>
      </c>
      <c r="L58" t="str">
        <f>CONCATENATE(INDEX(missionsDragonRelativeMetrics[Hard Mission Reward],MATCH($E$35,missionsDragonRelativeMetrics[Dragon],0)), " coins")</f>
        <v>10800 coins</v>
      </c>
      <c r="M58">
        <v>2</v>
      </c>
      <c r="N58">
        <v>7</v>
      </c>
    </row>
    <row r="59" spans="2:14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5 to 5</v>
      </c>
      <c r="H59" t="str">
        <f>CONCATENATE(INDEX(missionsDragonRelativeMetrics[Easy Mission Reward],MATCH($E$35,missionsDragonRelativeMetrics[Dragon],0)), " coins")</f>
        <v>3600 coins</v>
      </c>
      <c r="I59" s="111" t="str">
        <f t="shared" si="1"/>
        <v>5 to 5</v>
      </c>
      <c r="J59" t="str">
        <f>CONCATENATE(INDEX(missionsDragonRelativeMetrics[Medium Mission Reward],MATCH($E$35,missionsDragonRelativeMetrics[Dragon],0)), " coins")</f>
        <v>5400 coins</v>
      </c>
      <c r="K59" s="111" t="str">
        <f t="shared" si="2"/>
        <v>5 to 5</v>
      </c>
      <c r="L59" t="str">
        <f>CONCATENATE(INDEX(missionsDragonRelativeMetrics[Hard Mission Reward],MATCH($E$35,missionsDragonRelativeMetrics[Dragon],0)), " coins")</f>
        <v>10800 coins</v>
      </c>
      <c r="M59">
        <v>3</v>
      </c>
      <c r="N59">
        <v>7</v>
      </c>
    </row>
    <row r="60" spans="2:14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12 to 14</v>
      </c>
      <c r="H60" t="str">
        <f>CONCATENATE(INDEX(missionsDragonRelativeMetrics[Easy Mission Reward],MATCH($E$35,missionsDragonRelativeMetrics[Dragon],0)), " coins")</f>
        <v>3600 coins</v>
      </c>
      <c r="I60" s="111" t="str">
        <f t="shared" si="1"/>
        <v>13 to 14</v>
      </c>
      <c r="J60" t="str">
        <f>CONCATENATE(INDEX(missionsDragonRelativeMetrics[Medium Mission Reward],MATCH($E$35,missionsDragonRelativeMetrics[Dragon],0)), " coins")</f>
        <v>5400 coins</v>
      </c>
      <c r="K60" s="111" t="str">
        <f t="shared" si="2"/>
        <v>14 to 15</v>
      </c>
      <c r="L60" t="str">
        <f>CONCATENATE(INDEX(missionsDragonRelativeMetrics[Hard Mission Reward],MATCH($E$35,missionsDragonRelativeMetrics[Dragon],0)), " coins")</f>
        <v>10800 coins</v>
      </c>
      <c r="M60">
        <v>1</v>
      </c>
      <c r="N60">
        <v>7</v>
      </c>
    </row>
    <row r="61" spans="2:14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17 to 19</v>
      </c>
      <c r="H61" t="str">
        <f>CONCATENATE(INDEX(missionsDragonRelativeMetrics[Easy Mission Reward],MATCH($E$35,missionsDragonRelativeMetrics[Dragon],0)), " coins")</f>
        <v>3600 coins</v>
      </c>
      <c r="I61" s="111" t="str">
        <f t="shared" si="1"/>
        <v>18 to 19</v>
      </c>
      <c r="J61" t="str">
        <f>CONCATENATE(INDEX(missionsDragonRelativeMetrics[Medium Mission Reward],MATCH($E$35,missionsDragonRelativeMetrics[Dragon],0)), " coins")</f>
        <v>5400 coins</v>
      </c>
      <c r="K61" s="111" t="str">
        <f t="shared" si="2"/>
        <v>19 to 20</v>
      </c>
      <c r="L61" t="str">
        <f>CONCATENATE(INDEX(missionsDragonRelativeMetrics[Hard Mission Reward],MATCH($E$35,missionsDragonRelativeMetrics[Dragon],0)), " coins")</f>
        <v>10800 coins</v>
      </c>
      <c r="M61">
        <v>2</v>
      </c>
      <c r="N61">
        <v>7</v>
      </c>
    </row>
    <row r="62" spans="2:14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9300 to 10850</v>
      </c>
      <c r="H62" t="str">
        <f>CONCATENATE(INDEX(missionsDragonRelativeMetrics[Easy Mission Reward],MATCH($E$35,missionsDragonRelativeMetrics[Dragon],0)), " coins")</f>
        <v>3600 coins</v>
      </c>
      <c r="I62" s="111" t="str">
        <f t="shared" si="1"/>
        <v>9600 to 11200</v>
      </c>
      <c r="J62" t="str">
        <f>CONCATENATE(INDEX(missionsDragonRelativeMetrics[Medium Mission Reward],MATCH($E$35,missionsDragonRelativeMetrics[Dragon],0)), " coins")</f>
        <v>5400 coins</v>
      </c>
      <c r="K62" s="111" t="str">
        <f t="shared" si="2"/>
        <v>10200 to 11900</v>
      </c>
      <c r="L62" t="str">
        <f>CONCATENATE(INDEX(missionsDragonRelativeMetrics[Hard Mission Reward],MATCH($E$35,missionsDragonRelativeMetrics[Dragon],0)), " coins")</f>
        <v>10800 coins</v>
      </c>
      <c r="M62">
        <v>0</v>
      </c>
      <c r="N62">
        <v>7</v>
      </c>
    </row>
    <row r="63" spans="2:14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78 to 85</v>
      </c>
      <c r="H63" t="str">
        <f>CONCATENATE(INDEX(missionsDragonRelativeMetrics[Easy Mission Reward],MATCH($E$35,missionsDragonRelativeMetrics[Dragon],0)), " coins")</f>
        <v>3600 coins</v>
      </c>
      <c r="I63" s="111" t="str">
        <f t="shared" si="1"/>
        <v>80 to 88</v>
      </c>
      <c r="J63" t="str">
        <f>CONCATENATE(INDEX(missionsDragonRelativeMetrics[Medium Mission Reward],MATCH($E$35,missionsDragonRelativeMetrics[Dragon],0)), " coins")</f>
        <v>5400 coins</v>
      </c>
      <c r="K63" s="111" t="str">
        <f t="shared" si="2"/>
        <v>85 to 94</v>
      </c>
      <c r="L63" t="str">
        <f>CONCATENATE(INDEX(missionsDragonRelativeMetrics[Hard Mission Reward],MATCH($E$35,missionsDragonRelativeMetrics[Dragon],0)), " coins")</f>
        <v>10800 coins</v>
      </c>
      <c r="M63">
        <v>0</v>
      </c>
      <c r="N63">
        <v>7</v>
      </c>
    </row>
    <row r="64" spans="2:14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6 to 6</v>
      </c>
      <c r="H64" t="str">
        <f>CONCATENATE(INDEX(missionsDragonRelativeMetrics[Easy Mission Reward],MATCH($E$35,missionsDragonRelativeMetrics[Dragon],0)), " coins")</f>
        <v>3600 coins</v>
      </c>
      <c r="I64" s="111" t="str">
        <f t="shared" si="1"/>
        <v>6 to 6</v>
      </c>
      <c r="J64" t="str">
        <f>CONCATENATE(INDEX(missionsDragonRelativeMetrics[Medium Mission Reward],MATCH($E$35,missionsDragonRelativeMetrics[Dragon],0)), " coins")</f>
        <v>5400 coins</v>
      </c>
      <c r="K64" s="111" t="str">
        <f t="shared" si="2"/>
        <v>7 to 7</v>
      </c>
      <c r="L64" t="str">
        <f>CONCATENATE(INDEX(missionsDragonRelativeMetrics[Hard Mission Reward],MATCH($E$35,missionsDragonRelativeMetrics[Dragon],0)), " coins")</f>
        <v>10800 coins</v>
      </c>
      <c r="M64">
        <v>3</v>
      </c>
      <c r="N64">
        <v>7</v>
      </c>
    </row>
    <row r="65" spans="2:14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8 to 8</v>
      </c>
      <c r="H65" t="str">
        <f>CONCATENATE(INDEX(missionsDragonRelativeMetrics[Easy Mission Reward],MATCH($E$35,missionsDragonRelativeMetrics[Dragon],0)), " coins")</f>
        <v>3600 coins</v>
      </c>
      <c r="I65" s="111" t="str">
        <f t="shared" si="1"/>
        <v>8 to 8</v>
      </c>
      <c r="J65" t="str">
        <f>CONCATENATE(INDEX(missionsDragonRelativeMetrics[Medium Mission Reward],MATCH($E$35,missionsDragonRelativeMetrics[Dragon],0)), " coins")</f>
        <v>5400 coins</v>
      </c>
      <c r="K65" s="111" t="str">
        <f t="shared" si="2"/>
        <v>9 to 9</v>
      </c>
      <c r="L65" t="str">
        <f>CONCATENATE(INDEX(missionsDragonRelativeMetrics[Hard Mission Reward],MATCH($E$35,missionsDragonRelativeMetrics[Dragon],0)), " coins")</f>
        <v>10800 coins</v>
      </c>
      <c r="M65">
        <v>3</v>
      </c>
      <c r="N65">
        <v>7</v>
      </c>
    </row>
    <row r="66" spans="2:14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26 to 28</v>
      </c>
      <c r="H66" t="str">
        <f>CONCATENATE(INDEX(missionsDragonRelativeMetrics[Easy Mission Reward],MATCH($E$35,missionsDragonRelativeMetrics[Dragon],0)), " coins")</f>
        <v>3600 coins</v>
      </c>
      <c r="I66" s="111" t="str">
        <f t="shared" si="1"/>
        <v>27 to 29</v>
      </c>
      <c r="J66" t="str">
        <f>CONCATENATE(INDEX(missionsDragonRelativeMetrics[Medium Mission Reward],MATCH($E$35,missionsDragonRelativeMetrics[Dragon],0)), " coins")</f>
        <v>5400 coins</v>
      </c>
      <c r="K66" s="111" t="str">
        <f t="shared" si="2"/>
        <v>29 to 31</v>
      </c>
      <c r="L66" t="str">
        <f>CONCATENATE(INDEX(missionsDragonRelativeMetrics[Hard Mission Reward],MATCH($E$35,missionsDragonRelativeMetrics[Dragon],0)), " coins")</f>
        <v>10800 coins</v>
      </c>
      <c r="M66">
        <v>0</v>
      </c>
      <c r="N66">
        <v>7</v>
      </c>
    </row>
    <row r="67" spans="2:14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16 to 19</v>
      </c>
      <c r="H67" t="str">
        <f>CONCATENATE(INDEX(missionsDragonRelativeMetrics[Easy Mission Reward],MATCH($E$35,missionsDragonRelativeMetrics[Dragon],0)), " coins")</f>
        <v>3600 coins</v>
      </c>
      <c r="I67" s="111" t="str">
        <f t="shared" si="1"/>
        <v>16 to 19</v>
      </c>
      <c r="J67" t="str">
        <f>CONCATENATE(INDEX(missionsDragonRelativeMetrics[Medium Mission Reward],MATCH($E$35,missionsDragonRelativeMetrics[Dragon],0)), " coins")</f>
        <v>5400 coins</v>
      </c>
      <c r="K67" s="111" t="str">
        <f t="shared" si="2"/>
        <v>17 to 20</v>
      </c>
      <c r="L67" t="str">
        <f>CONCATENATE(INDEX(missionsDragonRelativeMetrics[Hard Mission Reward],MATCH($E$35,missionsDragonRelativeMetrics[Dragon],0)), " coins")</f>
        <v>10800 coins</v>
      </c>
      <c r="M67">
        <v>1</v>
      </c>
      <c r="N67">
        <v>3</v>
      </c>
    </row>
    <row r="68" spans="2:14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5 to 6</v>
      </c>
      <c r="H68" t="str">
        <f>CONCATENATE(INDEX(missionsDragonRelativeMetrics[Easy Mission Reward],MATCH($E$35,missionsDragonRelativeMetrics[Dragon],0)), " coins")</f>
        <v>3600 coins</v>
      </c>
      <c r="I68" s="111" t="str">
        <f t="shared" si="1"/>
        <v>5 to 6</v>
      </c>
      <c r="J68" t="str">
        <f>CONCATENATE(INDEX(missionsDragonRelativeMetrics[Medium Mission Reward],MATCH($E$35,missionsDragonRelativeMetrics[Dragon],0)), " coins")</f>
        <v>5400 coins</v>
      </c>
      <c r="K68" s="111" t="str">
        <f t="shared" si="2"/>
        <v>5 to 7</v>
      </c>
      <c r="L68" t="str">
        <f>CONCATENATE(INDEX(missionsDragonRelativeMetrics[Hard Mission Reward],MATCH($E$35,missionsDragonRelativeMetrics[Dragon],0)), " coins")</f>
        <v>10800 coins</v>
      </c>
      <c r="M68">
        <v>2</v>
      </c>
      <c r="N68">
        <v>3</v>
      </c>
    </row>
    <row r="69" spans="2:14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39 to 42</v>
      </c>
      <c r="H69" t="str">
        <f>CONCATENATE(INDEX(missionsDragonRelativeMetrics[Easy Mission Reward],MATCH($E$35,missionsDragonRelativeMetrics[Dragon],0)), " coins")</f>
        <v>3600 coins</v>
      </c>
      <c r="I69" s="111" t="str">
        <f t="shared" si="1"/>
        <v>40 to 43</v>
      </c>
      <c r="J69" t="str">
        <f>CONCATENATE(INDEX(missionsDragonRelativeMetrics[Medium Mission Reward],MATCH($E$35,missionsDragonRelativeMetrics[Dragon],0)), " coins")</f>
        <v>5400 coins</v>
      </c>
      <c r="K69" s="111" t="str">
        <f t="shared" si="2"/>
        <v>43 to 46</v>
      </c>
      <c r="L69" t="str">
        <f>CONCATENATE(INDEX(missionsDragonRelativeMetrics[Hard Mission Reward],MATCH($E$35,missionsDragonRelativeMetrics[Dragon],0)), " coins")</f>
        <v>10800 coins</v>
      </c>
      <c r="M69">
        <v>1</v>
      </c>
      <c r="N69">
        <v>3</v>
      </c>
    </row>
    <row r="70" spans="2:14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16 to 19</v>
      </c>
      <c r="H70" t="str">
        <f>CONCATENATE(INDEX(missionsDragonRelativeMetrics[Easy Mission Reward],MATCH($E$35,missionsDragonRelativeMetrics[Dragon],0)), " coins")</f>
        <v>3600 coins</v>
      </c>
      <c r="I70" s="111" t="str">
        <f t="shared" si="1"/>
        <v>16 to 19</v>
      </c>
      <c r="J70" t="str">
        <f>CONCATENATE(INDEX(missionsDragonRelativeMetrics[Medium Mission Reward],MATCH($E$35,missionsDragonRelativeMetrics[Dragon],0)), " coins")</f>
        <v>5400 coins</v>
      </c>
      <c r="K70" s="111" t="str">
        <f t="shared" si="2"/>
        <v>17 to 20</v>
      </c>
      <c r="L70" t="str">
        <f>CONCATENATE(INDEX(missionsDragonRelativeMetrics[Hard Mission Reward],MATCH($E$35,missionsDragonRelativeMetrics[Dragon],0)), " coins")</f>
        <v>10800 coins</v>
      </c>
      <c r="M70">
        <v>1</v>
      </c>
      <c r="N70">
        <v>2</v>
      </c>
    </row>
    <row r="71" spans="2:14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5 to 5</v>
      </c>
      <c r="H71" t="str">
        <f>CONCATENATE(INDEX(missionsDragonRelativeMetrics[Easy Mission Reward],MATCH($E$35,missionsDragonRelativeMetrics[Dragon],0)), " coins")</f>
        <v>3600 coins</v>
      </c>
      <c r="I71" s="111" t="str">
        <f t="shared" si="1"/>
        <v>5 to 5</v>
      </c>
      <c r="J71" t="str">
        <f>CONCATENATE(INDEX(missionsDragonRelativeMetrics[Medium Mission Reward],MATCH($E$35,missionsDragonRelativeMetrics[Dragon],0)), " coins")</f>
        <v>5400 coins</v>
      </c>
      <c r="K71" s="111" t="str">
        <f t="shared" si="2"/>
        <v>5 to 5</v>
      </c>
      <c r="L71" t="str">
        <f>CONCATENATE(INDEX(missionsDragonRelativeMetrics[Hard Mission Reward],MATCH($E$35,missionsDragonRelativeMetrics[Dragon],0)), " coins")</f>
        <v>10800 coins</v>
      </c>
      <c r="M71">
        <v>2</v>
      </c>
      <c r="N71">
        <v>2</v>
      </c>
    </row>
    <row r="72" spans="2:14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2 to 3</v>
      </c>
      <c r="H72" t="str">
        <f>CONCATENATE(INDEX(missionsDragonRelativeMetrics[Easy Mission Reward],MATCH($E$35,missionsDragonRelativeMetrics[Dragon],0)), " coins")</f>
        <v>3600 coins</v>
      </c>
      <c r="I72" s="111" t="str">
        <f t="shared" si="1"/>
        <v>2 to 3</v>
      </c>
      <c r="J72" t="str">
        <f>CONCATENATE(INDEX(missionsDragonRelativeMetrics[Medium Mission Reward],MATCH($E$35,missionsDragonRelativeMetrics[Dragon],0)), " coins")</f>
        <v>5400 coins</v>
      </c>
      <c r="K72" s="111" t="str">
        <f t="shared" si="2"/>
        <v>2 to 3</v>
      </c>
      <c r="L72" t="str">
        <f>CONCATENATE(INDEX(missionsDragonRelativeMetrics[Hard Mission Reward],MATCH($E$35,missionsDragonRelativeMetrics[Dragon],0)), " coins")</f>
        <v>10800 coins</v>
      </c>
      <c r="M72">
        <v>0</v>
      </c>
      <c r="N72">
        <v>1</v>
      </c>
    </row>
    <row r="73" spans="2:14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8 to 9</v>
      </c>
      <c r="H73" t="str">
        <f>CONCATENATE(INDEX(missionsDragonRelativeMetrics[Easy Mission Reward],MATCH($E$35,missionsDragonRelativeMetrics[Dragon],0)), " coins")</f>
        <v>3600 coins</v>
      </c>
      <c r="I73" s="111" t="str">
        <f t="shared" si="1"/>
        <v>8 to 10</v>
      </c>
      <c r="J73" t="str">
        <f>CONCATENATE(INDEX(missionsDragonRelativeMetrics[Medium Mission Reward],MATCH($E$35,missionsDragonRelativeMetrics[Dragon],0)), " coins")</f>
        <v>5400 coins</v>
      </c>
      <c r="K73" s="111" t="str">
        <f t="shared" si="2"/>
        <v>9 to 10</v>
      </c>
      <c r="L73" t="str">
        <f>CONCATENATE(INDEX(missionsDragonRelativeMetrics[Hard Mission Reward],MATCH($E$35,missionsDragonRelativeMetrics[Dragon],0)), " coins")</f>
        <v>10800 coins</v>
      </c>
      <c r="M73">
        <v>0</v>
      </c>
      <c r="N73">
        <v>1</v>
      </c>
    </row>
    <row r="75" spans="2:14" x14ac:dyDescent="0.25">
      <c r="F75" t="s">
        <v>326</v>
      </c>
    </row>
  </sheetData>
  <mergeCells count="3">
    <mergeCell ref="G43:H43"/>
    <mergeCell ref="I43:J43"/>
    <mergeCell ref="K43:L43"/>
  </mergeCells>
  <conditionalFormatting sqref="B45:N45">
    <cfRule type="expression" dxfId="28" priority="30">
      <formula>OR($M$45&gt;$D$37,$N$45&lt;$D$37)</formula>
    </cfRule>
  </conditionalFormatting>
  <conditionalFormatting sqref="B46:N46">
    <cfRule type="expression" dxfId="27" priority="29">
      <formula>OR($M$46&gt;$D$37,$N$46&lt;$D$37)</formula>
    </cfRule>
  </conditionalFormatting>
  <conditionalFormatting sqref="B47:N47">
    <cfRule type="expression" dxfId="26" priority="28">
      <formula>OR($M$47&gt;$D$37,$N$47&lt;$D$37)</formula>
    </cfRule>
  </conditionalFormatting>
  <conditionalFormatting sqref="B48:N48">
    <cfRule type="expression" dxfId="25" priority="27">
      <formula>OR($M$48&gt;$D$37,$N$48&lt;$D$37)</formula>
    </cfRule>
  </conditionalFormatting>
  <conditionalFormatting sqref="B49:N49">
    <cfRule type="expression" dxfId="24" priority="26">
      <formula>OR($M$49&gt;$D$37,$N$49&lt;$D$37)</formula>
    </cfRule>
  </conditionalFormatting>
  <conditionalFormatting sqref="B50:N50">
    <cfRule type="expression" dxfId="23" priority="25">
      <formula>OR($M$50&gt;$D$37,$N$50&lt;$D$37)</formula>
    </cfRule>
  </conditionalFormatting>
  <conditionalFormatting sqref="B51:N51">
    <cfRule type="expression" dxfId="22" priority="24">
      <formula>OR($M$51&gt;$D$37,$N$51&lt;$D$37)</formula>
    </cfRule>
  </conditionalFormatting>
  <conditionalFormatting sqref="B52:N52">
    <cfRule type="expression" dxfId="21" priority="23">
      <formula>OR($M$52&gt;$D$37,$N$52&lt;$D$37)</formula>
    </cfRule>
  </conditionalFormatting>
  <conditionalFormatting sqref="B53:N53">
    <cfRule type="expression" dxfId="20" priority="22">
      <formula>OR($M$53&gt;$D$37,$N$53&lt;$D$37)</formula>
    </cfRule>
  </conditionalFormatting>
  <conditionalFormatting sqref="B54:N54">
    <cfRule type="expression" dxfId="19" priority="21">
      <formula>OR($M$54&gt;$D$37,$N$54&lt;$D$37)</formula>
    </cfRule>
  </conditionalFormatting>
  <conditionalFormatting sqref="B55:N55">
    <cfRule type="expression" dxfId="18" priority="20">
      <formula>OR($M$55&gt;$D$37,$N$55&lt;$D$37)</formula>
    </cfRule>
  </conditionalFormatting>
  <conditionalFormatting sqref="B56:N56">
    <cfRule type="expression" dxfId="17" priority="19">
      <formula>OR($M$56&gt;$D$37,$N$56&lt;$D$37)</formula>
    </cfRule>
  </conditionalFormatting>
  <conditionalFormatting sqref="B57:N57">
    <cfRule type="expression" dxfId="16" priority="18">
      <formula>OR($M$57&gt;$D$37,$N$57&lt;$D$37)</formula>
    </cfRule>
  </conditionalFormatting>
  <conditionalFormatting sqref="B58:N58">
    <cfRule type="expression" dxfId="15" priority="17">
      <formula>OR($M$58&gt;$D$37,$N$58&lt;$D$37)</formula>
    </cfRule>
  </conditionalFormatting>
  <conditionalFormatting sqref="B59:N59">
    <cfRule type="expression" dxfId="14" priority="16">
      <formula>OR($M$59&gt;$D$37,$N$59&lt;$D$37)</formula>
    </cfRule>
  </conditionalFormatting>
  <conditionalFormatting sqref="B60:N60">
    <cfRule type="expression" dxfId="13" priority="15">
      <formula>OR($M$60&gt;$D$37,$N$60&lt;$D$37)</formula>
    </cfRule>
  </conditionalFormatting>
  <conditionalFormatting sqref="B61:N61">
    <cfRule type="expression" dxfId="12" priority="14">
      <formula>OR($M$61&gt;$D$37,$N$61&lt;$D$37)</formula>
    </cfRule>
  </conditionalFormatting>
  <conditionalFormatting sqref="B62:N62">
    <cfRule type="expression" dxfId="11" priority="13">
      <formula>OR($M$62&gt;$D$37,$N$62&lt;$D$37)</formula>
    </cfRule>
  </conditionalFormatting>
  <conditionalFormatting sqref="B63:N63">
    <cfRule type="expression" dxfId="10" priority="12">
      <formula>OR($M$63&gt;$D$37,$N$63&lt;$D$37)</formula>
    </cfRule>
  </conditionalFormatting>
  <conditionalFormatting sqref="B64:N64">
    <cfRule type="expression" dxfId="9" priority="11">
      <formula>OR($M$64&gt;$D$37,$N$64&lt;$D$37)</formula>
    </cfRule>
  </conditionalFormatting>
  <conditionalFormatting sqref="B65:N65">
    <cfRule type="expression" dxfId="8" priority="10">
      <formula>OR($M$65&gt;$D$37,$N$65&lt;$D$37)</formula>
    </cfRule>
  </conditionalFormatting>
  <conditionalFormatting sqref="B66:N66">
    <cfRule type="expression" dxfId="7" priority="9">
      <formula>OR($M$66&gt;$D$37,$N$66&lt;$D$37)</formula>
    </cfRule>
  </conditionalFormatting>
  <conditionalFormatting sqref="B67:N67">
    <cfRule type="expression" dxfId="6" priority="8">
      <formula>OR($M$67&gt;$D$37,$N$67&lt;$D$37)</formula>
    </cfRule>
  </conditionalFormatting>
  <conditionalFormatting sqref="B68:N68">
    <cfRule type="expression" dxfId="5" priority="7">
      <formula>OR($M$68&gt;$D$37,$N$68&lt;$D$37)</formula>
    </cfRule>
  </conditionalFormatting>
  <conditionalFormatting sqref="B69:N69">
    <cfRule type="expression" dxfId="4" priority="6">
      <formula>OR($M$69&gt;$D$37,$N$69&lt;$D$37)</formula>
    </cfRule>
  </conditionalFormatting>
  <conditionalFormatting sqref="B70:N70">
    <cfRule type="expression" dxfId="3" priority="4">
      <formula>OR($M$70&gt;$D$37,$N$70&lt;$D$37)</formula>
    </cfRule>
  </conditionalFormatting>
  <conditionalFormatting sqref="B71:N71">
    <cfRule type="expression" dxfId="2" priority="3">
      <formula>OR($M$71&gt;$D$37,$N$71&lt;$D$37)</formula>
    </cfRule>
  </conditionalFormatting>
  <conditionalFormatting sqref="B72:N72">
    <cfRule type="expression" dxfId="1" priority="2">
      <formula>OR($M$72&gt;$D$37,$N$72&lt;$D$37)</formula>
    </cfRule>
  </conditionalFormatting>
  <conditionalFormatting sqref="B73:N73">
    <cfRule type="expression" dxfId="0" priority="1">
      <formula>OR($M$73&gt;$D$37,$N$73&lt;$D$37)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workbookViewId="0">
      <selection activeCell="F27" sqref="F27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53" t="s">
        <v>460</v>
      </c>
      <c r="C1" s="295"/>
      <c r="D1" s="295"/>
      <c r="E1" s="295"/>
      <c r="F1" s="295"/>
      <c r="G1" s="295"/>
      <c r="H1" s="255"/>
    </row>
    <row r="2" spans="2:38" x14ac:dyDescent="0.25">
      <c r="B2" s="253"/>
      <c r="C2" s="295"/>
      <c r="D2" s="295"/>
      <c r="E2" s="295"/>
      <c r="F2" s="295"/>
      <c r="G2" s="295"/>
      <c r="H2" s="255"/>
    </row>
    <row r="3" spans="2:38" x14ac:dyDescent="0.25">
      <c r="B3" s="253" t="s">
        <v>448</v>
      </c>
      <c r="C3" s="295"/>
      <c r="D3" s="295"/>
      <c r="E3" s="295"/>
      <c r="F3" s="295"/>
      <c r="G3" s="295"/>
      <c r="H3" s="255"/>
    </row>
    <row r="4" spans="2:38" x14ac:dyDescent="0.25">
      <c r="B4" s="253" t="s">
        <v>462</v>
      </c>
      <c r="C4" s="295"/>
      <c r="D4" s="295"/>
      <c r="E4" s="295"/>
      <c r="F4" s="295"/>
      <c r="G4" s="295"/>
      <c r="H4" s="255"/>
    </row>
    <row r="5" spans="2:38" x14ac:dyDescent="0.25">
      <c r="B5" s="256"/>
      <c r="C5" s="257"/>
      <c r="D5" s="257"/>
      <c r="E5" s="257"/>
      <c r="F5" s="257"/>
      <c r="G5" s="257"/>
      <c r="H5" s="258"/>
    </row>
    <row r="7" spans="2:38" x14ac:dyDescent="0.25">
      <c r="F7" s="287" t="s">
        <v>445</v>
      </c>
    </row>
    <row r="8" spans="2:38" x14ac:dyDescent="0.25">
      <c r="F8" s="104" t="s">
        <v>446</v>
      </c>
    </row>
    <row r="9" spans="2:38" x14ac:dyDescent="0.25">
      <c r="F9" s="294" t="s">
        <v>447</v>
      </c>
    </row>
    <row r="10" spans="2:38" x14ac:dyDescent="0.25">
      <c r="F10" s="339" t="s">
        <v>488</v>
      </c>
    </row>
    <row r="11" spans="2:38" x14ac:dyDescent="0.25">
      <c r="Z11" s="120"/>
    </row>
    <row r="12" spans="2:38" x14ac:dyDescent="0.25">
      <c r="B12" s="366" t="s">
        <v>429</v>
      </c>
      <c r="C12" s="367"/>
      <c r="D12" s="368"/>
      <c r="J12" s="371" t="s">
        <v>484</v>
      </c>
      <c r="K12" s="372"/>
      <c r="L12" s="371" t="s">
        <v>485</v>
      </c>
      <c r="M12" s="372"/>
      <c r="N12" s="270"/>
      <c r="O12" s="270" t="s">
        <v>492</v>
      </c>
      <c r="P12" s="270"/>
      <c r="Q12" s="275"/>
      <c r="T12" s="373" t="s">
        <v>443</v>
      </c>
      <c r="U12" s="374"/>
      <c r="V12" s="375"/>
      <c r="W12" s="371" t="s">
        <v>449</v>
      </c>
      <c r="X12" s="372"/>
      <c r="Y12" s="371" t="s">
        <v>451</v>
      </c>
      <c r="Z12" s="372"/>
      <c r="AA12" s="371" t="s">
        <v>454</v>
      </c>
      <c r="AB12" s="372"/>
      <c r="AD12" s="371" t="s">
        <v>449</v>
      </c>
      <c r="AE12" s="372"/>
      <c r="AF12" s="371" t="s">
        <v>451</v>
      </c>
      <c r="AG12" s="372"/>
      <c r="AH12" s="371" t="s">
        <v>454</v>
      </c>
      <c r="AI12" s="372"/>
      <c r="AK12" s="371" t="s">
        <v>491</v>
      </c>
      <c r="AL12" s="372"/>
    </row>
    <row r="13" spans="2:38" x14ac:dyDescent="0.25">
      <c r="B13" s="278" t="s">
        <v>415</v>
      </c>
      <c r="C13" s="279" t="s">
        <v>419</v>
      </c>
      <c r="D13" s="306" t="s">
        <v>420</v>
      </c>
      <c r="E13" s="309" t="s">
        <v>461</v>
      </c>
      <c r="G13" s="319" t="s">
        <v>421</v>
      </c>
      <c r="H13" s="286" t="s">
        <v>450</v>
      </c>
      <c r="I13" s="334" t="s">
        <v>490</v>
      </c>
      <c r="J13" s="286" t="s">
        <v>458</v>
      </c>
      <c r="K13" s="319" t="s">
        <v>459</v>
      </c>
      <c r="L13" s="344" t="s">
        <v>480</v>
      </c>
      <c r="M13" s="334" t="s">
        <v>481</v>
      </c>
      <c r="N13" s="328" t="s">
        <v>489</v>
      </c>
      <c r="O13" s="286" t="s">
        <v>432</v>
      </c>
      <c r="P13" s="284" t="s">
        <v>431</v>
      </c>
      <c r="Q13" s="284" t="s">
        <v>472</v>
      </c>
      <c r="R13" s="319" t="s">
        <v>471</v>
      </c>
      <c r="S13" s="328" t="s">
        <v>434</v>
      </c>
      <c r="T13" s="286" t="s">
        <v>440</v>
      </c>
      <c r="U13" s="284" t="s">
        <v>441</v>
      </c>
      <c r="V13" s="319" t="s">
        <v>442</v>
      </c>
      <c r="W13" s="286" t="s">
        <v>452</v>
      </c>
      <c r="X13" s="284" t="s">
        <v>453</v>
      </c>
      <c r="Y13" s="284" t="s">
        <v>422</v>
      </c>
      <c r="Z13" s="284" t="s">
        <v>423</v>
      </c>
      <c r="AA13" s="300" t="s">
        <v>455</v>
      </c>
      <c r="AB13" s="300" t="s">
        <v>456</v>
      </c>
      <c r="AC13" s="319" t="s">
        <v>457</v>
      </c>
      <c r="AD13" s="300" t="s">
        <v>473</v>
      </c>
      <c r="AE13" s="300" t="s">
        <v>474</v>
      </c>
      <c r="AF13" s="300" t="s">
        <v>475</v>
      </c>
      <c r="AG13" s="300" t="s">
        <v>476</v>
      </c>
      <c r="AH13" s="300" t="s">
        <v>477</v>
      </c>
      <c r="AI13" s="284" t="s">
        <v>478</v>
      </c>
      <c r="AJ13" s="304" t="s">
        <v>479</v>
      </c>
      <c r="AK13" s="284" t="s">
        <v>486</v>
      </c>
      <c r="AL13" s="284" t="s">
        <v>487</v>
      </c>
    </row>
    <row r="14" spans="2:38" x14ac:dyDescent="0.25">
      <c r="B14" s="269">
        <v>1</v>
      </c>
      <c r="C14" s="289" t="s">
        <v>417</v>
      </c>
      <c r="D14" s="307">
        <v>100</v>
      </c>
      <c r="E14" s="310">
        <v>100</v>
      </c>
      <c r="G14" s="342" t="s">
        <v>92</v>
      </c>
      <c r="H14" s="346">
        <f>Table6[[#This Row],[TOTAL COINS]] +Table6[[#This Row],[COINS IN RUNS PER DAY]]</f>
        <v>29465</v>
      </c>
      <c r="I14" s="335">
        <f>Table6[[#This Row],[TOTAL COINS NEW]] + Table6[[#This Row],[COINS IN RUNS PER DAY]]</f>
        <v>29465</v>
      </c>
      <c r="J14" s="333">
        <f>Table6[[#This Row],[CHESTS COINS]] + Table6[[#This Row],[DAILY COINS]]+Table6[[#This Row],[LEAGUES COINS]]+Table6[[#This Row],[MISSIONS COINS]]</f>
        <v>4465</v>
      </c>
      <c r="K14" s="327">
        <f>Table6[[#This Row],[CHESTS GEMS]]+Table6[[#This Row],[DAILY GEMS]]+Table6[[#This Row],[LEAGUES GEMS]]</f>
        <v>3.9</v>
      </c>
      <c r="L14" s="345">
        <f>Table6[[#This Row],[CHESTS COINS NEW]] +Table6[[#This Row],[DAILY COINS NEW]] +Table6[[#This Row],[LEAGUES COINS NEW]] +Table6[[#This Row],[MISSIONS COINS NEW]]</f>
        <v>4465</v>
      </c>
      <c r="M14" s="335">
        <f>Table6[[#This Row],[CHESTS GEMS NEW]] +Table6[[#This Row],[DAILY GEMS NEW]] +Table6[[#This Row],[LEAGUES GEMS NEW]]</f>
        <v>3.9</v>
      </c>
      <c r="N14" s="340">
        <f>Table6[[#This Row],[COINS PER RUN]] *Table6[[#This Row],[RUNS PER DAY]]</f>
        <v>25000</v>
      </c>
      <c r="O14" s="325">
        <v>2</v>
      </c>
      <c r="P14" s="325">
        <v>2</v>
      </c>
      <c r="Q14" s="276">
        <v>2</v>
      </c>
      <c r="R14" s="323">
        <v>2</v>
      </c>
      <c r="S14" s="329">
        <v>1</v>
      </c>
      <c r="T14" s="350">
        <v>1.1000000000000001</v>
      </c>
      <c r="U14" s="338">
        <v>1.06</v>
      </c>
      <c r="V14" s="348">
        <v>1.03</v>
      </c>
      <c r="W14" s="301">
        <f>Table6[[#This Row],[CHEST REW. MOD.]]*($D$14+$D$15+$D$16)</f>
        <v>900</v>
      </c>
      <c r="X14" s="297">
        <f t="shared" ref="X14:X32" si="0">$D$17+$D$18</f>
        <v>3</v>
      </c>
      <c r="Y14" s="297">
        <f>ROUND((Table6[[#This Row],[DAILY REW. MOD.]]*($D$24+$D$26+$D$28))/7,0)</f>
        <v>500</v>
      </c>
      <c r="Z14" s="297">
        <f t="shared" ref="Z14:Z32" si="1">ROUND(($D$25+$D$27+$D$29)/7,1)</f>
        <v>0.9</v>
      </c>
      <c r="AA14" s="302">
        <f>ROUND((INDEX(Table12[AVG COINS],MATCH(Table6[[#This Row],[LEAGUE]],Table12[LEAGUE],0))) /$C$37,0)</f>
        <v>753</v>
      </c>
      <c r="AB14" s="302">
        <f>ROUND((INDEX(Table12[AVG GEMS],MATCH(Table6[[#This Row],[LEAGUE]],Table12[LEAGUE],0))) /$C$36,2)</f>
        <v>0</v>
      </c>
      <c r="AC14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303">
        <f>Table6[[#This Row],[CHEST REW. MOD. NEW]]*($D$14+$D$15+$D$16)</f>
        <v>900</v>
      </c>
      <c r="AE14" s="303">
        <f>$E$17+$E$18</f>
        <v>3</v>
      </c>
      <c r="AF14" s="303">
        <f>ROUND((Table6[[#This Row],[DAILY REW. MOD. NEW]]*($E$24+$E$26+$E$28))/7,0)</f>
        <v>500</v>
      </c>
      <c r="AG14" s="303">
        <f>ROUND(($E$25+$E$27+$E$29)/7,1)</f>
        <v>0.9</v>
      </c>
      <c r="AH14" s="303">
        <f>ROUND((INDEX(Table12[AVG COINS NEW],MATCH(Table6[[#This Row],[LEAGUE]],Table12[LEAGUE],0))) /$C$37,0)</f>
        <v>753</v>
      </c>
      <c r="AI14" s="303">
        <f>ROUND((INDEX(Table12[AVG GEMS NEW],MATCH(Table6[[#This Row],[LEAGUE]],Table12[LEAGUE],0))) / $C$37,2)</f>
        <v>0</v>
      </c>
      <c r="AJ14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37">
        <v>25000</v>
      </c>
      <c r="AL14" s="338">
        <v>1</v>
      </c>
    </row>
    <row r="15" spans="2:38" x14ac:dyDescent="0.25">
      <c r="B15" s="267">
        <v>2</v>
      </c>
      <c r="C15" s="289" t="s">
        <v>417</v>
      </c>
      <c r="D15" s="308">
        <v>150</v>
      </c>
      <c r="E15" s="311">
        <v>150</v>
      </c>
      <c r="G15" s="341" t="s">
        <v>93</v>
      </c>
      <c r="H15" s="345">
        <f>Table6[[#This Row],[TOTAL COINS]] +Table6[[#This Row],[COINS IN RUNS PER DAY]]</f>
        <v>32734</v>
      </c>
      <c r="I15" s="335">
        <f>Table6[[#This Row],[TOTAL COINS NEW]] + Table6[[#This Row],[COINS IN RUNS PER DAY]]</f>
        <v>32734</v>
      </c>
      <c r="J15" s="333">
        <f>Table6[[#This Row],[CHESTS COINS]] + Table6[[#This Row],[DAILY COINS]]+Table6[[#This Row],[LEAGUES COINS]]+Table6[[#This Row],[MISSIONS COINS]]</f>
        <v>13734</v>
      </c>
      <c r="K15" s="327">
        <f>Table6[[#This Row],[CHESTS GEMS]]+Table6[[#This Row],[DAILY GEMS]]+Table6[[#This Row],[LEAGUES GEMS]]</f>
        <v>3.9</v>
      </c>
      <c r="L15" s="345">
        <f>Table6[[#This Row],[CHESTS COINS NEW]] +Table6[[#This Row],[DAILY COINS NEW]] +Table6[[#This Row],[LEAGUES COINS NEW]] +Table6[[#This Row],[MISSIONS COINS NEW]]</f>
        <v>13734</v>
      </c>
      <c r="M15" s="335">
        <f>Table6[[#This Row],[CHESTS GEMS NEW]] +Table6[[#This Row],[DAILY GEMS NEW]] +Table6[[#This Row],[LEAGUES GEMS NEW]]</f>
        <v>3.9</v>
      </c>
      <c r="N15" s="340">
        <f>Table6[[#This Row],[COINS PER RUN]] *Table6[[#This Row],[RUNS PER DAY]]</f>
        <v>19000</v>
      </c>
      <c r="O15" s="326">
        <v>6</v>
      </c>
      <c r="P15" s="326">
        <v>6</v>
      </c>
      <c r="Q15" s="277">
        <v>6</v>
      </c>
      <c r="R15" s="324">
        <v>6</v>
      </c>
      <c r="S15" s="330">
        <v>2</v>
      </c>
      <c r="T15" s="350">
        <v>1.54</v>
      </c>
      <c r="U15" s="338">
        <v>1.29</v>
      </c>
      <c r="V15" s="349">
        <v>1.1399999999999999</v>
      </c>
      <c r="W15" s="301">
        <f>Table6[[#This Row],[CHEST REW. MOD.]]*($D$14+$D$15+$D$16)</f>
        <v>2700</v>
      </c>
      <c r="X15" s="297">
        <f t="shared" si="0"/>
        <v>3</v>
      </c>
      <c r="Y15" s="297">
        <f>ROUND((Table6[[#This Row],[DAILY REW. MOD.]]*($D$24+$D$26+$D$28))/7,0)</f>
        <v>1500</v>
      </c>
      <c r="Z15" s="297">
        <f t="shared" si="1"/>
        <v>0.9</v>
      </c>
      <c r="AA15" s="302">
        <f>ROUND((INDEX(Table12[AVG COINS],MATCH(Table6[[#This Row],[LEAGUE]],Table12[LEAGUE],0))) /$C$37,0)</f>
        <v>1260</v>
      </c>
      <c r="AB15" s="302">
        <f>ROUND((INDEX(Table12[AVG GEMS],MATCH(Table6[[#This Row],[LEAGUE]],Table12[LEAGUE],0))) /$C$36,2)</f>
        <v>0</v>
      </c>
      <c r="AC15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303">
        <f>Table6[[#This Row],[CHEST REW. MOD. NEW]]*($D$14+$D$15+$D$16)</f>
        <v>2700</v>
      </c>
      <c r="AE15" s="303">
        <f t="shared" ref="AE15:AE32" si="2">$E$17+$E$18</f>
        <v>3</v>
      </c>
      <c r="AF15" s="303">
        <f>ROUND((Table6[[#This Row],[DAILY REW. MOD. NEW]]*($E$24+$E$26+$E$28))/7,0)</f>
        <v>1500</v>
      </c>
      <c r="AG15" s="303">
        <f t="shared" ref="AG15:AG32" si="3">ROUND(($E$25+$E$27+$E$29)/7,1)</f>
        <v>0.9</v>
      </c>
      <c r="AH15" s="303">
        <f>ROUND((INDEX(Table12[AVG COINS NEW],MATCH(Table6[[#This Row],[LEAGUE]],Table12[LEAGUE],0))) /$C$37,0)</f>
        <v>1260</v>
      </c>
      <c r="AI15" s="303">
        <f>ROUND((INDEX(Table12[AVG GEMS NEW],MATCH(Table6[[#This Row],[LEAGUE]],Table12[LEAGUE],0))) / $C$37,2)</f>
        <v>0</v>
      </c>
      <c r="AJ15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37">
        <v>19000</v>
      </c>
      <c r="AL15" s="338">
        <v>1</v>
      </c>
    </row>
    <row r="16" spans="2:38" x14ac:dyDescent="0.25">
      <c r="B16" s="267">
        <v>3</v>
      </c>
      <c r="C16" s="289" t="s">
        <v>417</v>
      </c>
      <c r="D16" s="308">
        <v>200</v>
      </c>
      <c r="E16" s="311">
        <v>200</v>
      </c>
      <c r="G16" s="341" t="s">
        <v>94</v>
      </c>
      <c r="H16" s="345">
        <f>Table6[[#This Row],[TOTAL COINS]] +Table6[[#This Row],[COINS IN RUNS PER DAY]]</f>
        <v>49109</v>
      </c>
      <c r="I16" s="335">
        <f>Table6[[#This Row],[TOTAL COINS NEW]] + Table6[[#This Row],[COINS IN RUNS PER DAY]]</f>
        <v>49109</v>
      </c>
      <c r="J16" s="333">
        <f>Table6[[#This Row],[CHESTS COINS]] + Table6[[#This Row],[DAILY COINS]]+Table6[[#This Row],[LEAGUES COINS]]+Table6[[#This Row],[MISSIONS COINS]]</f>
        <v>30109</v>
      </c>
      <c r="K16" s="327">
        <f>Table6[[#This Row],[CHESTS GEMS]]+Table6[[#This Row],[DAILY GEMS]]+Table6[[#This Row],[LEAGUES GEMS]]</f>
        <v>3.9</v>
      </c>
      <c r="L16" s="345">
        <f>Table6[[#This Row],[CHESTS COINS NEW]] +Table6[[#This Row],[DAILY COINS NEW]] +Table6[[#This Row],[LEAGUES COINS NEW]] +Table6[[#This Row],[MISSIONS COINS NEW]]</f>
        <v>30109</v>
      </c>
      <c r="M16" s="335">
        <f>Table6[[#This Row],[CHESTS GEMS NEW]] +Table6[[#This Row],[DAILY GEMS NEW]] +Table6[[#This Row],[LEAGUES GEMS NEW]]</f>
        <v>3.9</v>
      </c>
      <c r="N16" s="340">
        <f>Table6[[#This Row],[COINS PER RUN]] *Table6[[#This Row],[RUNS PER DAY]]</f>
        <v>19000</v>
      </c>
      <c r="O16" s="326">
        <v>12</v>
      </c>
      <c r="P16" s="326">
        <v>10</v>
      </c>
      <c r="Q16" s="277">
        <v>12</v>
      </c>
      <c r="R16" s="324">
        <v>10</v>
      </c>
      <c r="S16" s="330">
        <v>3</v>
      </c>
      <c r="T16" s="350">
        <v>1.86</v>
      </c>
      <c r="U16" s="338">
        <v>1.54</v>
      </c>
      <c r="V16" s="349">
        <v>1.28</v>
      </c>
      <c r="W16" s="301">
        <f>Table6[[#This Row],[CHEST REW. MOD.]]*($D$14+$D$15+$D$16)</f>
        <v>5400</v>
      </c>
      <c r="X16" s="297">
        <f t="shared" si="0"/>
        <v>3</v>
      </c>
      <c r="Y16" s="297">
        <f>ROUND((Table6[[#This Row],[DAILY REW. MOD.]]*($D$24+$D$26+$D$28))/7,0)</f>
        <v>2500</v>
      </c>
      <c r="Z16" s="297">
        <f t="shared" si="1"/>
        <v>0.9</v>
      </c>
      <c r="AA16" s="302">
        <f>ROUND((INDEX(Table12[AVG COINS],MATCH(Table6[[#This Row],[LEAGUE]],Table12[LEAGUE],0))) /$C$37,0)</f>
        <v>2985</v>
      </c>
      <c r="AB16" s="302">
        <f>ROUND((INDEX(Table12[AVG GEMS],MATCH(Table6[[#This Row],[LEAGUE]],Table12[LEAGUE],0))) /$C$36,2)</f>
        <v>0</v>
      </c>
      <c r="AC16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303">
        <f>Table6[[#This Row],[CHEST REW. MOD. NEW]]*($D$14+$D$15+$D$16)</f>
        <v>5400</v>
      </c>
      <c r="AE16" s="303">
        <f t="shared" si="2"/>
        <v>3</v>
      </c>
      <c r="AF16" s="303">
        <f>ROUND((Table6[[#This Row],[DAILY REW. MOD. NEW]]*($E$24+$E$26+$E$28))/7,0)</f>
        <v>2500</v>
      </c>
      <c r="AG16" s="303">
        <f>ROUND(($E$25+$E$27+$E$29)/7,1)</f>
        <v>0.9</v>
      </c>
      <c r="AH16" s="303">
        <f>ROUND((INDEX(Table12[AVG COINS NEW],MATCH(Table6[[#This Row],[LEAGUE]],Table12[LEAGUE],0))) /$C$37,0)</f>
        <v>2985</v>
      </c>
      <c r="AI16" s="303">
        <f>ROUND((INDEX(Table12[AVG GEMS NEW],MATCH(Table6[[#This Row],[LEAGUE]],Table12[LEAGUE],0))) / $C$37,2)</f>
        <v>0</v>
      </c>
      <c r="AJ16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37">
        <v>19000</v>
      </c>
      <c r="AL16" s="338">
        <v>1</v>
      </c>
    </row>
    <row r="17" spans="2:38" x14ac:dyDescent="0.25">
      <c r="B17" s="267">
        <v>4</v>
      </c>
      <c r="C17" s="289" t="s">
        <v>418</v>
      </c>
      <c r="D17" s="308">
        <v>1</v>
      </c>
      <c r="E17" s="311">
        <v>1</v>
      </c>
      <c r="G17" s="341" t="s">
        <v>95</v>
      </c>
      <c r="H17" s="345">
        <f>Table6[[#This Row],[TOTAL COINS]] +Table6[[#This Row],[COINS IN RUNS PER DAY]]</f>
        <v>77922</v>
      </c>
      <c r="I17" s="335">
        <f>Table6[[#This Row],[TOTAL COINS NEW]] + Table6[[#This Row],[COINS IN RUNS PER DAY]]</f>
        <v>77922</v>
      </c>
      <c r="J17" s="333">
        <f>Table6[[#This Row],[CHESTS COINS]] + Table6[[#This Row],[DAILY COINS]]+Table6[[#This Row],[LEAGUES COINS]]+Table6[[#This Row],[MISSIONS COINS]]</f>
        <v>44922</v>
      </c>
      <c r="K17" s="327">
        <f>Table6[[#This Row],[CHESTS GEMS]]+Table6[[#This Row],[DAILY GEMS]]+Table6[[#This Row],[LEAGUES GEMS]]</f>
        <v>3.9</v>
      </c>
      <c r="L17" s="345">
        <f>Table6[[#This Row],[CHESTS COINS NEW]] +Table6[[#This Row],[DAILY COINS NEW]] +Table6[[#This Row],[LEAGUES COINS NEW]] +Table6[[#This Row],[MISSIONS COINS NEW]]</f>
        <v>44922</v>
      </c>
      <c r="M17" s="335">
        <f>Table6[[#This Row],[CHESTS GEMS NEW]] +Table6[[#This Row],[DAILY GEMS NEW]] +Table6[[#This Row],[LEAGUES GEMS NEW]]</f>
        <v>3.9</v>
      </c>
      <c r="N17" s="340">
        <f>Table6[[#This Row],[COINS PER RUN]] *Table6[[#This Row],[RUNS PER DAY]]</f>
        <v>33000</v>
      </c>
      <c r="O17" s="326">
        <v>18</v>
      </c>
      <c r="P17" s="326">
        <v>15</v>
      </c>
      <c r="Q17" s="277">
        <v>18</v>
      </c>
      <c r="R17" s="324">
        <v>15</v>
      </c>
      <c r="S17" s="330">
        <v>4</v>
      </c>
      <c r="T17" s="350">
        <v>1.78</v>
      </c>
      <c r="U17" s="338">
        <v>1.53</v>
      </c>
      <c r="V17" s="349">
        <v>1.29</v>
      </c>
      <c r="W17" s="301">
        <f>Table6[[#This Row],[CHEST REW. MOD.]]*($D$14+$D$15+$D$16)</f>
        <v>8100</v>
      </c>
      <c r="X17" s="297">
        <f t="shared" si="0"/>
        <v>3</v>
      </c>
      <c r="Y17" s="297">
        <f>ROUND((Table6[[#This Row],[DAILY REW. MOD.]]*($D$24+$D$26+$D$28))/7,0)</f>
        <v>3750</v>
      </c>
      <c r="Z17" s="297">
        <f t="shared" si="1"/>
        <v>0.9</v>
      </c>
      <c r="AA17" s="302">
        <f>ROUND((INDEX(Table12[AVG COINS],MATCH(Table6[[#This Row],[LEAGUE]],Table12[LEAGUE],0))) /$C$37,0)</f>
        <v>4470</v>
      </c>
      <c r="AB17" s="302">
        <f>ROUND((INDEX(Table12[AVG GEMS],MATCH(Table6[[#This Row],[LEAGUE]],Table12[LEAGUE],0))) /$C$36,2)</f>
        <v>0</v>
      </c>
      <c r="AC17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303">
        <f>Table6[[#This Row],[CHEST REW. MOD. NEW]]*($D$14+$D$15+$D$16)</f>
        <v>8100</v>
      </c>
      <c r="AE17" s="303">
        <f t="shared" si="2"/>
        <v>3</v>
      </c>
      <c r="AF17" s="303">
        <f>ROUND((Table6[[#This Row],[DAILY REW. MOD. NEW]]*($E$24+$E$26+$E$28))/7,0)</f>
        <v>3750</v>
      </c>
      <c r="AG17" s="303">
        <f t="shared" si="3"/>
        <v>0.9</v>
      </c>
      <c r="AH17" s="303">
        <f>ROUND((INDEX(Table12[AVG COINS NEW],MATCH(Table6[[#This Row],[LEAGUE]],Table12[LEAGUE],0))) /$C$37,0)</f>
        <v>4470</v>
      </c>
      <c r="AI17" s="303">
        <f>ROUND((INDEX(Table12[AVG GEMS NEW],MATCH(Table6[[#This Row],[LEAGUE]],Table12[LEAGUE],0))) / $C$37,2)</f>
        <v>0</v>
      </c>
      <c r="AJ17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37">
        <v>33000</v>
      </c>
      <c r="AL17" s="338">
        <v>1</v>
      </c>
    </row>
    <row r="18" spans="2:38" x14ac:dyDescent="0.25">
      <c r="B18" s="267">
        <v>5</v>
      </c>
      <c r="C18" s="289" t="s">
        <v>418</v>
      </c>
      <c r="D18" s="308">
        <v>2</v>
      </c>
      <c r="E18" s="311">
        <v>2</v>
      </c>
      <c r="G18" s="341" t="s">
        <v>96</v>
      </c>
      <c r="H18" s="345">
        <f>Table6[[#This Row],[TOTAL COINS]] +Table6[[#This Row],[COINS IN RUNS PER DAY]]</f>
        <v>112111</v>
      </c>
      <c r="I18" s="335">
        <f>Table6[[#This Row],[TOTAL COINS NEW]] + Table6[[#This Row],[COINS IN RUNS PER DAY]]</f>
        <v>112111</v>
      </c>
      <c r="J18" s="333">
        <f>Table6[[#This Row],[CHESTS COINS]] + Table6[[#This Row],[DAILY COINS]]+Table6[[#This Row],[LEAGUES COINS]]+Table6[[#This Row],[MISSIONS COINS]]</f>
        <v>63111</v>
      </c>
      <c r="K18" s="327">
        <f>Table6[[#This Row],[CHESTS GEMS]]+Table6[[#This Row],[DAILY GEMS]]+Table6[[#This Row],[LEAGUES GEMS]]</f>
        <v>3.9</v>
      </c>
      <c r="L18" s="345">
        <f>Table6[[#This Row],[CHESTS COINS NEW]] +Table6[[#This Row],[DAILY COINS NEW]] +Table6[[#This Row],[LEAGUES COINS NEW]] +Table6[[#This Row],[MISSIONS COINS NEW]]</f>
        <v>63111</v>
      </c>
      <c r="M18" s="335">
        <f>Table6[[#This Row],[CHESTS GEMS NEW]] +Table6[[#This Row],[DAILY GEMS NEW]] +Table6[[#This Row],[LEAGUES GEMS NEW]]</f>
        <v>3.9</v>
      </c>
      <c r="N18" s="340">
        <f>Table6[[#This Row],[COINS PER RUN]] *Table6[[#This Row],[RUNS PER DAY]]</f>
        <v>49000</v>
      </c>
      <c r="O18" s="326">
        <v>26</v>
      </c>
      <c r="P18" s="326">
        <v>20</v>
      </c>
      <c r="Q18" s="277">
        <v>26</v>
      </c>
      <c r="R18" s="324">
        <v>20</v>
      </c>
      <c r="S18" s="330">
        <v>5</v>
      </c>
      <c r="T18" s="350">
        <v>1.72</v>
      </c>
      <c r="U18" s="338">
        <v>1.5</v>
      </c>
      <c r="V18" s="349">
        <v>1.27</v>
      </c>
      <c r="W18" s="301">
        <f>Table6[[#This Row],[CHEST REW. MOD.]]*($D$14+$D$15+$D$16)</f>
        <v>11700</v>
      </c>
      <c r="X18" s="297">
        <f t="shared" si="0"/>
        <v>3</v>
      </c>
      <c r="Y18" s="297">
        <f>ROUND((Table6[[#This Row],[DAILY REW. MOD.]]*($D$24+$D$26+$D$28))/7,0)</f>
        <v>5000</v>
      </c>
      <c r="Z18" s="297">
        <f t="shared" si="1"/>
        <v>0.9</v>
      </c>
      <c r="AA18" s="302">
        <f>ROUND((INDEX(Table12[AVG COINS],MATCH(Table6[[#This Row],[LEAGUE]],Table12[LEAGUE],0))) /$C$37,0)</f>
        <v>5955</v>
      </c>
      <c r="AB18" s="302">
        <f>ROUND((INDEX(Table12[AVG GEMS],MATCH(Table6[[#This Row],[LEAGUE]],Table12[LEAGUE],0))) /$C$36,2)</f>
        <v>0</v>
      </c>
      <c r="AC18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303">
        <f>Table6[[#This Row],[CHEST REW. MOD. NEW]]*($D$14+$D$15+$D$16)</f>
        <v>11700</v>
      </c>
      <c r="AE18" s="303">
        <f t="shared" si="2"/>
        <v>3</v>
      </c>
      <c r="AF18" s="303">
        <f>ROUND((Table6[[#This Row],[DAILY REW. MOD. NEW]]*($E$24+$E$26+$E$28))/7,0)</f>
        <v>5000</v>
      </c>
      <c r="AG18" s="303">
        <f t="shared" si="3"/>
        <v>0.9</v>
      </c>
      <c r="AH18" s="303">
        <f>ROUND((INDEX(Table12[AVG COINS NEW],MATCH(Table6[[#This Row],[LEAGUE]],Table12[LEAGUE],0))) /$C$37,0)</f>
        <v>5955</v>
      </c>
      <c r="AI18" s="303">
        <f>ROUND((INDEX(Table12[AVG GEMS NEW],MATCH(Table6[[#This Row],[LEAGUE]],Table12[LEAGUE],0))) / $C$37,2)</f>
        <v>0</v>
      </c>
      <c r="AJ18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37">
        <v>49000</v>
      </c>
      <c r="AL18" s="338">
        <v>1</v>
      </c>
    </row>
    <row r="19" spans="2:38" x14ac:dyDescent="0.25">
      <c r="G19" s="341" t="s">
        <v>97</v>
      </c>
      <c r="H19" s="345">
        <f>Table6[[#This Row],[TOTAL COINS]] +Table6[[#This Row],[COINS IN RUNS PER DAY]]</f>
        <v>140210</v>
      </c>
      <c r="I19" s="335">
        <f>Table6[[#This Row],[TOTAL COINS NEW]] + Table6[[#This Row],[COINS IN RUNS PER DAY]]</f>
        <v>140210</v>
      </c>
      <c r="J19" s="333">
        <f>Table6[[#This Row],[CHESTS COINS]] + Table6[[#This Row],[DAILY COINS]]+Table6[[#This Row],[LEAGUES COINS]]+Table6[[#This Row],[MISSIONS COINS]]</f>
        <v>83210</v>
      </c>
      <c r="K19" s="327">
        <f>Table6[[#This Row],[CHESTS GEMS]]+Table6[[#This Row],[DAILY GEMS]]+Table6[[#This Row],[LEAGUES GEMS]]</f>
        <v>3.9</v>
      </c>
      <c r="L19" s="345">
        <f>Table6[[#This Row],[CHESTS COINS NEW]] +Table6[[#This Row],[DAILY COINS NEW]] +Table6[[#This Row],[LEAGUES COINS NEW]] +Table6[[#This Row],[MISSIONS COINS NEW]]</f>
        <v>83210</v>
      </c>
      <c r="M19" s="335">
        <f>Table6[[#This Row],[CHESTS GEMS NEW]] +Table6[[#This Row],[DAILY GEMS NEW]] +Table6[[#This Row],[LEAGUES GEMS NEW]]</f>
        <v>3.9</v>
      </c>
      <c r="N19" s="340">
        <f>Table6[[#This Row],[COINS PER RUN]] *Table6[[#This Row],[RUNS PER DAY]]</f>
        <v>57000</v>
      </c>
      <c r="O19" s="326">
        <v>35</v>
      </c>
      <c r="P19" s="326">
        <v>20</v>
      </c>
      <c r="Q19" s="277">
        <v>35</v>
      </c>
      <c r="R19" s="324">
        <v>20</v>
      </c>
      <c r="S19" s="330">
        <v>6</v>
      </c>
      <c r="T19" s="350">
        <v>1.74</v>
      </c>
      <c r="U19" s="338">
        <v>1.52</v>
      </c>
      <c r="V19" s="349">
        <v>1.28</v>
      </c>
      <c r="W19" s="301">
        <f>Table6[[#This Row],[CHEST REW. MOD.]]*($D$14+$D$15+$D$16)</f>
        <v>15750</v>
      </c>
      <c r="X19" s="297">
        <f t="shared" si="0"/>
        <v>3</v>
      </c>
      <c r="Y19" s="297">
        <f>ROUND((Table6[[#This Row],[DAILY REW. MOD.]]*($D$24+$D$26+$D$28))/7,0)</f>
        <v>5000</v>
      </c>
      <c r="Z19" s="297">
        <f t="shared" si="1"/>
        <v>0.9</v>
      </c>
      <c r="AA19" s="302">
        <f>ROUND((INDEX(Table12[AVG COINS],MATCH(Table6[[#This Row],[LEAGUE]],Table12[LEAGUE],0))) /$C$37,0)</f>
        <v>7440</v>
      </c>
      <c r="AB19" s="302">
        <f>ROUND((INDEX(Table12[AVG GEMS],MATCH(Table6[[#This Row],[LEAGUE]],Table12[LEAGUE],0))) /$C$36,2)</f>
        <v>0</v>
      </c>
      <c r="AC19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303">
        <f>Table6[[#This Row],[CHEST REW. MOD. NEW]]*($D$14+$D$15+$D$16)</f>
        <v>15750</v>
      </c>
      <c r="AE19" s="303">
        <f t="shared" si="2"/>
        <v>3</v>
      </c>
      <c r="AF19" s="303">
        <f>ROUND((Table6[[#This Row],[DAILY REW. MOD. NEW]]*($E$24+$E$26+$E$28))/7,0)</f>
        <v>5000</v>
      </c>
      <c r="AG19" s="303">
        <f t="shared" si="3"/>
        <v>0.9</v>
      </c>
      <c r="AH19" s="303">
        <f>ROUND((INDEX(Table12[AVG COINS NEW],MATCH(Table6[[#This Row],[LEAGUE]],Table12[LEAGUE],0))) /$C$37,0)</f>
        <v>7440</v>
      </c>
      <c r="AI19" s="303">
        <f>ROUND((INDEX(Table12[AVG GEMS NEW],MATCH(Table6[[#This Row],[LEAGUE]],Table12[LEAGUE],0))) / $C$37,2)</f>
        <v>0</v>
      </c>
      <c r="AJ19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37">
        <v>57000</v>
      </c>
      <c r="AL19" s="338">
        <v>1</v>
      </c>
    </row>
    <row r="20" spans="2:38" x14ac:dyDescent="0.25">
      <c r="G20" s="341" t="s">
        <v>98</v>
      </c>
      <c r="H20" s="345">
        <f>Table6[[#This Row],[TOTAL COINS]] +Table6[[#This Row],[COINS IN RUNS PER DAY]]</f>
        <v>179470</v>
      </c>
      <c r="I20" s="335">
        <f>Table6[[#This Row],[TOTAL COINS NEW]] + Table6[[#This Row],[COINS IN RUNS PER DAY]]</f>
        <v>179470</v>
      </c>
      <c r="J20" s="333">
        <f>Table6[[#This Row],[CHESTS COINS]] + Table6[[#This Row],[DAILY COINS]]+Table6[[#This Row],[LEAGUES COINS]]+Table6[[#This Row],[MISSIONS COINS]]</f>
        <v>107470</v>
      </c>
      <c r="K20" s="327">
        <f>Table6[[#This Row],[CHESTS GEMS]]+Table6[[#This Row],[DAILY GEMS]]+Table6[[#This Row],[LEAGUES GEMS]]</f>
        <v>3.9</v>
      </c>
      <c r="L20" s="345">
        <f>Table6[[#This Row],[CHESTS COINS NEW]] +Table6[[#This Row],[DAILY COINS NEW]] +Table6[[#This Row],[LEAGUES COINS NEW]] +Table6[[#This Row],[MISSIONS COINS NEW]]</f>
        <v>107470</v>
      </c>
      <c r="M20" s="335">
        <f>Table6[[#This Row],[CHESTS GEMS NEW]] +Table6[[#This Row],[DAILY GEMS NEW]] +Table6[[#This Row],[LEAGUES GEMS NEW]]</f>
        <v>3.9</v>
      </c>
      <c r="N20" s="340">
        <f>Table6[[#This Row],[COINS PER RUN]] *Table6[[#This Row],[RUNS PER DAY]]</f>
        <v>72000</v>
      </c>
      <c r="O20" s="326">
        <v>45</v>
      </c>
      <c r="P20" s="326">
        <v>25</v>
      </c>
      <c r="Q20" s="277">
        <v>45</v>
      </c>
      <c r="R20" s="324">
        <v>25</v>
      </c>
      <c r="S20" s="330">
        <v>7</v>
      </c>
      <c r="T20" s="350">
        <v>1.78</v>
      </c>
      <c r="U20" s="338">
        <v>1.55</v>
      </c>
      <c r="V20" s="349">
        <v>1.3</v>
      </c>
      <c r="W20" s="301">
        <f>Table6[[#This Row],[CHEST REW. MOD.]]*($D$14+$D$15+$D$16)</f>
        <v>20250</v>
      </c>
      <c r="X20" s="297">
        <f t="shared" si="0"/>
        <v>3</v>
      </c>
      <c r="Y20" s="297">
        <f>ROUND((Table6[[#This Row],[DAILY REW. MOD.]]*($D$24+$D$26+$D$28))/7,0)</f>
        <v>6250</v>
      </c>
      <c r="Z20" s="297">
        <f t="shared" si="1"/>
        <v>0.9</v>
      </c>
      <c r="AA20" s="302">
        <f>ROUND((INDEX(Table12[AVG COINS],MATCH(Table6[[#This Row],[LEAGUE]],Table12[LEAGUE],0))) /$C$37,0)</f>
        <v>8925</v>
      </c>
      <c r="AB20" s="302">
        <f>ROUND((INDEX(Table12[AVG GEMS],MATCH(Table6[[#This Row],[LEAGUE]],Table12[LEAGUE],0))) /$C$36,2)</f>
        <v>0</v>
      </c>
      <c r="AC20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303">
        <f>Table6[[#This Row],[CHEST REW. MOD. NEW]]*($D$14+$D$15+$D$16)</f>
        <v>20250</v>
      </c>
      <c r="AE20" s="303">
        <f t="shared" si="2"/>
        <v>3</v>
      </c>
      <c r="AF20" s="303">
        <f>ROUND((Table6[[#This Row],[DAILY REW. MOD. NEW]]*($E$24+$E$26+$E$28))/7,0)</f>
        <v>6250</v>
      </c>
      <c r="AG20" s="303">
        <f t="shared" si="3"/>
        <v>0.9</v>
      </c>
      <c r="AH20" s="303">
        <f>ROUND((INDEX(Table12[AVG COINS NEW],MATCH(Table6[[#This Row],[LEAGUE]],Table12[LEAGUE],0))) /$C$37,0)</f>
        <v>8925</v>
      </c>
      <c r="AI20" s="303">
        <f>ROUND((INDEX(Table12[AVG GEMS NEW],MATCH(Table6[[#This Row],[LEAGUE]],Table12[LEAGUE],0))) / $C$37,2)</f>
        <v>0</v>
      </c>
      <c r="AJ20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37">
        <v>72000</v>
      </c>
      <c r="AL20" s="338">
        <v>1</v>
      </c>
    </row>
    <row r="21" spans="2:38" x14ac:dyDescent="0.25">
      <c r="G21" s="341" t="s">
        <v>99</v>
      </c>
      <c r="H21" s="345">
        <f>Table6[[#This Row],[TOTAL COINS]] +Table6[[#This Row],[COINS IN RUNS PER DAY]]</f>
        <v>187954</v>
      </c>
      <c r="I21" s="335">
        <f>Table6[[#This Row],[TOTAL COINS NEW]] + Table6[[#This Row],[COINS IN RUNS PER DAY]]</f>
        <v>187954</v>
      </c>
      <c r="J21" s="333">
        <f>Table6[[#This Row],[CHESTS COINS]] + Table6[[#This Row],[DAILY COINS]]+Table6[[#This Row],[LEAGUES COINS]]+Table6[[#This Row],[MISSIONS COINS]]</f>
        <v>122954</v>
      </c>
      <c r="K21" s="327">
        <f>Table6[[#This Row],[CHESTS GEMS]]+Table6[[#This Row],[DAILY GEMS]]+Table6[[#This Row],[LEAGUES GEMS]]</f>
        <v>3.9299999999999997</v>
      </c>
      <c r="L21" s="345">
        <f>Table6[[#This Row],[CHESTS COINS NEW]] +Table6[[#This Row],[DAILY COINS NEW]] +Table6[[#This Row],[LEAGUES COINS NEW]] +Table6[[#This Row],[MISSIONS COINS NEW]]</f>
        <v>122954</v>
      </c>
      <c r="M21" s="335">
        <f>Table6[[#This Row],[CHESTS GEMS NEW]] +Table6[[#This Row],[DAILY GEMS NEW]] +Table6[[#This Row],[LEAGUES GEMS NEW]]</f>
        <v>4.0999999999999996</v>
      </c>
      <c r="N21" s="340">
        <f>Table6[[#This Row],[COINS PER RUN]] *Table6[[#This Row],[RUNS PER DAY]]</f>
        <v>65000</v>
      </c>
      <c r="O21" s="326">
        <v>56</v>
      </c>
      <c r="P21" s="326">
        <v>30</v>
      </c>
      <c r="Q21" s="277">
        <v>56</v>
      </c>
      <c r="R21" s="324">
        <v>30</v>
      </c>
      <c r="S21" s="330">
        <v>8</v>
      </c>
      <c r="T21" s="350">
        <v>1.5</v>
      </c>
      <c r="U21" s="338">
        <v>1.36</v>
      </c>
      <c r="V21" s="349">
        <v>1.21</v>
      </c>
      <c r="W21" s="301">
        <f>Table6[[#This Row],[CHEST REW. MOD.]]*($D$14+$D$15+$D$16)</f>
        <v>25200</v>
      </c>
      <c r="X21" s="297">
        <f t="shared" si="0"/>
        <v>3</v>
      </c>
      <c r="Y21" s="297">
        <f>ROUND((Table6[[#This Row],[DAILY REW. MOD.]]*($D$24+$D$26+$D$28))/7,0)</f>
        <v>7500</v>
      </c>
      <c r="Z21" s="297">
        <f t="shared" si="1"/>
        <v>0.9</v>
      </c>
      <c r="AA21" s="302">
        <f>ROUND((INDEX(Table12[AVG COINS],MATCH(Table6[[#This Row],[LEAGUE]],Table12[LEAGUE],0))) /$C$37,0)</f>
        <v>9950</v>
      </c>
      <c r="AB21" s="302">
        <f>ROUND((INDEX(Table12[AVG GEMS],MATCH(Table6[[#This Row],[LEAGUE]],Table12[LEAGUE],0))) /$C$36,2)</f>
        <v>0.03</v>
      </c>
      <c r="AC21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303">
        <f>Table6[[#This Row],[CHEST REW. MOD. NEW]]*($D$14+$D$15+$D$16)</f>
        <v>25200</v>
      </c>
      <c r="AE21" s="303">
        <f t="shared" si="2"/>
        <v>3</v>
      </c>
      <c r="AF21" s="303">
        <f>ROUND((Table6[[#This Row],[DAILY REW. MOD. NEW]]*($E$24+$E$26+$E$28))/7,0)</f>
        <v>7500</v>
      </c>
      <c r="AG21" s="303">
        <f t="shared" si="3"/>
        <v>0.9</v>
      </c>
      <c r="AH21" s="303">
        <f>ROUND((INDEX(Table12[AVG COINS NEW],MATCH(Table6[[#This Row],[LEAGUE]],Table12[LEAGUE],0))) /$C$37,0)</f>
        <v>9950</v>
      </c>
      <c r="AI21" s="303">
        <f>ROUND((INDEX(Table12[AVG GEMS NEW],MATCH(Table6[[#This Row],[LEAGUE]],Table12[LEAGUE],0))) / $C$37,2)</f>
        <v>0.2</v>
      </c>
      <c r="AJ21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37">
        <v>65000</v>
      </c>
      <c r="AL21" s="338">
        <v>1</v>
      </c>
    </row>
    <row r="22" spans="2:38" x14ac:dyDescent="0.25">
      <c r="B22" s="369" t="s">
        <v>430</v>
      </c>
      <c r="C22" s="369"/>
      <c r="D22" s="369"/>
      <c r="G22" s="341" t="s">
        <v>144</v>
      </c>
      <c r="H22" s="345">
        <f>Table6[[#This Row],[TOTAL COINS]] +Table6[[#This Row],[COINS IN RUNS PER DAY]]</f>
        <v>221829</v>
      </c>
      <c r="I22" s="335">
        <f>Table6[[#This Row],[TOTAL COINS NEW]] + Table6[[#This Row],[COINS IN RUNS PER DAY]]</f>
        <v>221829</v>
      </c>
      <c r="J22" s="333">
        <f>Table6[[#This Row],[CHESTS COINS]] + Table6[[#This Row],[DAILY COINS]]+Table6[[#This Row],[LEAGUES COINS]]+Table6[[#This Row],[MISSIONS COINS]]</f>
        <v>140829</v>
      </c>
      <c r="K22" s="327">
        <f>Table6[[#This Row],[CHESTS GEMS]]+Table6[[#This Row],[DAILY GEMS]]+Table6[[#This Row],[LEAGUES GEMS]]</f>
        <v>3.9299999999999997</v>
      </c>
      <c r="L22" s="345">
        <f>Table6[[#This Row],[CHESTS COINS NEW]] +Table6[[#This Row],[DAILY COINS NEW]] +Table6[[#This Row],[LEAGUES COINS NEW]] +Table6[[#This Row],[MISSIONS COINS NEW]]</f>
        <v>140829</v>
      </c>
      <c r="M22" s="335">
        <f>Table6[[#This Row],[CHESTS GEMS NEW]] +Table6[[#This Row],[DAILY GEMS NEW]] +Table6[[#This Row],[LEAGUES GEMS NEW]]</f>
        <v>4.0999999999999996</v>
      </c>
      <c r="N22" s="340">
        <f>Table6[[#This Row],[COINS PER RUN]] *Table6[[#This Row],[RUNS PER DAY]]</f>
        <v>81000</v>
      </c>
      <c r="O22" s="326">
        <v>62</v>
      </c>
      <c r="P22" s="326">
        <v>30</v>
      </c>
      <c r="Q22" s="277">
        <v>62</v>
      </c>
      <c r="R22" s="324">
        <v>30</v>
      </c>
      <c r="S22" s="330">
        <v>9</v>
      </c>
      <c r="T22" s="350">
        <v>1.63</v>
      </c>
      <c r="U22" s="338">
        <v>1.45</v>
      </c>
      <c r="V22" s="349">
        <v>1.26</v>
      </c>
      <c r="W22" s="301">
        <f>Table6[[#This Row],[CHEST REW. MOD.]]*($D$14+$D$15+$D$16)</f>
        <v>27900</v>
      </c>
      <c r="X22" s="297">
        <f t="shared" si="0"/>
        <v>3</v>
      </c>
      <c r="Y22" s="297">
        <f>ROUND((Table6[[#This Row],[DAILY REW. MOD.]]*($D$24+$D$26+$D$28))/7,0)</f>
        <v>7500</v>
      </c>
      <c r="Z22" s="297">
        <f t="shared" si="1"/>
        <v>0.9</v>
      </c>
      <c r="AA22" s="302">
        <f>ROUND((INDEX(Table12[AVG COINS],MATCH(Table6[[#This Row],[LEAGUE]],Table12[LEAGUE],0))) /$C$37,0)</f>
        <v>11375</v>
      </c>
      <c r="AB22" s="302">
        <f>ROUND((INDEX(Table12[AVG GEMS],MATCH(Table6[[#This Row],[LEAGUE]],Table12[LEAGUE],0))) /$C$36,2)</f>
        <v>0.03</v>
      </c>
      <c r="AC22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303">
        <f>Table6[[#This Row],[CHEST REW. MOD. NEW]]*($D$14+$D$15+$D$16)</f>
        <v>27900</v>
      </c>
      <c r="AE22" s="303">
        <f t="shared" si="2"/>
        <v>3</v>
      </c>
      <c r="AF22" s="303">
        <f>ROUND((Table6[[#This Row],[DAILY REW. MOD. NEW]]*($E$24+$E$26+$E$28))/7,0)</f>
        <v>7500</v>
      </c>
      <c r="AG22" s="303">
        <f t="shared" si="3"/>
        <v>0.9</v>
      </c>
      <c r="AH22" s="303">
        <f>ROUND((INDEX(Table12[AVG COINS NEW],MATCH(Table6[[#This Row],[LEAGUE]],Table12[LEAGUE],0))) /$C$37,0)</f>
        <v>11375</v>
      </c>
      <c r="AI22" s="303">
        <f>ROUND((INDEX(Table12[AVG GEMS NEW],MATCH(Table6[[#This Row],[LEAGUE]],Table12[LEAGUE],0))) / $C$37,2)</f>
        <v>0.2</v>
      </c>
      <c r="AJ22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37">
        <v>81000</v>
      </c>
      <c r="AL22" s="338">
        <v>1</v>
      </c>
    </row>
    <row r="23" spans="2:38" x14ac:dyDescent="0.25">
      <c r="B23" s="280" t="s">
        <v>428</v>
      </c>
      <c r="C23" s="280" t="s">
        <v>419</v>
      </c>
      <c r="D23" s="312" t="s">
        <v>420</v>
      </c>
      <c r="E23" s="314" t="s">
        <v>461</v>
      </c>
      <c r="G23" s="341" t="s">
        <v>100</v>
      </c>
      <c r="H23" s="345">
        <f>Table6[[#This Row],[TOTAL COINS]] +Table6[[#This Row],[COINS IN RUNS PER DAY]]</f>
        <v>226760</v>
      </c>
      <c r="I23" s="335">
        <f>Table6[[#This Row],[TOTAL COINS NEW]] + Table6[[#This Row],[COINS IN RUNS PER DAY]]</f>
        <v>226760</v>
      </c>
      <c r="J23" s="333">
        <f>Table6[[#This Row],[CHESTS COINS]] + Table6[[#This Row],[DAILY COINS]]+Table6[[#This Row],[LEAGUES COINS]]+Table6[[#This Row],[MISSIONS COINS]]</f>
        <v>148760</v>
      </c>
      <c r="K23" s="327">
        <f>Table6[[#This Row],[CHESTS GEMS]]+Table6[[#This Row],[DAILY GEMS]]+Table6[[#This Row],[LEAGUES GEMS]]</f>
        <v>3.9299999999999997</v>
      </c>
      <c r="L23" s="345">
        <f>Table6[[#This Row],[CHESTS COINS NEW]] +Table6[[#This Row],[DAILY COINS NEW]] +Table6[[#This Row],[LEAGUES COINS NEW]] +Table6[[#This Row],[MISSIONS COINS NEW]]</f>
        <v>148760</v>
      </c>
      <c r="M23" s="335">
        <f>Table6[[#This Row],[CHESTS GEMS NEW]] +Table6[[#This Row],[DAILY GEMS NEW]] +Table6[[#This Row],[LEAGUES GEMS NEW]]</f>
        <v>4.0999999999999996</v>
      </c>
      <c r="N23" s="340">
        <f>Table6[[#This Row],[COINS PER RUN]] *Table6[[#This Row],[RUNS PER DAY]]</f>
        <v>78000</v>
      </c>
      <c r="O23" s="326">
        <v>65</v>
      </c>
      <c r="P23" s="326">
        <v>35</v>
      </c>
      <c r="Q23" s="277">
        <v>65</v>
      </c>
      <c r="R23" s="324">
        <v>35</v>
      </c>
      <c r="S23" s="330">
        <v>9</v>
      </c>
      <c r="T23" s="350">
        <v>1.66</v>
      </c>
      <c r="U23" s="338">
        <v>1.47</v>
      </c>
      <c r="V23" s="349">
        <v>1.26</v>
      </c>
      <c r="W23" s="301">
        <f>Table6[[#This Row],[CHEST REW. MOD.]]*($D$14+$D$15+$D$16)</f>
        <v>29250</v>
      </c>
      <c r="X23" s="297">
        <f t="shared" si="0"/>
        <v>3</v>
      </c>
      <c r="Y23" s="297">
        <f>ROUND((Table6[[#This Row],[DAILY REW. MOD.]]*($D$24+$D$26+$D$28))/7,0)</f>
        <v>8750</v>
      </c>
      <c r="Z23" s="297">
        <f t="shared" si="1"/>
        <v>0.9</v>
      </c>
      <c r="AA23" s="302">
        <f>ROUND((INDEX(Table12[AVG COINS],MATCH(Table6[[#This Row],[LEAGUE]],Table12[LEAGUE],0))) /$C$37,0)</f>
        <v>11375</v>
      </c>
      <c r="AB23" s="302">
        <f>ROUND((INDEX(Table12[AVG GEMS],MATCH(Table6[[#This Row],[LEAGUE]],Table12[LEAGUE],0))) /$C$36,2)</f>
        <v>0.03</v>
      </c>
      <c r="AC23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303">
        <f>Table6[[#This Row],[CHEST REW. MOD. NEW]]*($D$14+$D$15+$D$16)</f>
        <v>29250</v>
      </c>
      <c r="AE23" s="303">
        <f t="shared" si="2"/>
        <v>3</v>
      </c>
      <c r="AF23" s="303">
        <f>ROUND((Table6[[#This Row],[DAILY REW. MOD. NEW]]*($E$24+$E$26+$E$28))/7,0)</f>
        <v>8750</v>
      </c>
      <c r="AG23" s="303">
        <f t="shared" si="3"/>
        <v>0.9</v>
      </c>
      <c r="AH23" s="303">
        <f>ROUND((INDEX(Table12[AVG COINS NEW],MATCH(Table6[[#This Row],[LEAGUE]],Table12[LEAGUE],0))) /$C$37,0)</f>
        <v>11375</v>
      </c>
      <c r="AI23" s="303">
        <f>ROUND((INDEX(Table12[AVG GEMS NEW],MATCH(Table6[[#This Row],[LEAGUE]],Table12[LEAGUE],0))) / $C$37,2)</f>
        <v>0.2</v>
      </c>
      <c r="AJ23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37">
        <v>78000</v>
      </c>
      <c r="AL23" s="338">
        <v>1</v>
      </c>
    </row>
    <row r="24" spans="2:38" x14ac:dyDescent="0.25">
      <c r="B24" s="269">
        <v>1</v>
      </c>
      <c r="C24" s="288" t="s">
        <v>424</v>
      </c>
      <c r="D24" s="308">
        <v>250</v>
      </c>
      <c r="E24" s="315">
        <v>250</v>
      </c>
      <c r="G24" s="341" t="s">
        <v>101</v>
      </c>
      <c r="H24" s="345">
        <f>Table6[[#This Row],[TOTAL COINS]] +Table6[[#This Row],[COINS IN RUNS PER DAY]]</f>
        <v>243035</v>
      </c>
      <c r="I24" s="335">
        <f>Table6[[#This Row],[TOTAL COINS NEW]] + Table6[[#This Row],[COINS IN RUNS PER DAY]]</f>
        <v>243035</v>
      </c>
      <c r="J24" s="333">
        <f>Table6[[#This Row],[CHESTS COINS]] + Table6[[#This Row],[DAILY COINS]]+Table6[[#This Row],[LEAGUES COINS]]+Table6[[#This Row],[MISSIONS COINS]]</f>
        <v>156035</v>
      </c>
      <c r="K24" s="327">
        <f>Table6[[#This Row],[CHESTS GEMS]]+Table6[[#This Row],[DAILY GEMS]]+Table6[[#This Row],[LEAGUES GEMS]]</f>
        <v>3.96</v>
      </c>
      <c r="L24" s="345">
        <f>Table6[[#This Row],[CHESTS COINS NEW]] +Table6[[#This Row],[DAILY COINS NEW]] +Table6[[#This Row],[LEAGUES COINS NEW]] +Table6[[#This Row],[MISSIONS COINS NEW]]</f>
        <v>156035</v>
      </c>
      <c r="M24" s="335">
        <f>Table6[[#This Row],[CHESTS GEMS NEW]] +Table6[[#This Row],[DAILY GEMS NEW]] +Table6[[#This Row],[LEAGUES GEMS NEW]]</f>
        <v>4.3</v>
      </c>
      <c r="N24" s="340">
        <f>Table6[[#This Row],[COINS PER RUN]] *Table6[[#This Row],[RUNS PER DAY]]</f>
        <v>87000</v>
      </c>
      <c r="O24" s="326">
        <v>70</v>
      </c>
      <c r="P24" s="326">
        <v>35</v>
      </c>
      <c r="Q24" s="277">
        <v>70</v>
      </c>
      <c r="R24" s="324">
        <v>35</v>
      </c>
      <c r="S24" s="330">
        <v>10</v>
      </c>
      <c r="T24" s="350">
        <v>1.57</v>
      </c>
      <c r="U24" s="338">
        <v>1.4</v>
      </c>
      <c r="V24" s="349">
        <v>1.24</v>
      </c>
      <c r="W24" s="301">
        <f>Table6[[#This Row],[CHEST REW. MOD.]]*($D$14+$D$15+$D$16)</f>
        <v>31500</v>
      </c>
      <c r="X24" s="297">
        <f t="shared" si="0"/>
        <v>3</v>
      </c>
      <c r="Y24" s="297">
        <f>ROUND((Table6[[#This Row],[DAILY REW. MOD.]]*($D$24+$D$26+$D$28))/7,0)</f>
        <v>8750</v>
      </c>
      <c r="Z24" s="297">
        <f t="shared" si="1"/>
        <v>0.9</v>
      </c>
      <c r="AA24" s="302">
        <f>ROUND((INDEX(Table12[AVG COINS],MATCH(Table6[[#This Row],[LEAGUE]],Table12[LEAGUE],0))) /$C$37,0)</f>
        <v>12325</v>
      </c>
      <c r="AB24" s="302">
        <f>ROUND((INDEX(Table12[AVG GEMS],MATCH(Table6[[#This Row],[LEAGUE]],Table12[LEAGUE],0))) /$C$36,2)</f>
        <v>0.06</v>
      </c>
      <c r="AC24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303">
        <f>Table6[[#This Row],[CHEST REW. MOD. NEW]]*($D$14+$D$15+$D$16)</f>
        <v>31500</v>
      </c>
      <c r="AE24" s="303">
        <f t="shared" si="2"/>
        <v>3</v>
      </c>
      <c r="AF24" s="303">
        <f>ROUND((Table6[[#This Row],[DAILY REW. MOD. NEW]]*($E$24+$E$26+$E$28))/7,0)</f>
        <v>8750</v>
      </c>
      <c r="AG24" s="303">
        <f t="shared" si="3"/>
        <v>0.9</v>
      </c>
      <c r="AH24" s="303">
        <f>ROUND((INDEX(Table12[AVG COINS NEW],MATCH(Table6[[#This Row],[LEAGUE]],Table12[LEAGUE],0))) /$C$37,0)</f>
        <v>12325</v>
      </c>
      <c r="AI24" s="303">
        <f>ROUND((INDEX(Table12[AVG GEMS NEW],MATCH(Table6[[#This Row],[LEAGUE]],Table12[LEAGUE],0))) / $C$37,2)</f>
        <v>0.4</v>
      </c>
      <c r="AJ24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37">
        <v>87000</v>
      </c>
      <c r="AL24" s="338">
        <v>1</v>
      </c>
    </row>
    <row r="25" spans="2:38" x14ac:dyDescent="0.25">
      <c r="B25" s="267">
        <v>2</v>
      </c>
      <c r="C25" s="288" t="s">
        <v>425</v>
      </c>
      <c r="D25" s="308">
        <v>1</v>
      </c>
      <c r="E25" s="316">
        <v>1</v>
      </c>
      <c r="G25" s="341" t="s">
        <v>145</v>
      </c>
      <c r="H25" s="345">
        <f>Table6[[#This Row],[TOTAL COINS]] +Table6[[#This Row],[COINS IN RUNS PER DAY]]</f>
        <v>233315</v>
      </c>
      <c r="I25" s="335">
        <f>Table6[[#This Row],[TOTAL COINS NEW]] + Table6[[#This Row],[COINS IN RUNS PER DAY]]</f>
        <v>233315</v>
      </c>
      <c r="J25" s="333">
        <f>Table6[[#This Row],[CHESTS COINS]] + Table6[[#This Row],[DAILY COINS]]+Table6[[#This Row],[LEAGUES COINS]]+Table6[[#This Row],[MISSIONS COINS]]</f>
        <v>148315</v>
      </c>
      <c r="K25" s="327">
        <f>Table6[[#This Row],[CHESTS GEMS]]+Table6[[#This Row],[DAILY GEMS]]+Table6[[#This Row],[LEAGUES GEMS]]</f>
        <v>3.96</v>
      </c>
      <c r="L25" s="345">
        <f>Table6[[#This Row],[CHESTS COINS NEW]] +Table6[[#This Row],[DAILY COINS NEW]] +Table6[[#This Row],[LEAGUES COINS NEW]] +Table6[[#This Row],[MISSIONS COINS NEW]]</f>
        <v>148315</v>
      </c>
      <c r="M25" s="335">
        <f>Table6[[#This Row],[CHESTS GEMS NEW]] +Table6[[#This Row],[DAILY GEMS NEW]] +Table6[[#This Row],[LEAGUES GEMS NEW]]</f>
        <v>4.3</v>
      </c>
      <c r="N25" s="340">
        <f>Table6[[#This Row],[COINS PER RUN]] *Table6[[#This Row],[RUNS PER DAY]]</f>
        <v>85000</v>
      </c>
      <c r="O25" s="326">
        <v>70</v>
      </c>
      <c r="P25" s="326">
        <v>38</v>
      </c>
      <c r="Q25" s="277">
        <v>70</v>
      </c>
      <c r="R25" s="324">
        <v>38</v>
      </c>
      <c r="S25" s="330">
        <v>10</v>
      </c>
      <c r="T25" s="350">
        <v>1.37</v>
      </c>
      <c r="U25" s="338">
        <v>1.27</v>
      </c>
      <c r="V25" s="349">
        <v>1.17</v>
      </c>
      <c r="W25" s="301">
        <f>Table6[[#This Row],[CHEST REW. MOD.]]*($D$14+$D$15+$D$16)</f>
        <v>31500</v>
      </c>
      <c r="X25" s="297">
        <f t="shared" si="0"/>
        <v>3</v>
      </c>
      <c r="Y25" s="297">
        <f>ROUND((Table6[[#This Row],[DAILY REW. MOD.]]*($D$24+$D$26+$D$28))/7,0)</f>
        <v>9500</v>
      </c>
      <c r="Z25" s="297">
        <f t="shared" si="1"/>
        <v>0.9</v>
      </c>
      <c r="AA25" s="302">
        <f>ROUND((INDEX(Table12[AVG COINS],MATCH(Table6[[#This Row],[LEAGUE]],Table12[LEAGUE],0))) /$C$37,0)</f>
        <v>12325</v>
      </c>
      <c r="AB25" s="302">
        <f>ROUND((INDEX(Table12[AVG GEMS],MATCH(Table6[[#This Row],[LEAGUE]],Table12[LEAGUE],0))) /$C$36,2)</f>
        <v>0.06</v>
      </c>
      <c r="AC25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303">
        <f>Table6[[#This Row],[CHEST REW. MOD. NEW]]*($D$14+$D$15+$D$16)</f>
        <v>31500</v>
      </c>
      <c r="AE25" s="303">
        <f t="shared" si="2"/>
        <v>3</v>
      </c>
      <c r="AF25" s="303">
        <f>ROUND((Table6[[#This Row],[DAILY REW. MOD. NEW]]*($E$24+$E$26+$E$28))/7,0)</f>
        <v>9500</v>
      </c>
      <c r="AG25" s="303">
        <f t="shared" si="3"/>
        <v>0.9</v>
      </c>
      <c r="AH25" s="303">
        <f>ROUND((INDEX(Table12[AVG COINS NEW],MATCH(Table6[[#This Row],[LEAGUE]],Table12[LEAGUE],0))) /$C$37,0)</f>
        <v>12325</v>
      </c>
      <c r="AI25" s="303">
        <f>ROUND((INDEX(Table12[AVG GEMS NEW],MATCH(Table6[[#This Row],[LEAGUE]],Table12[LEAGUE],0))) / $C$37,2)</f>
        <v>0.4</v>
      </c>
      <c r="AJ25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37">
        <v>85000</v>
      </c>
      <c r="AL25" s="338">
        <v>1</v>
      </c>
    </row>
    <row r="26" spans="2:38" x14ac:dyDescent="0.25">
      <c r="B26" s="267">
        <v>3</v>
      </c>
      <c r="C26" s="288" t="s">
        <v>424</v>
      </c>
      <c r="D26" s="308">
        <v>500</v>
      </c>
      <c r="E26" s="316">
        <v>500</v>
      </c>
      <c r="G26" s="343" t="s">
        <v>218</v>
      </c>
      <c r="H26" s="345">
        <f>Table6[[#This Row],[TOTAL COINS]] +Table6[[#This Row],[COINS IN RUNS PER DAY]]</f>
        <v>277865</v>
      </c>
      <c r="I26" s="335">
        <f>Table6[[#This Row],[TOTAL COINS NEW]] + Table6[[#This Row],[COINS IN RUNS PER DAY]]</f>
        <v>277865</v>
      </c>
      <c r="J26" s="333">
        <f>Table6[[#This Row],[CHESTS COINS]] + Table6[[#This Row],[DAILY COINS]]+Table6[[#This Row],[LEAGUES COINS]]+Table6[[#This Row],[MISSIONS COINS]]</f>
        <v>152865</v>
      </c>
      <c r="K26" s="327">
        <f>Table6[[#This Row],[CHESTS GEMS]]+Table6[[#This Row],[DAILY GEMS]]+Table6[[#This Row],[LEAGUES GEMS]]</f>
        <v>3.96</v>
      </c>
      <c r="L26" s="345">
        <f>Table6[[#This Row],[CHESTS COINS NEW]] +Table6[[#This Row],[DAILY COINS NEW]] +Table6[[#This Row],[LEAGUES COINS NEW]] +Table6[[#This Row],[MISSIONS COINS NEW]]</f>
        <v>152865</v>
      </c>
      <c r="M26" s="335">
        <f>Table6[[#This Row],[CHESTS GEMS NEW]] +Table6[[#This Row],[DAILY GEMS NEW]] +Table6[[#This Row],[LEAGUES GEMS NEW]]</f>
        <v>4.3</v>
      </c>
      <c r="N26" s="340">
        <f>Table6[[#This Row],[COINS PER RUN]] *Table6[[#This Row],[RUNS PER DAY]]</f>
        <v>125000</v>
      </c>
      <c r="O26" s="326">
        <v>70</v>
      </c>
      <c r="P26" s="326">
        <v>38</v>
      </c>
      <c r="Q26" s="277">
        <v>70</v>
      </c>
      <c r="R26" s="324">
        <v>38</v>
      </c>
      <c r="S26" s="330">
        <v>10</v>
      </c>
      <c r="T26" s="350">
        <v>1.47</v>
      </c>
      <c r="U26" s="338">
        <v>1.34</v>
      </c>
      <c r="V26" s="349">
        <v>1.21</v>
      </c>
      <c r="W26" s="301">
        <f>Table6[[#This Row],[CHEST REW. MOD.]]*($D$14+$D$15+$D$16)</f>
        <v>31500</v>
      </c>
      <c r="X26" s="297">
        <f t="shared" si="0"/>
        <v>3</v>
      </c>
      <c r="Y26" s="297">
        <f>ROUND((Table6[[#This Row],[DAILY REW. MOD.]]*($D$24+$D$26+$D$28))/7,0)</f>
        <v>9500</v>
      </c>
      <c r="Z26" s="297">
        <f t="shared" si="1"/>
        <v>0.9</v>
      </c>
      <c r="AA26" s="302">
        <f>ROUND((INDEX(Table12[AVG COINS],MATCH(Table6[[#This Row],[LEAGUE]],Table12[LEAGUE],0))) /$C$37,0)</f>
        <v>12325</v>
      </c>
      <c r="AB26" s="302">
        <f>ROUND((INDEX(Table12[AVG GEMS],MATCH(Table6[[#This Row],[LEAGUE]],Table12[LEAGUE],0))) /$C$36,2)</f>
        <v>0.06</v>
      </c>
      <c r="AC26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303">
        <f>Table6[[#This Row],[CHEST REW. MOD. NEW]]*($D$14+$D$15+$D$16)</f>
        <v>31500</v>
      </c>
      <c r="AE26" s="303">
        <f t="shared" si="2"/>
        <v>3</v>
      </c>
      <c r="AF26" s="303">
        <f>ROUND((Table6[[#This Row],[DAILY REW. MOD. NEW]]*($E$24+$E$26+$E$28))/7,0)</f>
        <v>9500</v>
      </c>
      <c r="AG26" s="303">
        <f t="shared" si="3"/>
        <v>0.9</v>
      </c>
      <c r="AH26" s="303">
        <f>ROUND((INDEX(Table12[AVG COINS NEW],MATCH(Table6[[#This Row],[LEAGUE]],Table12[LEAGUE],0))) /$C$37,0)</f>
        <v>12325</v>
      </c>
      <c r="AI26" s="303">
        <f>ROUND((INDEX(Table12[AVG GEMS NEW],MATCH(Table6[[#This Row],[LEAGUE]],Table12[LEAGUE],0))) / $C$37,2)</f>
        <v>0.4</v>
      </c>
      <c r="AJ26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37">
        <v>125000</v>
      </c>
      <c r="AL26" s="338">
        <v>1</v>
      </c>
    </row>
    <row r="27" spans="2:38" x14ac:dyDescent="0.25">
      <c r="B27" s="267">
        <v>4</v>
      </c>
      <c r="C27" s="288" t="s">
        <v>425</v>
      </c>
      <c r="D27" s="308">
        <v>2</v>
      </c>
      <c r="E27" s="316">
        <v>2</v>
      </c>
      <c r="G27" s="341" t="s">
        <v>506</v>
      </c>
      <c r="H27" s="345">
        <f>Table6[[#This Row],[TOTAL COINS]] +Table6[[#This Row],[COINS IN RUNS PER DAY]]</f>
        <v>130325</v>
      </c>
      <c r="I27" s="335">
        <f>Table6[[#This Row],[TOTAL COINS NEW]] + Table6[[#This Row],[COINS IN RUNS PER DAY]]</f>
        <v>130325</v>
      </c>
      <c r="J27" s="333">
        <f>Table6[[#This Row],[CHESTS COINS]] + Table6[[#This Row],[DAILY COINS]]+Table6[[#This Row],[LEAGUES COINS]]+Table6[[#This Row],[MISSIONS COINS]]</f>
        <v>130325</v>
      </c>
      <c r="K27" s="327">
        <f>Table6[[#This Row],[CHESTS GEMS]]+Table6[[#This Row],[DAILY GEMS]]+Table6[[#This Row],[LEAGUES GEMS]]</f>
        <v>3.96</v>
      </c>
      <c r="L27" s="345">
        <f>Table6[[#This Row],[CHESTS COINS NEW]] +Table6[[#This Row],[DAILY COINS NEW]] +Table6[[#This Row],[LEAGUES COINS NEW]] +Table6[[#This Row],[MISSIONS COINS NEW]]</f>
        <v>130325</v>
      </c>
      <c r="M27" s="335">
        <f>Table6[[#This Row],[CHESTS GEMS NEW]] +Table6[[#This Row],[DAILY GEMS NEW]] +Table6[[#This Row],[LEAGUES GEMS NEW]]</f>
        <v>4.3</v>
      </c>
      <c r="N27" s="340">
        <f>Table6[[#This Row],[COINS PER RUN]] *Table6[[#This Row],[RUNS PER DAY]]</f>
        <v>0</v>
      </c>
      <c r="O27" s="326">
        <v>70</v>
      </c>
      <c r="P27" s="326">
        <v>38</v>
      </c>
      <c r="Q27" s="277">
        <v>70</v>
      </c>
      <c r="R27" s="324">
        <v>38</v>
      </c>
      <c r="S27" s="330">
        <v>10</v>
      </c>
      <c r="T27" s="350">
        <v>1</v>
      </c>
      <c r="U27" s="338">
        <v>1</v>
      </c>
      <c r="V27" s="349">
        <v>1</v>
      </c>
      <c r="W27" s="301">
        <f>Table6[[#This Row],[CHEST REW. MOD.]]*($D$14+$D$15+$D$16)</f>
        <v>31500</v>
      </c>
      <c r="X27" s="297">
        <f t="shared" si="0"/>
        <v>3</v>
      </c>
      <c r="Y27" s="297">
        <f>ROUND((Table6[[#This Row],[DAILY REW. MOD.]]*($D$24+$D$26+$D$28))/7,0)</f>
        <v>9500</v>
      </c>
      <c r="Z27" s="297">
        <f t="shared" si="1"/>
        <v>0.9</v>
      </c>
      <c r="AA27" s="302">
        <f>ROUND((INDEX(Table12[AVG COINS],MATCH(Table6[[#This Row],[LEAGUE]],Table12[LEAGUE],0))) /$C$37,0)</f>
        <v>12325</v>
      </c>
      <c r="AB27" s="302">
        <f>ROUND((INDEX(Table12[AVG GEMS],MATCH(Table6[[#This Row],[LEAGUE]],Table12[LEAGUE],0))) /$C$36,2)</f>
        <v>0.06</v>
      </c>
      <c r="AC27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303">
        <f>Table6[[#This Row],[CHEST REW. MOD. NEW]]*($D$14+$D$15+$D$16)</f>
        <v>31500</v>
      </c>
      <c r="AE27" s="303">
        <f t="shared" si="2"/>
        <v>3</v>
      </c>
      <c r="AF27" s="303">
        <f>ROUND((Table6[[#This Row],[DAILY REW. MOD. NEW]]*($E$24+$E$26+$E$28))/7,0)</f>
        <v>9500</v>
      </c>
      <c r="AG27" s="303">
        <f t="shared" si="3"/>
        <v>0.9</v>
      </c>
      <c r="AH27" s="303">
        <f>ROUND((INDEX(Table12[AVG COINS NEW],MATCH(Table6[[#This Row],[LEAGUE]],Table12[LEAGUE],0))) /$C$37,0)</f>
        <v>12325</v>
      </c>
      <c r="AI27" s="303">
        <f>ROUND((INDEX(Table12[AVG GEMS NEW],MATCH(Table6[[#This Row],[LEAGUE]],Table12[LEAGUE],0))) / $C$37,2)</f>
        <v>0.4</v>
      </c>
      <c r="AJ27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37">
        <v>1</v>
      </c>
      <c r="AL27" s="338">
        <v>0</v>
      </c>
    </row>
    <row r="28" spans="2:38" x14ac:dyDescent="0.25">
      <c r="B28" s="267">
        <v>5</v>
      </c>
      <c r="C28" s="288" t="s">
        <v>424</v>
      </c>
      <c r="D28" s="308">
        <v>1000</v>
      </c>
      <c r="E28" s="316">
        <v>1000</v>
      </c>
      <c r="G28" s="341" t="s">
        <v>407</v>
      </c>
      <c r="H28" s="345">
        <f>Table6[[#This Row],[TOTAL COINS]] +Table6[[#This Row],[COINS IN RUNS PER DAY]]</f>
        <v>138575</v>
      </c>
      <c r="I28" s="335">
        <f>Table6[[#This Row],[TOTAL COINS NEW]] + Table6[[#This Row],[COINS IN RUNS PER DAY]]</f>
        <v>138575</v>
      </c>
      <c r="J28" s="333">
        <f>Table6[[#This Row],[CHESTS COINS]] + Table6[[#This Row],[DAILY COINS]]+Table6[[#This Row],[LEAGUES COINS]]+Table6[[#This Row],[MISSIONS COINS]]</f>
        <v>138575</v>
      </c>
      <c r="K28" s="327">
        <f>Table6[[#This Row],[CHESTS GEMS]]+Table6[[#This Row],[DAILY GEMS]]+Table6[[#This Row],[LEAGUES GEMS]]</f>
        <v>3.96</v>
      </c>
      <c r="L28" s="345">
        <f>Table6[[#This Row],[CHESTS COINS NEW]] +Table6[[#This Row],[DAILY COINS NEW]] +Table6[[#This Row],[LEAGUES COINS NEW]] +Table6[[#This Row],[MISSIONS COINS NEW]]</f>
        <v>138575</v>
      </c>
      <c r="M28" s="335">
        <f>Table6[[#This Row],[CHESTS GEMS NEW]] +Table6[[#This Row],[DAILY GEMS NEW]] +Table6[[#This Row],[LEAGUES GEMS NEW]]</f>
        <v>4.3</v>
      </c>
      <c r="N28" s="340">
        <f>Table6[[#This Row],[COINS PER RUN]] *Table6[[#This Row],[RUNS PER DAY]]</f>
        <v>0</v>
      </c>
      <c r="O28" s="326">
        <v>75</v>
      </c>
      <c r="P28" s="326">
        <v>40</v>
      </c>
      <c r="Q28" s="277">
        <v>75</v>
      </c>
      <c r="R28" s="324">
        <v>40</v>
      </c>
      <c r="S28" s="330">
        <v>10</v>
      </c>
      <c r="T28" s="350">
        <v>1</v>
      </c>
      <c r="U28" s="338">
        <v>1</v>
      </c>
      <c r="V28" s="349">
        <v>1</v>
      </c>
      <c r="W28" s="301">
        <f>Table6[[#This Row],[CHEST REW. MOD.]]*($D$14+$D$15+$D$16)</f>
        <v>33750</v>
      </c>
      <c r="X28" s="297">
        <f t="shared" si="0"/>
        <v>3</v>
      </c>
      <c r="Y28" s="297">
        <f>ROUND((Table6[[#This Row],[DAILY REW. MOD.]]*($D$24+$D$26+$D$28))/7,0)</f>
        <v>10000</v>
      </c>
      <c r="Z28" s="297">
        <f t="shared" si="1"/>
        <v>0.9</v>
      </c>
      <c r="AA28" s="302">
        <f>ROUND((INDEX(Table12[AVG COINS],MATCH(Table6[[#This Row],[LEAGUE]],Table12[LEAGUE],0))) /$C$37,0)</f>
        <v>12325</v>
      </c>
      <c r="AB28" s="302">
        <f>ROUND((INDEX(Table12[AVG GEMS],MATCH(Table6[[#This Row],[LEAGUE]],Table12[LEAGUE],0))) /$C$36,2)</f>
        <v>0.06</v>
      </c>
      <c r="AC28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303">
        <f>Table6[[#This Row],[CHEST REW. MOD. NEW]]*($D$14+$D$15+$D$16)</f>
        <v>33750</v>
      </c>
      <c r="AE28" s="303">
        <f t="shared" si="2"/>
        <v>3</v>
      </c>
      <c r="AF28" s="303">
        <f>ROUND((Table6[[#This Row],[DAILY REW. MOD. NEW]]*($E$24+$E$26+$E$28))/7,0)</f>
        <v>10000</v>
      </c>
      <c r="AG28" s="303">
        <f t="shared" si="3"/>
        <v>0.9</v>
      </c>
      <c r="AH28" s="303">
        <f>ROUND((INDEX(Table12[AVG COINS NEW],MATCH(Table6[[#This Row],[LEAGUE]],Table12[LEAGUE],0))) /$C$37,0)</f>
        <v>12325</v>
      </c>
      <c r="AI28" s="303">
        <f>ROUND((INDEX(Table12[AVG GEMS NEW],MATCH(Table6[[#This Row],[LEAGUE]],Table12[LEAGUE],0))) / $C$37,2)</f>
        <v>0.4</v>
      </c>
      <c r="AJ28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37">
        <v>1</v>
      </c>
      <c r="AL28" s="338">
        <v>0</v>
      </c>
    </row>
    <row r="29" spans="2:38" x14ac:dyDescent="0.25">
      <c r="B29" s="267">
        <v>6</v>
      </c>
      <c r="C29" s="288" t="s">
        <v>425</v>
      </c>
      <c r="D29" s="308">
        <v>3</v>
      </c>
      <c r="E29" s="316">
        <v>3</v>
      </c>
      <c r="G29" s="341" t="s">
        <v>408</v>
      </c>
      <c r="H29" s="345">
        <f>Table6[[#This Row],[TOTAL COINS]] +Table6[[#This Row],[COINS IN RUNS PER DAY]]</f>
        <v>138575</v>
      </c>
      <c r="I29" s="335">
        <f>Table6[[#This Row],[TOTAL COINS NEW]] + Table6[[#This Row],[COINS IN RUNS PER DAY]]</f>
        <v>138575</v>
      </c>
      <c r="J29" s="333">
        <f>Table6[[#This Row],[CHESTS COINS]] + Table6[[#This Row],[DAILY COINS]]+Table6[[#This Row],[LEAGUES COINS]]+Table6[[#This Row],[MISSIONS COINS]]</f>
        <v>138575</v>
      </c>
      <c r="K29" s="327">
        <f>Table6[[#This Row],[CHESTS GEMS]]+Table6[[#This Row],[DAILY GEMS]]+Table6[[#This Row],[LEAGUES GEMS]]</f>
        <v>3.96</v>
      </c>
      <c r="L29" s="345">
        <f>Table6[[#This Row],[CHESTS COINS NEW]] +Table6[[#This Row],[DAILY COINS NEW]] +Table6[[#This Row],[LEAGUES COINS NEW]] +Table6[[#This Row],[MISSIONS COINS NEW]]</f>
        <v>138575</v>
      </c>
      <c r="M29" s="335">
        <f>Table6[[#This Row],[CHESTS GEMS NEW]] +Table6[[#This Row],[DAILY GEMS NEW]] +Table6[[#This Row],[LEAGUES GEMS NEW]]</f>
        <v>4.3</v>
      </c>
      <c r="N29" s="340">
        <f>Table6[[#This Row],[COINS PER RUN]] *Table6[[#This Row],[RUNS PER DAY]]</f>
        <v>0</v>
      </c>
      <c r="O29" s="326">
        <v>75</v>
      </c>
      <c r="P29" s="326">
        <v>40</v>
      </c>
      <c r="Q29" s="277">
        <v>75</v>
      </c>
      <c r="R29" s="324">
        <v>40</v>
      </c>
      <c r="S29" s="330">
        <v>10</v>
      </c>
      <c r="T29" s="350">
        <v>1</v>
      </c>
      <c r="U29" s="338">
        <v>1</v>
      </c>
      <c r="V29" s="349">
        <v>1</v>
      </c>
      <c r="W29" s="301">
        <f>Table6[[#This Row],[CHEST REW. MOD.]]*($D$14+$D$15+$D$16)</f>
        <v>33750</v>
      </c>
      <c r="X29" s="297">
        <f t="shared" si="0"/>
        <v>3</v>
      </c>
      <c r="Y29" s="297">
        <f>ROUND((Table6[[#This Row],[DAILY REW. MOD.]]*($D$24+$D$26+$D$28))/7,0)</f>
        <v>10000</v>
      </c>
      <c r="Z29" s="297">
        <f t="shared" si="1"/>
        <v>0.9</v>
      </c>
      <c r="AA29" s="302">
        <f>ROUND((INDEX(Table12[AVG COINS],MATCH(Table6[[#This Row],[LEAGUE]],Table12[LEAGUE],0))) /$C$37,0)</f>
        <v>12325</v>
      </c>
      <c r="AB29" s="302">
        <f>ROUND((INDEX(Table12[AVG GEMS],MATCH(Table6[[#This Row],[LEAGUE]],Table12[LEAGUE],0))) /$C$36,2)</f>
        <v>0.06</v>
      </c>
      <c r="AC29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303">
        <f>Table6[[#This Row],[CHEST REW. MOD. NEW]]*($D$14+$D$15+$D$16)</f>
        <v>33750</v>
      </c>
      <c r="AE29" s="303">
        <f t="shared" si="2"/>
        <v>3</v>
      </c>
      <c r="AF29" s="303">
        <f>ROUND((Table6[[#This Row],[DAILY REW. MOD. NEW]]*($E$24+$E$26+$E$28))/7,0)</f>
        <v>10000</v>
      </c>
      <c r="AG29" s="303">
        <f t="shared" si="3"/>
        <v>0.9</v>
      </c>
      <c r="AH29" s="303">
        <f>ROUND((INDEX(Table12[AVG COINS NEW],MATCH(Table6[[#This Row],[LEAGUE]],Table12[LEAGUE],0))) /$C$37,0)</f>
        <v>12325</v>
      </c>
      <c r="AI29" s="303">
        <f>ROUND((INDEX(Table12[AVG GEMS NEW],MATCH(Table6[[#This Row],[LEAGUE]],Table12[LEAGUE],0))) / $C$37,2)</f>
        <v>0.4</v>
      </c>
      <c r="AJ29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37">
        <v>1</v>
      </c>
      <c r="AL29" s="338">
        <v>0</v>
      </c>
    </row>
    <row r="30" spans="2:38" x14ac:dyDescent="0.25">
      <c r="B30" s="267">
        <v>7</v>
      </c>
      <c r="C30" s="288" t="s">
        <v>426</v>
      </c>
      <c r="D30" s="308">
        <v>1</v>
      </c>
      <c r="E30" s="316">
        <v>1</v>
      </c>
      <c r="G30" s="341" t="s">
        <v>409</v>
      </c>
      <c r="H30" s="345">
        <f>Table6[[#This Row],[TOTAL COINS]] +Table6[[#This Row],[COINS IN RUNS PER DAY]]</f>
        <v>138575</v>
      </c>
      <c r="I30" s="335">
        <f>Table6[[#This Row],[TOTAL COINS NEW]] + Table6[[#This Row],[COINS IN RUNS PER DAY]]</f>
        <v>138575</v>
      </c>
      <c r="J30" s="333">
        <f>Table6[[#This Row],[CHESTS COINS]] + Table6[[#This Row],[DAILY COINS]]+Table6[[#This Row],[LEAGUES COINS]]+Table6[[#This Row],[MISSIONS COINS]]</f>
        <v>138575</v>
      </c>
      <c r="K30" s="327">
        <f>Table6[[#This Row],[CHESTS GEMS]]+Table6[[#This Row],[DAILY GEMS]]+Table6[[#This Row],[LEAGUES GEMS]]</f>
        <v>3.96</v>
      </c>
      <c r="L30" s="345">
        <f>Table6[[#This Row],[CHESTS COINS NEW]] +Table6[[#This Row],[DAILY COINS NEW]] +Table6[[#This Row],[LEAGUES COINS NEW]] +Table6[[#This Row],[MISSIONS COINS NEW]]</f>
        <v>138575</v>
      </c>
      <c r="M30" s="335">
        <f>Table6[[#This Row],[CHESTS GEMS NEW]] +Table6[[#This Row],[DAILY GEMS NEW]] +Table6[[#This Row],[LEAGUES GEMS NEW]]</f>
        <v>4.3</v>
      </c>
      <c r="N30" s="340">
        <f>Table6[[#This Row],[COINS PER RUN]] *Table6[[#This Row],[RUNS PER DAY]]</f>
        <v>0</v>
      </c>
      <c r="O30" s="326">
        <v>75</v>
      </c>
      <c r="P30" s="326">
        <v>40</v>
      </c>
      <c r="Q30" s="277">
        <v>75</v>
      </c>
      <c r="R30" s="324">
        <v>40</v>
      </c>
      <c r="S30" s="330">
        <v>10</v>
      </c>
      <c r="T30" s="350">
        <v>1</v>
      </c>
      <c r="U30" s="338">
        <v>1</v>
      </c>
      <c r="V30" s="349">
        <v>1</v>
      </c>
      <c r="W30" s="301">
        <f>Table6[[#This Row],[CHEST REW. MOD.]]*($D$14+$D$15+$D$16)</f>
        <v>33750</v>
      </c>
      <c r="X30" s="297">
        <f t="shared" si="0"/>
        <v>3</v>
      </c>
      <c r="Y30" s="297">
        <f>ROUND((Table6[[#This Row],[DAILY REW. MOD.]]*($D$24+$D$26+$D$28))/7,0)</f>
        <v>10000</v>
      </c>
      <c r="Z30" s="297">
        <f t="shared" si="1"/>
        <v>0.9</v>
      </c>
      <c r="AA30" s="302">
        <f>ROUND((INDEX(Table12[AVG COINS],MATCH(Table6[[#This Row],[LEAGUE]],Table12[LEAGUE],0))) /$C$37,0)</f>
        <v>12325</v>
      </c>
      <c r="AB30" s="302">
        <f>ROUND((INDEX(Table12[AVG GEMS],MATCH(Table6[[#This Row],[LEAGUE]],Table12[LEAGUE],0))) /$C$36,2)</f>
        <v>0.06</v>
      </c>
      <c r="AC30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303">
        <f>Table6[[#This Row],[CHEST REW. MOD. NEW]]*($D$14+$D$15+$D$16)</f>
        <v>33750</v>
      </c>
      <c r="AE30" s="303">
        <f t="shared" si="2"/>
        <v>3</v>
      </c>
      <c r="AF30" s="303">
        <f>ROUND((Table6[[#This Row],[DAILY REW. MOD. NEW]]*($E$24+$E$26+$E$28))/7,0)</f>
        <v>10000</v>
      </c>
      <c r="AG30" s="303">
        <f t="shared" si="3"/>
        <v>0.9</v>
      </c>
      <c r="AH30" s="303">
        <f>ROUND((INDEX(Table12[AVG COINS NEW],MATCH(Table6[[#This Row],[LEAGUE]],Table12[LEAGUE],0))) /$C$37,0)</f>
        <v>12325</v>
      </c>
      <c r="AI30" s="303">
        <f>ROUND((INDEX(Table12[AVG GEMS NEW],MATCH(Table6[[#This Row],[LEAGUE]],Table12[LEAGUE],0))) / $C$37,2)</f>
        <v>0.4</v>
      </c>
      <c r="AJ30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37">
        <v>1</v>
      </c>
      <c r="AL30" s="338">
        <v>0</v>
      </c>
    </row>
    <row r="31" spans="2:38" x14ac:dyDescent="0.25">
      <c r="B31" s="267">
        <v>14</v>
      </c>
      <c r="C31" s="290" t="s">
        <v>427</v>
      </c>
      <c r="D31" s="313">
        <v>1</v>
      </c>
      <c r="E31" s="316">
        <v>1</v>
      </c>
      <c r="G31" s="341" t="s">
        <v>410</v>
      </c>
      <c r="H31" s="345">
        <f>Table6[[#This Row],[TOTAL COINS]] +Table6[[#This Row],[COINS IN RUNS PER DAY]]</f>
        <v>138575</v>
      </c>
      <c r="I31" s="335">
        <f>Table6[[#This Row],[TOTAL COINS NEW]] + Table6[[#This Row],[COINS IN RUNS PER DAY]]</f>
        <v>138575</v>
      </c>
      <c r="J31" s="333">
        <f>Table6[[#This Row],[CHESTS COINS]] + Table6[[#This Row],[DAILY COINS]]+Table6[[#This Row],[LEAGUES COINS]]+Table6[[#This Row],[MISSIONS COINS]]</f>
        <v>138575</v>
      </c>
      <c r="K31" s="327">
        <f>Table6[[#This Row],[CHESTS GEMS]]+Table6[[#This Row],[DAILY GEMS]]+Table6[[#This Row],[LEAGUES GEMS]]</f>
        <v>3.96</v>
      </c>
      <c r="L31" s="345">
        <f>Table6[[#This Row],[CHESTS COINS NEW]] +Table6[[#This Row],[DAILY COINS NEW]] +Table6[[#This Row],[LEAGUES COINS NEW]] +Table6[[#This Row],[MISSIONS COINS NEW]]</f>
        <v>138575</v>
      </c>
      <c r="M31" s="335">
        <f>Table6[[#This Row],[CHESTS GEMS NEW]] +Table6[[#This Row],[DAILY GEMS NEW]] +Table6[[#This Row],[LEAGUES GEMS NEW]]</f>
        <v>4.3</v>
      </c>
      <c r="N31" s="340">
        <f>Table6[[#This Row],[COINS PER RUN]] *Table6[[#This Row],[RUNS PER DAY]]</f>
        <v>0</v>
      </c>
      <c r="O31" s="326">
        <v>75</v>
      </c>
      <c r="P31" s="326">
        <v>40</v>
      </c>
      <c r="Q31" s="277">
        <v>75</v>
      </c>
      <c r="R31" s="324">
        <v>40</v>
      </c>
      <c r="S31" s="330">
        <v>10</v>
      </c>
      <c r="T31" s="350">
        <v>1</v>
      </c>
      <c r="U31" s="338">
        <v>1</v>
      </c>
      <c r="V31" s="349">
        <v>1</v>
      </c>
      <c r="W31" s="301">
        <f>Table6[[#This Row],[CHEST REW. MOD.]]*($D$14+$D$15+$D$16)</f>
        <v>33750</v>
      </c>
      <c r="X31" s="297">
        <f t="shared" si="0"/>
        <v>3</v>
      </c>
      <c r="Y31" s="297">
        <f>ROUND((Table6[[#This Row],[DAILY REW. MOD.]]*($D$24+$D$26+$D$28))/7,0)</f>
        <v>10000</v>
      </c>
      <c r="Z31" s="297">
        <f t="shared" si="1"/>
        <v>0.9</v>
      </c>
      <c r="AA31" s="302">
        <f>ROUND((INDEX(Table12[AVG COINS],MATCH(Table6[[#This Row],[LEAGUE]],Table12[LEAGUE],0))) /$C$37,0)</f>
        <v>12325</v>
      </c>
      <c r="AB31" s="302">
        <f>ROUND((INDEX(Table12[AVG GEMS],MATCH(Table6[[#This Row],[LEAGUE]],Table12[LEAGUE],0))) /$C$36,2)</f>
        <v>0.06</v>
      </c>
      <c r="AC31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303">
        <f>Table6[[#This Row],[CHEST REW. MOD. NEW]]*($D$14+$D$15+$D$16)</f>
        <v>33750</v>
      </c>
      <c r="AE31" s="303">
        <f t="shared" si="2"/>
        <v>3</v>
      </c>
      <c r="AF31" s="303">
        <f>ROUND((Table6[[#This Row],[DAILY REW. MOD. NEW]]*($E$24+$E$26+$E$28))/7,0)</f>
        <v>10000</v>
      </c>
      <c r="AG31" s="303">
        <f t="shared" si="3"/>
        <v>0.9</v>
      </c>
      <c r="AH31" s="303">
        <f>ROUND((INDEX(Table12[AVG COINS NEW],MATCH(Table6[[#This Row],[LEAGUE]],Table12[LEAGUE],0))) /$C$37,0)</f>
        <v>12325</v>
      </c>
      <c r="AI31" s="303">
        <f>ROUND((INDEX(Table12[AVG GEMS NEW],MATCH(Table6[[#This Row],[LEAGUE]],Table12[LEAGUE],0))) / $C$37,2)</f>
        <v>0.4</v>
      </c>
      <c r="AJ31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37">
        <v>1</v>
      </c>
      <c r="AL31" s="338">
        <v>0</v>
      </c>
    </row>
    <row r="32" spans="2:38" x14ac:dyDescent="0.25">
      <c r="G32" s="341" t="s">
        <v>411</v>
      </c>
      <c r="H32" s="345">
        <f>Table6[[#This Row],[TOTAL COINS]] +Table6[[#This Row],[COINS IN RUNS PER DAY]]</f>
        <v>138575</v>
      </c>
      <c r="I32" s="335">
        <f>Table6[[#This Row],[TOTAL COINS NEW]] + Table6[[#This Row],[COINS IN RUNS PER DAY]]</f>
        <v>138575</v>
      </c>
      <c r="J32" s="333">
        <f>Table6[[#This Row],[CHESTS COINS]] + Table6[[#This Row],[DAILY COINS]]+Table6[[#This Row],[LEAGUES COINS]]+Table6[[#This Row],[MISSIONS COINS]]</f>
        <v>138575</v>
      </c>
      <c r="K32" s="327">
        <f>Table6[[#This Row],[CHESTS GEMS]]+Table6[[#This Row],[DAILY GEMS]]+Table6[[#This Row],[LEAGUES GEMS]]</f>
        <v>3.96</v>
      </c>
      <c r="L32" s="345">
        <f>Table6[[#This Row],[CHESTS COINS NEW]] +Table6[[#This Row],[DAILY COINS NEW]] +Table6[[#This Row],[LEAGUES COINS NEW]] +Table6[[#This Row],[MISSIONS COINS NEW]]</f>
        <v>138575</v>
      </c>
      <c r="M32" s="335">
        <f>Table6[[#This Row],[CHESTS GEMS NEW]] +Table6[[#This Row],[DAILY GEMS NEW]] +Table6[[#This Row],[LEAGUES GEMS NEW]]</f>
        <v>4.3</v>
      </c>
      <c r="N32" s="340">
        <f>Table6[[#This Row],[COINS PER RUN]] *Table6[[#This Row],[RUNS PER DAY]]</f>
        <v>0</v>
      </c>
      <c r="O32" s="326">
        <v>75</v>
      </c>
      <c r="P32" s="326">
        <v>40</v>
      </c>
      <c r="Q32" s="277">
        <v>75</v>
      </c>
      <c r="R32" s="324">
        <v>40</v>
      </c>
      <c r="S32" s="330">
        <v>10</v>
      </c>
      <c r="T32" s="350">
        <v>1</v>
      </c>
      <c r="U32" s="338">
        <v>1</v>
      </c>
      <c r="V32" s="349">
        <v>1</v>
      </c>
      <c r="W32" s="301">
        <f>Table6[[#This Row],[CHEST REW. MOD.]]*($D$14+$D$15+$D$16)</f>
        <v>33750</v>
      </c>
      <c r="X32" s="297">
        <f t="shared" si="0"/>
        <v>3</v>
      </c>
      <c r="Y32" s="297">
        <f>ROUND((Table6[[#This Row],[DAILY REW. MOD.]]*($D$24+$D$26+$D$28))/7,0)</f>
        <v>10000</v>
      </c>
      <c r="Z32" s="297">
        <f t="shared" si="1"/>
        <v>0.9</v>
      </c>
      <c r="AA32" s="302">
        <f>ROUND((INDEX(Table12[AVG COINS],MATCH(Table6[[#This Row],[LEAGUE]],Table12[LEAGUE],0))) /$C$37,0)</f>
        <v>12325</v>
      </c>
      <c r="AB32" s="302">
        <f>ROUND((INDEX(Table12[AVG GEMS],MATCH(Table6[[#This Row],[LEAGUE]],Table12[LEAGUE],0))) /$C$36,2)</f>
        <v>0.06</v>
      </c>
      <c r="AC32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303">
        <f>Table6[[#This Row],[CHEST REW. MOD. NEW]]*($D$14+$D$15+$D$16)</f>
        <v>33750</v>
      </c>
      <c r="AE32" s="303">
        <f t="shared" si="2"/>
        <v>3</v>
      </c>
      <c r="AF32" s="303">
        <f>ROUND((Table6[[#This Row],[DAILY REW. MOD. NEW]]*($E$24+$E$26+$E$28))/7,0)</f>
        <v>10000</v>
      </c>
      <c r="AG32" s="303">
        <f t="shared" si="3"/>
        <v>0.9</v>
      </c>
      <c r="AH32" s="303">
        <f>ROUND((INDEX(Table12[AVG COINS NEW],MATCH(Table6[[#This Row],[LEAGUE]],Table12[LEAGUE],0))) /$C$37,0)</f>
        <v>12325</v>
      </c>
      <c r="AI32" s="303">
        <f>ROUND((INDEX(Table12[AVG GEMS NEW],MATCH(Table6[[#This Row],[LEAGUE]],Table12[LEAGUE],0))) / $C$37,2)</f>
        <v>0.4</v>
      </c>
      <c r="AJ32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37">
        <v>1</v>
      </c>
      <c r="AL32" s="338">
        <v>0</v>
      </c>
    </row>
    <row r="34" spans="2:23" x14ac:dyDescent="0.25">
      <c r="H34" t="s">
        <v>412</v>
      </c>
      <c r="W34" t="s">
        <v>326</v>
      </c>
    </row>
    <row r="35" spans="2:23" x14ac:dyDescent="0.25">
      <c r="B35" s="147" t="s">
        <v>439</v>
      </c>
    </row>
    <row r="36" spans="2:23" x14ac:dyDescent="0.25">
      <c r="B36" s="280" t="s">
        <v>416</v>
      </c>
      <c r="C36" s="268">
        <v>7</v>
      </c>
      <c r="D36" t="s">
        <v>433</v>
      </c>
    </row>
    <row r="37" spans="2:23" x14ac:dyDescent="0.25">
      <c r="B37" s="336" t="s">
        <v>483</v>
      </c>
      <c r="C37" s="268">
        <v>1</v>
      </c>
      <c r="D37" t="s">
        <v>433</v>
      </c>
    </row>
    <row r="39" spans="2:23" x14ac:dyDescent="0.25">
      <c r="B39" s="281" t="s">
        <v>434</v>
      </c>
      <c r="C39" s="282" t="s">
        <v>435</v>
      </c>
      <c r="D39" s="283" t="s">
        <v>436</v>
      </c>
      <c r="E39" s="318" t="s">
        <v>463</v>
      </c>
      <c r="F39" s="317" t="s">
        <v>464</v>
      </c>
    </row>
    <row r="40" spans="2:23" x14ac:dyDescent="0.25">
      <c r="B40" s="271">
        <v>1</v>
      </c>
      <c r="C40" s="296">
        <f>ROUND(SUM(F61:F65)/100,0)</f>
        <v>753</v>
      </c>
      <c r="D40" s="297">
        <v>0</v>
      </c>
      <c r="E40" s="296">
        <f>ROUND(SUM(J61:J65)/100,0)</f>
        <v>753</v>
      </c>
      <c r="F40" s="294">
        <v>0</v>
      </c>
    </row>
    <row r="41" spans="2:23" x14ac:dyDescent="0.25">
      <c r="B41" s="272">
        <v>2</v>
      </c>
      <c r="C41" s="296">
        <f>ROUND(SUM(F66:F70)/100,0)</f>
        <v>1260</v>
      </c>
      <c r="D41" s="297">
        <v>0</v>
      </c>
      <c r="E41" s="296">
        <f>ROUND(SUM(J66:J70)/100,0)</f>
        <v>1260</v>
      </c>
      <c r="F41" s="294">
        <v>0</v>
      </c>
    </row>
    <row r="42" spans="2:23" x14ac:dyDescent="0.25">
      <c r="B42" s="273">
        <v>3</v>
      </c>
      <c r="C42" s="296">
        <f>ROUND(SUM(F71:F74)/100,0)</f>
        <v>2985</v>
      </c>
      <c r="D42" s="297">
        <v>0</v>
      </c>
      <c r="E42" s="296">
        <f>ROUND(SUM(J71:J74)/100,0)</f>
        <v>2985</v>
      </c>
      <c r="F42" s="294">
        <v>0</v>
      </c>
    </row>
    <row r="43" spans="2:23" x14ac:dyDescent="0.25">
      <c r="B43" s="272">
        <v>4</v>
      </c>
      <c r="C43" s="296">
        <f>ROUND(SUM(F76:F79)/100,0)</f>
        <v>4470</v>
      </c>
      <c r="D43" s="297">
        <v>0</v>
      </c>
      <c r="E43" s="296">
        <f>ROUND(SUM(J76:J79)/100,0)</f>
        <v>4470</v>
      </c>
      <c r="F43" s="294">
        <v>0</v>
      </c>
    </row>
    <row r="44" spans="2:23" x14ac:dyDescent="0.25">
      <c r="B44" s="273">
        <v>5</v>
      </c>
      <c r="C44" s="296">
        <f>ROUND(SUM(F81:F84)/100,0)</f>
        <v>5955</v>
      </c>
      <c r="D44" s="297">
        <v>0</v>
      </c>
      <c r="E44" s="296">
        <f>ROUND(SUM(J81:J84)/100,0)</f>
        <v>5955</v>
      </c>
      <c r="F44" s="294">
        <v>0</v>
      </c>
    </row>
    <row r="45" spans="2:23" x14ac:dyDescent="0.25">
      <c r="B45" s="272">
        <v>6</v>
      </c>
      <c r="C45" s="296">
        <f>ROUND(SUM(F86:F89)/100,0)</f>
        <v>7440</v>
      </c>
      <c r="D45" s="297">
        <v>0</v>
      </c>
      <c r="E45" s="296">
        <f>ROUND(SUM(J86:J89)/100,0)</f>
        <v>7440</v>
      </c>
      <c r="F45" s="294">
        <v>0</v>
      </c>
    </row>
    <row r="46" spans="2:23" x14ac:dyDescent="0.25">
      <c r="B46" s="273">
        <v>7</v>
      </c>
      <c r="C46" s="296">
        <f>ROUND(SUM(F91:F94)/100,0)</f>
        <v>8925</v>
      </c>
      <c r="D46" s="297">
        <v>0</v>
      </c>
      <c r="E46" s="296">
        <f>ROUND(SUM(J91:J94)/100,0)</f>
        <v>8925</v>
      </c>
      <c r="F46" s="294">
        <v>0</v>
      </c>
    </row>
    <row r="47" spans="2:23" x14ac:dyDescent="0.25">
      <c r="B47" s="272">
        <v>8</v>
      </c>
      <c r="C47" s="296">
        <f>ROUND(SUM(F96:F98)/100,0)</f>
        <v>9950</v>
      </c>
      <c r="D47" s="297">
        <f>ROUND(F99/100,2)</f>
        <v>0.2</v>
      </c>
      <c r="E47" s="296">
        <f>ROUND(SUM(J96:J98)/100,0)</f>
        <v>9950</v>
      </c>
      <c r="F47" s="297">
        <f>ROUND(J99/100,2)</f>
        <v>0.2</v>
      </c>
    </row>
    <row r="48" spans="2:23" x14ac:dyDescent="0.25">
      <c r="B48" s="273">
        <v>9</v>
      </c>
      <c r="C48" s="296">
        <f>ROUND(SUM(F101:F103)/100,0)</f>
        <v>11375</v>
      </c>
      <c r="D48" s="297">
        <f>ROUND(F104/100,2)</f>
        <v>0.2</v>
      </c>
      <c r="E48" s="296">
        <f>ROUND(SUM(J101:J103)/100,0)</f>
        <v>11375</v>
      </c>
      <c r="F48" s="297">
        <f>ROUND(J104/100,2)</f>
        <v>0.2</v>
      </c>
    </row>
    <row r="49" spans="2:10" x14ac:dyDescent="0.25">
      <c r="B49" s="274">
        <v>10</v>
      </c>
      <c r="C49" s="296">
        <f>ROUND(SUM(F106:F108)/100,0)</f>
        <v>12325</v>
      </c>
      <c r="D49" s="297">
        <f>ROUND(F109/100,2)</f>
        <v>0.4</v>
      </c>
      <c r="E49" s="296">
        <f>ROUND(SUM(J106:J108)/100,0)</f>
        <v>12325</v>
      </c>
      <c r="F49" s="297">
        <f>ROUND(J109/100,2)</f>
        <v>0.4</v>
      </c>
    </row>
    <row r="59" spans="2:10" x14ac:dyDescent="0.25">
      <c r="B59" s="370" t="s">
        <v>444</v>
      </c>
      <c r="C59" s="370"/>
      <c r="D59" s="370"/>
      <c r="E59" s="370"/>
      <c r="F59" s="370"/>
    </row>
    <row r="60" spans="2:10" x14ac:dyDescent="0.25">
      <c r="B60" s="284" t="s">
        <v>434</v>
      </c>
      <c r="C60" s="284" t="s">
        <v>419</v>
      </c>
      <c r="D60" s="284" t="s">
        <v>420</v>
      </c>
      <c r="E60" s="284" t="s">
        <v>437</v>
      </c>
      <c r="F60" s="285" t="s">
        <v>438</v>
      </c>
      <c r="G60" s="285" t="s">
        <v>482</v>
      </c>
      <c r="H60" s="284" t="s">
        <v>461</v>
      </c>
      <c r="I60" s="284" t="s">
        <v>465</v>
      </c>
      <c r="J60" s="284" t="s">
        <v>466</v>
      </c>
    </row>
    <row r="61" spans="2:10" x14ac:dyDescent="0.25">
      <c r="B61" s="291">
        <v>1</v>
      </c>
      <c r="C61" s="291" t="s">
        <v>424</v>
      </c>
      <c r="D61" s="291">
        <v>400</v>
      </c>
      <c r="E61" s="291">
        <v>100</v>
      </c>
      <c r="F61" s="320">
        <f>Table13[[#This Row],[AMOUNT]]*(Table13[[#This Row],[TARGET]]-E62)</f>
        <v>12000</v>
      </c>
      <c r="G61" s="291" t="s">
        <v>424</v>
      </c>
      <c r="H61" s="321">
        <v>400</v>
      </c>
      <c r="I61" s="321">
        <v>100</v>
      </c>
      <c r="J61" s="320">
        <f>Table13[[#This Row],[AMOUNT NEW]]*(Table13[[#This Row],[TARGET NEW]]-I62)</f>
        <v>12000</v>
      </c>
    </row>
    <row r="62" spans="2:10" x14ac:dyDescent="0.25">
      <c r="B62" s="292">
        <v>1</v>
      </c>
      <c r="C62" s="292" t="s">
        <v>424</v>
      </c>
      <c r="D62" s="292">
        <v>800</v>
      </c>
      <c r="E62" s="292">
        <v>70</v>
      </c>
      <c r="F62" s="320">
        <f>Table13[[#This Row],[AMOUNT]]*(Table13[[#This Row],[TARGET]]-E63)</f>
        <v>32000</v>
      </c>
      <c r="G62" s="292" t="s">
        <v>424</v>
      </c>
      <c r="H62" s="322">
        <v>800</v>
      </c>
      <c r="I62" s="322">
        <v>70</v>
      </c>
      <c r="J62" s="320">
        <f>Table13[[#This Row],[AMOUNT NEW]]*(Table13[[#This Row],[TARGET NEW]]-I63)</f>
        <v>32000</v>
      </c>
    </row>
    <row r="63" spans="2:10" x14ac:dyDescent="0.25">
      <c r="B63" s="292">
        <v>1</v>
      </c>
      <c r="C63" s="292" t="s">
        <v>424</v>
      </c>
      <c r="D63" s="292">
        <v>1000</v>
      </c>
      <c r="E63" s="292">
        <v>30</v>
      </c>
      <c r="F63" s="320">
        <f>Table13[[#This Row],[AMOUNT]]*(Table13[[#This Row],[TARGET]]-E64)</f>
        <v>25000</v>
      </c>
      <c r="G63" s="292" t="s">
        <v>424</v>
      </c>
      <c r="H63" s="322">
        <v>1000</v>
      </c>
      <c r="I63" s="322">
        <v>30</v>
      </c>
      <c r="J63" s="320">
        <f>Table13[[#This Row],[AMOUNT NEW]]*(Table13[[#This Row],[TARGET NEW]]-I64)</f>
        <v>25000</v>
      </c>
    </row>
    <row r="64" spans="2:10" x14ac:dyDescent="0.25">
      <c r="B64" s="292">
        <v>1</v>
      </c>
      <c r="C64" s="292" t="s">
        <v>424</v>
      </c>
      <c r="D64" s="292">
        <v>1200</v>
      </c>
      <c r="E64" s="292">
        <v>5</v>
      </c>
      <c r="F64" s="320">
        <f>Table13[[#This Row],[AMOUNT]]*(Table13[[#This Row],[TARGET]]-E65)</f>
        <v>4800</v>
      </c>
      <c r="G64" s="292" t="s">
        <v>424</v>
      </c>
      <c r="H64" s="322">
        <v>1200</v>
      </c>
      <c r="I64" s="322">
        <v>5</v>
      </c>
      <c r="J64" s="320">
        <f>Table13[[#This Row],[AMOUNT NEW]]*(Table13[[#This Row],[TARGET NEW]]-I65)</f>
        <v>4800</v>
      </c>
    </row>
    <row r="65" spans="2:10" x14ac:dyDescent="0.25">
      <c r="B65" s="292">
        <v>1</v>
      </c>
      <c r="C65" s="292" t="s">
        <v>424</v>
      </c>
      <c r="D65" s="292">
        <v>1500</v>
      </c>
      <c r="E65" s="292">
        <v>1</v>
      </c>
      <c r="F65" s="320">
        <f>Table13[[#This Row],[AMOUNT]]</f>
        <v>1500</v>
      </c>
      <c r="G65" s="292" t="s">
        <v>424</v>
      </c>
      <c r="H65" s="322">
        <v>1500</v>
      </c>
      <c r="I65" s="322">
        <v>1</v>
      </c>
      <c r="J65" s="320">
        <f>Table13[[#This Row],[AMOUNT NEW]]</f>
        <v>1500</v>
      </c>
    </row>
    <row r="66" spans="2:10" x14ac:dyDescent="0.25">
      <c r="B66" s="292">
        <v>2</v>
      </c>
      <c r="C66" s="292" t="s">
        <v>424</v>
      </c>
      <c r="D66" s="292">
        <v>1000</v>
      </c>
      <c r="E66" s="292">
        <v>100</v>
      </c>
      <c r="F66" s="320">
        <f>Table13[[#This Row],[AMOUNT]]*(Table13[[#This Row],[TARGET]]-E67)</f>
        <v>30000</v>
      </c>
      <c r="G66" s="292" t="s">
        <v>424</v>
      </c>
      <c r="H66" s="322">
        <v>1000</v>
      </c>
      <c r="I66" s="322">
        <v>100</v>
      </c>
      <c r="J66" s="320">
        <f>Table13[[#This Row],[AMOUNT NEW]]*(Table13[[#This Row],[TARGET NEW]]-I67)</f>
        <v>30000</v>
      </c>
    </row>
    <row r="67" spans="2:10" x14ac:dyDescent="0.25">
      <c r="B67" s="292">
        <v>2</v>
      </c>
      <c r="C67" s="292" t="s">
        <v>424</v>
      </c>
      <c r="D67" s="292">
        <v>1200</v>
      </c>
      <c r="E67" s="292">
        <v>70</v>
      </c>
      <c r="F67" s="320">
        <f>Table13[[#This Row],[AMOUNT]]*(Table13[[#This Row],[TARGET]]-E68)</f>
        <v>48000</v>
      </c>
      <c r="G67" s="292" t="s">
        <v>424</v>
      </c>
      <c r="H67" s="322">
        <v>1200</v>
      </c>
      <c r="I67" s="322">
        <v>70</v>
      </c>
      <c r="J67" s="320">
        <f>Table13[[#This Row],[AMOUNT NEW]]*(Table13[[#This Row],[TARGET NEW]]-I68)</f>
        <v>48000</v>
      </c>
    </row>
    <row r="68" spans="2:10" x14ac:dyDescent="0.25">
      <c r="B68" s="292">
        <v>2</v>
      </c>
      <c r="C68" s="292" t="s">
        <v>424</v>
      </c>
      <c r="D68" s="292">
        <v>1500</v>
      </c>
      <c r="E68" s="292">
        <v>30</v>
      </c>
      <c r="F68" s="320">
        <f>Table13[[#This Row],[AMOUNT]]*(Table13[[#This Row],[TARGET]]-E69)</f>
        <v>37500</v>
      </c>
      <c r="G68" s="292" t="s">
        <v>424</v>
      </c>
      <c r="H68" s="322">
        <v>1500</v>
      </c>
      <c r="I68" s="322">
        <v>30</v>
      </c>
      <c r="J68" s="320">
        <f>Table13[[#This Row],[AMOUNT NEW]]*(Table13[[#This Row],[TARGET NEW]]-I69)</f>
        <v>37500</v>
      </c>
    </row>
    <row r="69" spans="2:10" x14ac:dyDescent="0.25">
      <c r="B69" s="292">
        <v>2</v>
      </c>
      <c r="C69" s="292" t="s">
        <v>424</v>
      </c>
      <c r="D69" s="292">
        <v>2000</v>
      </c>
      <c r="E69" s="292">
        <v>5</v>
      </c>
      <c r="F69" s="320">
        <f>Table13[[#This Row],[AMOUNT]]*(Table13[[#This Row],[TARGET]]-E70)</f>
        <v>8000</v>
      </c>
      <c r="G69" s="292" t="s">
        <v>424</v>
      </c>
      <c r="H69" s="322">
        <v>2000</v>
      </c>
      <c r="I69" s="322">
        <v>5</v>
      </c>
      <c r="J69" s="320">
        <f>Table13[[#This Row],[AMOUNT NEW]]*(Table13[[#This Row],[TARGET NEW]]-I70)</f>
        <v>8000</v>
      </c>
    </row>
    <row r="70" spans="2:10" x14ac:dyDescent="0.25">
      <c r="B70" s="292">
        <v>2</v>
      </c>
      <c r="C70" s="292" t="s">
        <v>424</v>
      </c>
      <c r="D70" s="292">
        <v>2500</v>
      </c>
      <c r="E70" s="292">
        <v>1</v>
      </c>
      <c r="F70" s="320">
        <f>Table13[[#This Row],[AMOUNT]]</f>
        <v>2500</v>
      </c>
      <c r="G70" s="292" t="s">
        <v>424</v>
      </c>
      <c r="H70" s="322">
        <v>2500</v>
      </c>
      <c r="I70" s="322">
        <v>1</v>
      </c>
      <c r="J70" s="320">
        <f>Table13[[#This Row],[AMOUNT NEW]]</f>
        <v>2500</v>
      </c>
    </row>
    <row r="71" spans="2:10" x14ac:dyDescent="0.25">
      <c r="B71" s="292">
        <v>3</v>
      </c>
      <c r="C71" s="292" t="s">
        <v>424</v>
      </c>
      <c r="D71" s="292">
        <v>2500</v>
      </c>
      <c r="E71" s="292">
        <v>100</v>
      </c>
      <c r="F71" s="320">
        <f>Table13[[#This Row],[AMOUNT]]*(Table13[[#This Row],[TARGET]]-E72)</f>
        <v>75000</v>
      </c>
      <c r="G71" s="292" t="s">
        <v>424</v>
      </c>
      <c r="H71" s="322">
        <v>2500</v>
      </c>
      <c r="I71" s="322">
        <v>100</v>
      </c>
      <c r="J71" s="320">
        <f>Table13[[#This Row],[AMOUNT NEW]]*(Table13[[#This Row],[TARGET NEW]]-I72)</f>
        <v>75000</v>
      </c>
    </row>
    <row r="72" spans="2:10" x14ac:dyDescent="0.25">
      <c r="B72" s="292">
        <v>3</v>
      </c>
      <c r="C72" s="292" t="s">
        <v>424</v>
      </c>
      <c r="D72" s="292">
        <v>3000</v>
      </c>
      <c r="E72" s="292">
        <v>70</v>
      </c>
      <c r="F72" s="320">
        <f>Table13[[#This Row],[AMOUNT]]*(Table13[[#This Row],[TARGET]]-E73)</f>
        <v>120000</v>
      </c>
      <c r="G72" s="292" t="s">
        <v>424</v>
      </c>
      <c r="H72" s="322">
        <v>3000</v>
      </c>
      <c r="I72" s="322">
        <v>70</v>
      </c>
      <c r="J72" s="320">
        <f>Table13[[#This Row],[AMOUNT NEW]]*(Table13[[#This Row],[TARGET NEW]]-I73)</f>
        <v>120000</v>
      </c>
    </row>
    <row r="73" spans="2:10" x14ac:dyDescent="0.25">
      <c r="B73" s="292">
        <v>3</v>
      </c>
      <c r="C73" s="292" t="s">
        <v>424</v>
      </c>
      <c r="D73" s="292">
        <v>3500</v>
      </c>
      <c r="E73" s="292">
        <v>30</v>
      </c>
      <c r="F73" s="320">
        <f>Table13[[#This Row],[AMOUNT]]*(Table13[[#This Row],[TARGET]]-E74)</f>
        <v>87500</v>
      </c>
      <c r="G73" s="292" t="s">
        <v>424</v>
      </c>
      <c r="H73" s="322">
        <v>3500</v>
      </c>
      <c r="I73" s="322">
        <v>30</v>
      </c>
      <c r="J73" s="320">
        <f>Table13[[#This Row],[AMOUNT NEW]]*(Table13[[#This Row],[TARGET NEW]]-I74)</f>
        <v>87500</v>
      </c>
    </row>
    <row r="74" spans="2:10" x14ac:dyDescent="0.25">
      <c r="B74" s="292">
        <v>3</v>
      </c>
      <c r="C74" s="292" t="s">
        <v>424</v>
      </c>
      <c r="D74" s="292">
        <v>4000</v>
      </c>
      <c r="E74" s="292">
        <v>5</v>
      </c>
      <c r="F74" s="320">
        <f>Table13[[#This Row],[AMOUNT]]*(Table13[[#This Row],[TARGET]]-E75)</f>
        <v>16000</v>
      </c>
      <c r="G74" s="292" t="s">
        <v>424</v>
      </c>
      <c r="H74" s="322">
        <v>4000</v>
      </c>
      <c r="I74" s="322">
        <v>5</v>
      </c>
      <c r="J74" s="320">
        <f>Table13[[#This Row],[AMOUNT NEW]]*(Table13[[#This Row],[TARGET NEW]]-I75)</f>
        <v>16000</v>
      </c>
    </row>
    <row r="75" spans="2:10" x14ac:dyDescent="0.25">
      <c r="B75" s="292">
        <v>3</v>
      </c>
      <c r="C75" s="292" t="s">
        <v>427</v>
      </c>
      <c r="D75" s="292" t="s">
        <v>229</v>
      </c>
      <c r="E75" s="292">
        <v>1</v>
      </c>
      <c r="F75" s="320">
        <v>0</v>
      </c>
      <c r="G75" s="292" t="s">
        <v>427</v>
      </c>
      <c r="H75" s="322" t="s">
        <v>229</v>
      </c>
      <c r="I75" s="322">
        <v>1</v>
      </c>
      <c r="J75" s="320"/>
    </row>
    <row r="76" spans="2:10" x14ac:dyDescent="0.25">
      <c r="B76" s="292">
        <v>4</v>
      </c>
      <c r="C76" s="292" t="s">
        <v>424</v>
      </c>
      <c r="D76" s="292">
        <v>4000</v>
      </c>
      <c r="E76" s="292">
        <v>100</v>
      </c>
      <c r="F76" s="320">
        <f>Table13[[#This Row],[AMOUNT]]*(Table13[[#This Row],[TARGET]]-E77)</f>
        <v>120000</v>
      </c>
      <c r="G76" s="292" t="s">
        <v>424</v>
      </c>
      <c r="H76" s="322">
        <v>4000</v>
      </c>
      <c r="I76" s="322">
        <v>100</v>
      </c>
      <c r="J76" s="320">
        <f>Table13[[#This Row],[AMOUNT NEW]]*(Table13[[#This Row],[TARGET NEW]]-I77)</f>
        <v>120000</v>
      </c>
    </row>
    <row r="77" spans="2:10" x14ac:dyDescent="0.25">
      <c r="B77" s="292">
        <v>4</v>
      </c>
      <c r="C77" s="292" t="s">
        <v>424</v>
      </c>
      <c r="D77" s="292">
        <v>4500</v>
      </c>
      <c r="E77" s="292">
        <v>70</v>
      </c>
      <c r="F77" s="320">
        <f>Table13[[#This Row],[AMOUNT]]*(Table13[[#This Row],[TARGET]]-E78)</f>
        <v>180000</v>
      </c>
      <c r="G77" s="292" t="s">
        <v>424</v>
      </c>
      <c r="H77" s="322">
        <v>4500</v>
      </c>
      <c r="I77" s="322">
        <v>70</v>
      </c>
      <c r="J77" s="320">
        <f>Table13[[#This Row],[AMOUNT NEW]]*(Table13[[#This Row],[TARGET NEW]]-I78)</f>
        <v>180000</v>
      </c>
    </row>
    <row r="78" spans="2:10" x14ac:dyDescent="0.25">
      <c r="B78" s="292">
        <v>4</v>
      </c>
      <c r="C78" s="292" t="s">
        <v>424</v>
      </c>
      <c r="D78" s="292">
        <v>5000</v>
      </c>
      <c r="E78" s="292">
        <v>30</v>
      </c>
      <c r="F78" s="320">
        <f>Table13[[#This Row],[AMOUNT]]*(Table13[[#This Row],[TARGET]]-E79)</f>
        <v>125000</v>
      </c>
      <c r="G78" s="292" t="s">
        <v>424</v>
      </c>
      <c r="H78" s="322">
        <v>5000</v>
      </c>
      <c r="I78" s="322">
        <v>30</v>
      </c>
      <c r="J78" s="320">
        <f>Table13[[#This Row],[AMOUNT NEW]]*(Table13[[#This Row],[TARGET NEW]]-I79)</f>
        <v>125000</v>
      </c>
    </row>
    <row r="79" spans="2:10" x14ac:dyDescent="0.25">
      <c r="B79" s="292">
        <v>4</v>
      </c>
      <c r="C79" s="292" t="s">
        <v>424</v>
      </c>
      <c r="D79" s="292">
        <v>5500</v>
      </c>
      <c r="E79" s="292">
        <v>5</v>
      </c>
      <c r="F79" s="320">
        <f>Table13[[#This Row],[AMOUNT]]*(Table13[[#This Row],[TARGET]]-E80)</f>
        <v>22000</v>
      </c>
      <c r="G79" s="292" t="s">
        <v>424</v>
      </c>
      <c r="H79" s="322">
        <v>5500</v>
      </c>
      <c r="I79" s="322">
        <v>5</v>
      </c>
      <c r="J79" s="320">
        <f>Table13[[#This Row],[AMOUNT NEW]]*(Table13[[#This Row],[TARGET NEW]]-I80)</f>
        <v>22000</v>
      </c>
    </row>
    <row r="80" spans="2:10" x14ac:dyDescent="0.25">
      <c r="B80" s="292">
        <v>4</v>
      </c>
      <c r="C80" s="292" t="s">
        <v>427</v>
      </c>
      <c r="D80" s="292" t="s">
        <v>229</v>
      </c>
      <c r="E80" s="292">
        <v>1</v>
      </c>
      <c r="F80" s="320">
        <v>0</v>
      </c>
      <c r="G80" s="292" t="s">
        <v>427</v>
      </c>
      <c r="H80" s="322" t="s">
        <v>229</v>
      </c>
      <c r="I80" s="322">
        <v>1</v>
      </c>
      <c r="J80" s="320"/>
    </row>
    <row r="81" spans="2:10" x14ac:dyDescent="0.25">
      <c r="B81" s="292">
        <v>5</v>
      </c>
      <c r="C81" s="292" t="s">
        <v>424</v>
      </c>
      <c r="D81" s="292">
        <v>5500</v>
      </c>
      <c r="E81" s="292">
        <v>100</v>
      </c>
      <c r="F81" s="320">
        <f>Table13[[#This Row],[AMOUNT]]*(Table13[[#This Row],[TARGET]]-E82)</f>
        <v>165000</v>
      </c>
      <c r="G81" s="292" t="s">
        <v>424</v>
      </c>
      <c r="H81" s="322">
        <v>5500</v>
      </c>
      <c r="I81" s="322">
        <v>100</v>
      </c>
      <c r="J81" s="320">
        <f>Table13[[#This Row],[AMOUNT NEW]]*(Table13[[#This Row],[TARGET NEW]]-I82)</f>
        <v>165000</v>
      </c>
    </row>
    <row r="82" spans="2:10" x14ac:dyDescent="0.25">
      <c r="B82" s="292">
        <v>5</v>
      </c>
      <c r="C82" s="292" t="s">
        <v>424</v>
      </c>
      <c r="D82" s="292">
        <v>6000</v>
      </c>
      <c r="E82" s="292">
        <v>70</v>
      </c>
      <c r="F82" s="320">
        <f>Table13[[#This Row],[AMOUNT]]*(Table13[[#This Row],[TARGET]]-E83)</f>
        <v>240000</v>
      </c>
      <c r="G82" s="292" t="s">
        <v>424</v>
      </c>
      <c r="H82" s="322">
        <v>6000</v>
      </c>
      <c r="I82" s="322">
        <v>70</v>
      </c>
      <c r="J82" s="320">
        <f>Table13[[#This Row],[AMOUNT NEW]]*(Table13[[#This Row],[TARGET NEW]]-I83)</f>
        <v>240000</v>
      </c>
    </row>
    <row r="83" spans="2:10" x14ac:dyDescent="0.25">
      <c r="B83" s="292">
        <v>5</v>
      </c>
      <c r="C83" s="292" t="s">
        <v>424</v>
      </c>
      <c r="D83" s="292">
        <v>6500</v>
      </c>
      <c r="E83" s="292">
        <v>30</v>
      </c>
      <c r="F83" s="320">
        <f>Table13[[#This Row],[AMOUNT]]*(Table13[[#This Row],[TARGET]]-E84)</f>
        <v>162500</v>
      </c>
      <c r="G83" s="292" t="s">
        <v>424</v>
      </c>
      <c r="H83" s="322">
        <v>6500</v>
      </c>
      <c r="I83" s="322">
        <v>30</v>
      </c>
      <c r="J83" s="320">
        <f>Table13[[#This Row],[AMOUNT NEW]]*(Table13[[#This Row],[TARGET NEW]]-I84)</f>
        <v>162500</v>
      </c>
    </row>
    <row r="84" spans="2:10" x14ac:dyDescent="0.25">
      <c r="B84" s="292">
        <v>5</v>
      </c>
      <c r="C84" s="292" t="s">
        <v>424</v>
      </c>
      <c r="D84" s="292">
        <v>7000</v>
      </c>
      <c r="E84" s="292">
        <v>5</v>
      </c>
      <c r="F84" s="320">
        <f>Table13[[#This Row],[AMOUNT]]*(Table13[[#This Row],[TARGET]]-E85)</f>
        <v>28000</v>
      </c>
      <c r="G84" s="292" t="s">
        <v>424</v>
      </c>
      <c r="H84" s="322">
        <v>7000</v>
      </c>
      <c r="I84" s="322">
        <v>5</v>
      </c>
      <c r="J84" s="320">
        <f>Table13[[#This Row],[AMOUNT NEW]]*(Table13[[#This Row],[TARGET NEW]]-I85)</f>
        <v>28000</v>
      </c>
    </row>
    <row r="85" spans="2:10" x14ac:dyDescent="0.25">
      <c r="B85" s="292">
        <v>5</v>
      </c>
      <c r="C85" s="292" t="s">
        <v>427</v>
      </c>
      <c r="D85" s="292" t="s">
        <v>229</v>
      </c>
      <c r="E85" s="292">
        <v>1</v>
      </c>
      <c r="F85" s="320">
        <v>0</v>
      </c>
      <c r="G85" s="292" t="s">
        <v>427</v>
      </c>
      <c r="H85" s="322" t="s">
        <v>229</v>
      </c>
      <c r="I85" s="322">
        <v>1</v>
      </c>
      <c r="J85" s="320"/>
    </row>
    <row r="86" spans="2:10" x14ac:dyDescent="0.25">
      <c r="B86" s="292">
        <v>6</v>
      </c>
      <c r="C86" s="292" t="s">
        <v>424</v>
      </c>
      <c r="D86" s="292">
        <v>7000</v>
      </c>
      <c r="E86" s="292">
        <v>100</v>
      </c>
      <c r="F86" s="320">
        <f>Table13[[#This Row],[AMOUNT]]*(Table13[[#This Row],[TARGET]]-E87)</f>
        <v>210000</v>
      </c>
      <c r="G86" s="292" t="s">
        <v>424</v>
      </c>
      <c r="H86" s="322">
        <v>7000</v>
      </c>
      <c r="I86" s="322">
        <v>100</v>
      </c>
      <c r="J86" s="320">
        <f>Table13[[#This Row],[AMOUNT NEW]]*(Table13[[#This Row],[TARGET NEW]]-I87)</f>
        <v>210000</v>
      </c>
    </row>
    <row r="87" spans="2:10" x14ac:dyDescent="0.25">
      <c r="B87" s="292">
        <v>6</v>
      </c>
      <c r="C87" s="292" t="s">
        <v>424</v>
      </c>
      <c r="D87" s="292">
        <v>7500</v>
      </c>
      <c r="E87" s="292">
        <v>70</v>
      </c>
      <c r="F87" s="320">
        <f>Table13[[#This Row],[AMOUNT]]*(Table13[[#This Row],[TARGET]]-E88)</f>
        <v>300000</v>
      </c>
      <c r="G87" s="292" t="s">
        <v>424</v>
      </c>
      <c r="H87" s="322">
        <v>7500</v>
      </c>
      <c r="I87" s="322">
        <v>70</v>
      </c>
      <c r="J87" s="320">
        <f>Table13[[#This Row],[AMOUNT NEW]]*(Table13[[#This Row],[TARGET NEW]]-I88)</f>
        <v>300000</v>
      </c>
    </row>
    <row r="88" spans="2:10" x14ac:dyDescent="0.25">
      <c r="B88" s="292">
        <v>6</v>
      </c>
      <c r="C88" s="292" t="s">
        <v>424</v>
      </c>
      <c r="D88" s="292">
        <v>8000</v>
      </c>
      <c r="E88" s="292">
        <v>30</v>
      </c>
      <c r="F88" s="320">
        <f>Table13[[#This Row],[AMOUNT]]*(Table13[[#This Row],[TARGET]]-E89)</f>
        <v>200000</v>
      </c>
      <c r="G88" s="292" t="s">
        <v>424</v>
      </c>
      <c r="H88" s="322">
        <v>8000</v>
      </c>
      <c r="I88" s="322">
        <v>30</v>
      </c>
      <c r="J88" s="320">
        <f>Table13[[#This Row],[AMOUNT NEW]]*(Table13[[#This Row],[TARGET NEW]]-I89)</f>
        <v>200000</v>
      </c>
    </row>
    <row r="89" spans="2:10" x14ac:dyDescent="0.25">
      <c r="B89" s="292">
        <v>6</v>
      </c>
      <c r="C89" s="292" t="s">
        <v>424</v>
      </c>
      <c r="D89" s="292">
        <v>8500</v>
      </c>
      <c r="E89" s="292">
        <v>5</v>
      </c>
      <c r="F89" s="320">
        <f>Table13[[#This Row],[AMOUNT]]*(Table13[[#This Row],[TARGET]]-E90)</f>
        <v>34000</v>
      </c>
      <c r="G89" s="292" t="s">
        <v>424</v>
      </c>
      <c r="H89" s="322">
        <v>8500</v>
      </c>
      <c r="I89" s="322">
        <v>5</v>
      </c>
      <c r="J89" s="320">
        <f>Table13[[#This Row],[AMOUNT NEW]]*(Table13[[#This Row],[TARGET NEW]]-I90)</f>
        <v>34000</v>
      </c>
    </row>
    <row r="90" spans="2:10" x14ac:dyDescent="0.25">
      <c r="B90" s="292">
        <v>6</v>
      </c>
      <c r="C90" s="292" t="s">
        <v>427</v>
      </c>
      <c r="D90" s="292" t="s">
        <v>229</v>
      </c>
      <c r="E90" s="292">
        <v>1</v>
      </c>
      <c r="F90" s="320">
        <v>0</v>
      </c>
      <c r="G90" s="292" t="s">
        <v>427</v>
      </c>
      <c r="H90" s="322" t="s">
        <v>229</v>
      </c>
      <c r="I90" s="322">
        <v>1</v>
      </c>
      <c r="J90" s="320"/>
    </row>
    <row r="91" spans="2:10" x14ac:dyDescent="0.25">
      <c r="B91" s="292">
        <v>7</v>
      </c>
      <c r="C91" s="292" t="s">
        <v>424</v>
      </c>
      <c r="D91" s="292">
        <v>8500</v>
      </c>
      <c r="E91" s="292">
        <v>100</v>
      </c>
      <c r="F91" s="320">
        <f>Table13[[#This Row],[AMOUNT]]*(Table13[[#This Row],[TARGET]]-E92)</f>
        <v>255000</v>
      </c>
      <c r="G91" s="292" t="s">
        <v>424</v>
      </c>
      <c r="H91" s="322">
        <v>8500</v>
      </c>
      <c r="I91" s="322">
        <v>100</v>
      </c>
      <c r="J91" s="320">
        <f>Table13[[#This Row],[AMOUNT NEW]]*(Table13[[#This Row],[TARGET NEW]]-I92)</f>
        <v>255000</v>
      </c>
    </row>
    <row r="92" spans="2:10" x14ac:dyDescent="0.25">
      <c r="B92" s="292">
        <v>7</v>
      </c>
      <c r="C92" s="292" t="s">
        <v>424</v>
      </c>
      <c r="D92" s="292">
        <v>9000</v>
      </c>
      <c r="E92" s="292">
        <v>70</v>
      </c>
      <c r="F92" s="320">
        <f>Table13[[#This Row],[AMOUNT]]*(Table13[[#This Row],[TARGET]]-E93)</f>
        <v>360000</v>
      </c>
      <c r="G92" s="292" t="s">
        <v>424</v>
      </c>
      <c r="H92" s="322">
        <v>9000</v>
      </c>
      <c r="I92" s="322">
        <v>70</v>
      </c>
      <c r="J92" s="320">
        <f>Table13[[#This Row],[AMOUNT NEW]]*(Table13[[#This Row],[TARGET NEW]]-I93)</f>
        <v>360000</v>
      </c>
    </row>
    <row r="93" spans="2:10" x14ac:dyDescent="0.25">
      <c r="B93" s="292">
        <v>7</v>
      </c>
      <c r="C93" s="292" t="s">
        <v>424</v>
      </c>
      <c r="D93" s="292">
        <v>9500</v>
      </c>
      <c r="E93" s="292">
        <v>30</v>
      </c>
      <c r="F93" s="320">
        <f>Table13[[#This Row],[AMOUNT]]*(Table13[[#This Row],[TARGET]]-E94)</f>
        <v>237500</v>
      </c>
      <c r="G93" s="292" t="s">
        <v>424</v>
      </c>
      <c r="H93" s="322">
        <v>9500</v>
      </c>
      <c r="I93" s="322">
        <v>30</v>
      </c>
      <c r="J93" s="320">
        <f>Table13[[#This Row],[AMOUNT NEW]]*(Table13[[#This Row],[TARGET NEW]]-I94)</f>
        <v>237500</v>
      </c>
    </row>
    <row r="94" spans="2:10" x14ac:dyDescent="0.25">
      <c r="B94" s="292">
        <v>7</v>
      </c>
      <c r="C94" s="292" t="s">
        <v>424</v>
      </c>
      <c r="D94" s="292">
        <v>10000</v>
      </c>
      <c r="E94" s="292">
        <v>5</v>
      </c>
      <c r="F94" s="320">
        <f>Table13[[#This Row],[AMOUNT]]*(Table13[[#This Row],[TARGET]]-E95)</f>
        <v>40000</v>
      </c>
      <c r="G94" s="292" t="s">
        <v>424</v>
      </c>
      <c r="H94" s="322">
        <v>10000</v>
      </c>
      <c r="I94" s="322">
        <v>5</v>
      </c>
      <c r="J94" s="320">
        <f>Table13[[#This Row],[AMOUNT NEW]]*(Table13[[#This Row],[TARGET NEW]]-I95)</f>
        <v>40000</v>
      </c>
    </row>
    <row r="95" spans="2:10" x14ac:dyDescent="0.25">
      <c r="B95" s="292">
        <v>7</v>
      </c>
      <c r="C95" s="292" t="s">
        <v>427</v>
      </c>
      <c r="D95" s="292" t="s">
        <v>229</v>
      </c>
      <c r="E95" s="292">
        <v>1</v>
      </c>
      <c r="F95" s="320">
        <v>0</v>
      </c>
      <c r="G95" s="292" t="s">
        <v>427</v>
      </c>
      <c r="H95" s="322" t="s">
        <v>229</v>
      </c>
      <c r="I95" s="322">
        <v>1</v>
      </c>
      <c r="J95" s="320"/>
    </row>
    <row r="96" spans="2:10" x14ac:dyDescent="0.25">
      <c r="B96" s="292">
        <v>8</v>
      </c>
      <c r="C96" s="292" t="s">
        <v>424</v>
      </c>
      <c r="D96" s="292">
        <v>10000</v>
      </c>
      <c r="E96" s="292">
        <v>100</v>
      </c>
      <c r="F96" s="320">
        <f>Table13[[#This Row],[AMOUNT]]*(Table13[[#This Row],[TARGET]]-E97)</f>
        <v>300000</v>
      </c>
      <c r="G96" s="292" t="s">
        <v>424</v>
      </c>
      <c r="H96" s="322">
        <v>10000</v>
      </c>
      <c r="I96" s="322">
        <v>100</v>
      </c>
      <c r="J96" s="320">
        <f>Table13[[#This Row],[AMOUNT NEW]]*(Table13[[#This Row],[TARGET NEW]]-I97)</f>
        <v>300000</v>
      </c>
    </row>
    <row r="97" spans="2:10" x14ac:dyDescent="0.25">
      <c r="B97" s="292">
        <v>8</v>
      </c>
      <c r="C97" s="292" t="s">
        <v>424</v>
      </c>
      <c r="D97" s="292">
        <v>10500</v>
      </c>
      <c r="E97" s="292">
        <v>70</v>
      </c>
      <c r="F97" s="320">
        <f>Table13[[#This Row],[AMOUNT]]*(Table13[[#This Row],[TARGET]]-E98)</f>
        <v>420000</v>
      </c>
      <c r="G97" s="292" t="s">
        <v>424</v>
      </c>
      <c r="H97" s="322">
        <v>10500</v>
      </c>
      <c r="I97" s="322">
        <v>70</v>
      </c>
      <c r="J97" s="320">
        <f>Table13[[#This Row],[AMOUNT NEW]]*(Table13[[#This Row],[TARGET NEW]]-I98)</f>
        <v>420000</v>
      </c>
    </row>
    <row r="98" spans="2:10" x14ac:dyDescent="0.25">
      <c r="B98" s="292">
        <v>8</v>
      </c>
      <c r="C98" s="292" t="s">
        <v>424</v>
      </c>
      <c r="D98" s="292">
        <v>11000</v>
      </c>
      <c r="E98" s="292">
        <v>30</v>
      </c>
      <c r="F98" s="320">
        <f>Table13[[#This Row],[AMOUNT]]*(Table13[[#This Row],[TARGET]]-E99)</f>
        <v>275000</v>
      </c>
      <c r="G98" s="292" t="s">
        <v>424</v>
      </c>
      <c r="H98" s="322">
        <v>11000</v>
      </c>
      <c r="I98" s="322">
        <v>30</v>
      </c>
      <c r="J98" s="320">
        <f>Table13[[#This Row],[AMOUNT NEW]]*(Table13[[#This Row],[TARGET NEW]]-I99)</f>
        <v>275000</v>
      </c>
    </row>
    <row r="99" spans="2:10" x14ac:dyDescent="0.25">
      <c r="B99" s="292">
        <v>8</v>
      </c>
      <c r="C99" s="292" t="s">
        <v>418</v>
      </c>
      <c r="D99" s="292">
        <v>5</v>
      </c>
      <c r="E99" s="292">
        <v>5</v>
      </c>
      <c r="F99" s="320">
        <f>Table13[[#This Row],[AMOUNT]]*(Table13[[#This Row],[TARGET]]-E100)</f>
        <v>20</v>
      </c>
      <c r="G99" s="292" t="s">
        <v>418</v>
      </c>
      <c r="H99" s="322">
        <v>5</v>
      </c>
      <c r="I99" s="322">
        <v>5</v>
      </c>
      <c r="J99" s="320">
        <f>Table13[[#This Row],[AMOUNT NEW]]*(Table13[[#This Row],[TARGET NEW]]-I100)</f>
        <v>20</v>
      </c>
    </row>
    <row r="100" spans="2:10" x14ac:dyDescent="0.25">
      <c r="B100" s="292">
        <v>8</v>
      </c>
      <c r="C100" s="292" t="s">
        <v>427</v>
      </c>
      <c r="D100" s="292" t="s">
        <v>229</v>
      </c>
      <c r="E100" s="292">
        <v>1</v>
      </c>
      <c r="F100" s="320">
        <v>0</v>
      </c>
      <c r="G100" s="292" t="s">
        <v>427</v>
      </c>
      <c r="H100" s="322" t="s">
        <v>229</v>
      </c>
      <c r="I100" s="322">
        <v>1</v>
      </c>
      <c r="J100" s="320"/>
    </row>
    <row r="101" spans="2:10" x14ac:dyDescent="0.25">
      <c r="B101" s="292">
        <v>9</v>
      </c>
      <c r="C101" s="292" t="s">
        <v>424</v>
      </c>
      <c r="D101" s="292">
        <v>11500</v>
      </c>
      <c r="E101" s="292">
        <v>100</v>
      </c>
      <c r="F101" s="320">
        <f>Table13[[#This Row],[AMOUNT]]*(Table13[[#This Row],[TARGET]]-E102)</f>
        <v>345000</v>
      </c>
      <c r="G101" s="292" t="s">
        <v>424</v>
      </c>
      <c r="H101" s="322">
        <v>11500</v>
      </c>
      <c r="I101" s="322">
        <v>100</v>
      </c>
      <c r="J101" s="320">
        <f>Table13[[#This Row],[AMOUNT NEW]]*(Table13[[#This Row],[TARGET NEW]]-I102)</f>
        <v>345000</v>
      </c>
    </row>
    <row r="102" spans="2:10" x14ac:dyDescent="0.25">
      <c r="B102" s="292">
        <v>9</v>
      </c>
      <c r="C102" s="292" t="s">
        <v>424</v>
      </c>
      <c r="D102" s="292">
        <v>12000</v>
      </c>
      <c r="E102" s="292">
        <v>70</v>
      </c>
      <c r="F102" s="320">
        <f>Table13[[#This Row],[AMOUNT]]*(Table13[[#This Row],[TARGET]]-E103)</f>
        <v>480000</v>
      </c>
      <c r="G102" s="292" t="s">
        <v>424</v>
      </c>
      <c r="H102" s="322">
        <v>12000</v>
      </c>
      <c r="I102" s="322">
        <v>70</v>
      </c>
      <c r="J102" s="320">
        <f>Table13[[#This Row],[AMOUNT NEW]]*(Table13[[#This Row],[TARGET NEW]]-I103)</f>
        <v>480000</v>
      </c>
    </row>
    <row r="103" spans="2:10" x14ac:dyDescent="0.25">
      <c r="B103" s="292">
        <v>9</v>
      </c>
      <c r="C103" s="292" t="s">
        <v>424</v>
      </c>
      <c r="D103" s="292">
        <v>12500</v>
      </c>
      <c r="E103" s="292">
        <v>30</v>
      </c>
      <c r="F103" s="320">
        <f>Table13[[#This Row],[AMOUNT]]*(Table13[[#This Row],[TARGET]]-E104)</f>
        <v>312500</v>
      </c>
      <c r="G103" s="292" t="s">
        <v>424</v>
      </c>
      <c r="H103" s="322">
        <v>12500</v>
      </c>
      <c r="I103" s="322">
        <v>30</v>
      </c>
      <c r="J103" s="320">
        <f>Table13[[#This Row],[AMOUNT NEW]]*(Table13[[#This Row],[TARGET NEW]]-I104)</f>
        <v>312500</v>
      </c>
    </row>
    <row r="104" spans="2:10" x14ac:dyDescent="0.25">
      <c r="B104" s="292">
        <v>9</v>
      </c>
      <c r="C104" s="292" t="s">
        <v>418</v>
      </c>
      <c r="D104" s="292">
        <v>5</v>
      </c>
      <c r="E104" s="292">
        <v>5</v>
      </c>
      <c r="F104" s="320">
        <f>Table13[[#This Row],[AMOUNT]]*(Table13[[#This Row],[TARGET]]-E105)</f>
        <v>20</v>
      </c>
      <c r="G104" s="292" t="s">
        <v>418</v>
      </c>
      <c r="H104" s="322">
        <v>5</v>
      </c>
      <c r="I104" s="322">
        <v>5</v>
      </c>
      <c r="J104" s="320">
        <f>Table13[[#This Row],[AMOUNT NEW]]*(Table13[[#This Row],[TARGET NEW]]-I105)</f>
        <v>20</v>
      </c>
    </row>
    <row r="105" spans="2:10" x14ac:dyDescent="0.25">
      <c r="B105" s="292">
        <v>9</v>
      </c>
      <c r="C105" s="292" t="s">
        <v>427</v>
      </c>
      <c r="D105" s="292" t="s">
        <v>229</v>
      </c>
      <c r="E105" s="292">
        <v>1</v>
      </c>
      <c r="F105" s="320">
        <v>0</v>
      </c>
      <c r="G105" s="292" t="s">
        <v>427</v>
      </c>
      <c r="H105" s="322" t="s">
        <v>229</v>
      </c>
      <c r="I105" s="322">
        <v>1</v>
      </c>
      <c r="J105" s="320"/>
    </row>
    <row r="106" spans="2:10" x14ac:dyDescent="0.25">
      <c r="B106" s="292">
        <v>10</v>
      </c>
      <c r="C106" s="292" t="s">
        <v>424</v>
      </c>
      <c r="D106" s="292">
        <v>12500</v>
      </c>
      <c r="E106" s="292">
        <v>100</v>
      </c>
      <c r="F106" s="320">
        <f>Table13[[#This Row],[AMOUNT]]*(Table13[[#This Row],[TARGET]]-E107)</f>
        <v>375000</v>
      </c>
      <c r="G106" s="292" t="s">
        <v>424</v>
      </c>
      <c r="H106" s="322">
        <v>12500</v>
      </c>
      <c r="I106" s="322">
        <v>100</v>
      </c>
      <c r="J106" s="320">
        <f>Table13[[#This Row],[AMOUNT NEW]]*(Table13[[#This Row],[TARGET NEW]]-I107)</f>
        <v>375000</v>
      </c>
    </row>
    <row r="107" spans="2:10" x14ac:dyDescent="0.25">
      <c r="B107" s="292">
        <v>10</v>
      </c>
      <c r="C107" s="292" t="s">
        <v>424</v>
      </c>
      <c r="D107" s="292">
        <v>13000</v>
      </c>
      <c r="E107" s="292">
        <v>70</v>
      </c>
      <c r="F107" s="320">
        <f>Table13[[#This Row],[AMOUNT]]*(Table13[[#This Row],[TARGET]]-E108)</f>
        <v>520000</v>
      </c>
      <c r="G107" s="292" t="s">
        <v>424</v>
      </c>
      <c r="H107" s="322">
        <v>13000</v>
      </c>
      <c r="I107" s="322">
        <v>70</v>
      </c>
      <c r="J107" s="320">
        <f>Table13[[#This Row],[AMOUNT NEW]]*(Table13[[#This Row],[TARGET NEW]]-I108)</f>
        <v>520000</v>
      </c>
    </row>
    <row r="108" spans="2:10" x14ac:dyDescent="0.25">
      <c r="B108" s="292">
        <v>10</v>
      </c>
      <c r="C108" s="292" t="s">
        <v>424</v>
      </c>
      <c r="D108" s="292">
        <v>13500</v>
      </c>
      <c r="E108" s="292">
        <v>30</v>
      </c>
      <c r="F108" s="320">
        <f>Table13[[#This Row],[AMOUNT]]*(Table13[[#This Row],[TARGET]]-E109)</f>
        <v>337500</v>
      </c>
      <c r="G108" s="292" t="s">
        <v>424</v>
      </c>
      <c r="H108" s="322">
        <v>13500</v>
      </c>
      <c r="I108" s="322">
        <v>30</v>
      </c>
      <c r="J108" s="320">
        <f>Table13[[#This Row],[AMOUNT NEW]]*(Table13[[#This Row],[TARGET NEW]]-I109)</f>
        <v>337500</v>
      </c>
    </row>
    <row r="109" spans="2:10" x14ac:dyDescent="0.25">
      <c r="B109" s="292">
        <v>10</v>
      </c>
      <c r="C109" s="292" t="s">
        <v>418</v>
      </c>
      <c r="D109" s="292">
        <v>10</v>
      </c>
      <c r="E109" s="292">
        <v>5</v>
      </c>
      <c r="F109" s="320">
        <f>Table13[[#This Row],[AMOUNT]]*(Table13[[#This Row],[TARGET]]-E110)</f>
        <v>40</v>
      </c>
      <c r="G109" s="292" t="s">
        <v>418</v>
      </c>
      <c r="H109" s="322">
        <v>10</v>
      </c>
      <c r="I109" s="322">
        <v>5</v>
      </c>
      <c r="J109" s="320">
        <f>Table13[[#This Row],[AMOUNT NEW]]*(Table13[[#This Row],[TARGET NEW]]-I110)</f>
        <v>40</v>
      </c>
    </row>
    <row r="110" spans="2:10" x14ac:dyDescent="0.25">
      <c r="B110" s="293">
        <v>10</v>
      </c>
      <c r="C110" s="293" t="s">
        <v>427</v>
      </c>
      <c r="D110" s="293" t="s">
        <v>230</v>
      </c>
      <c r="E110" s="293">
        <v>1</v>
      </c>
      <c r="F110" s="320">
        <v>0</v>
      </c>
      <c r="G110" s="293" t="s">
        <v>427</v>
      </c>
      <c r="H110" s="305" t="s">
        <v>230</v>
      </c>
      <c r="I110" s="305">
        <v>1</v>
      </c>
      <c r="J110" s="320"/>
    </row>
    <row r="113" spans="2:5" x14ac:dyDescent="0.25">
      <c r="B113" s="279" t="s">
        <v>470</v>
      </c>
      <c r="C113" s="279" t="s">
        <v>469</v>
      </c>
      <c r="D113" s="279" t="s">
        <v>468</v>
      </c>
      <c r="E113" s="279" t="s">
        <v>467</v>
      </c>
    </row>
    <row r="114" spans="2:5" x14ac:dyDescent="0.25">
      <c r="B114" s="1" t="s">
        <v>67</v>
      </c>
      <c r="C114" s="1">
        <v>1</v>
      </c>
      <c r="D114" s="287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7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7">
        <v>600</v>
      </c>
      <c r="E116" s="101">
        <v>600</v>
      </c>
    </row>
  </sheetData>
  <mergeCells count="13">
    <mergeCell ref="B12:D12"/>
    <mergeCell ref="B22:D22"/>
    <mergeCell ref="B59:F59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tabSelected="1" topLeftCell="A9" workbookViewId="0">
      <selection activeCell="E142" sqref="E142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1" t="s">
        <v>266</v>
      </c>
    </row>
    <row r="2" spans="1:23" ht="15.75" thickBot="1" x14ac:dyDescent="0.3">
      <c r="E2" s="176" t="s">
        <v>265</v>
      </c>
      <c r="F2" s="170" t="s">
        <v>182</v>
      </c>
      <c r="G2" s="170" t="s">
        <v>52</v>
      </c>
      <c r="H2" s="170" t="s">
        <v>53</v>
      </c>
      <c r="I2" s="150" t="s">
        <v>264</v>
      </c>
      <c r="K2" s="192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229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230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183</v>
      </c>
      <c r="F6" s="170" t="s">
        <v>187</v>
      </c>
      <c r="G6" s="170" t="s">
        <v>52</v>
      </c>
      <c r="H6" s="170" t="s">
        <v>53</v>
      </c>
      <c r="I6" s="150" t="s">
        <v>264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184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185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186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4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0" t="s">
        <v>182</v>
      </c>
      <c r="G11" s="170" t="s">
        <v>52</v>
      </c>
      <c r="H11" s="170" t="s">
        <v>53</v>
      </c>
      <c r="I11" s="150" t="s">
        <v>264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181</v>
      </c>
      <c r="B15" s="36"/>
      <c r="C15" s="36"/>
      <c r="F15" s="376" t="s">
        <v>203</v>
      </c>
      <c r="G15" s="377"/>
      <c r="H15" s="378"/>
      <c r="I15" s="376" t="s">
        <v>270</v>
      </c>
      <c r="J15" s="377"/>
      <c r="K15" s="378"/>
      <c r="L15" s="376" t="s">
        <v>281</v>
      </c>
      <c r="M15" s="377"/>
      <c r="N15" s="378"/>
      <c r="O15" s="376" t="s">
        <v>282</v>
      </c>
      <c r="P15" s="377"/>
      <c r="Q15" s="378"/>
      <c r="R15" s="376" t="s">
        <v>283</v>
      </c>
      <c r="S15" s="377"/>
      <c r="T15" s="378"/>
      <c r="U15" s="376" t="s">
        <v>497</v>
      </c>
      <c r="V15" s="377"/>
      <c r="W15" s="378"/>
    </row>
    <row r="16" spans="1:23" ht="15.75" thickBot="1" x14ac:dyDescent="0.3">
      <c r="E16" s="105" t="s">
        <v>4</v>
      </c>
      <c r="F16" s="105" t="s">
        <v>187</v>
      </c>
      <c r="G16" s="202" t="s">
        <v>52</v>
      </c>
      <c r="H16" s="201" t="s">
        <v>53</v>
      </c>
      <c r="I16" s="200" t="s">
        <v>271</v>
      </c>
      <c r="J16" s="190" t="s">
        <v>268</v>
      </c>
      <c r="K16" s="203" t="s">
        <v>269</v>
      </c>
      <c r="L16" s="204" t="s">
        <v>272</v>
      </c>
      <c r="M16" s="190" t="s">
        <v>273</v>
      </c>
      <c r="N16" s="203" t="s">
        <v>274</v>
      </c>
      <c r="O16" s="206" t="s">
        <v>275</v>
      </c>
      <c r="P16" s="207" t="s">
        <v>276</v>
      </c>
      <c r="Q16" s="209" t="s">
        <v>277</v>
      </c>
      <c r="R16" s="206" t="s">
        <v>278</v>
      </c>
      <c r="S16" s="207" t="s">
        <v>279</v>
      </c>
      <c r="T16" s="208" t="s">
        <v>280</v>
      </c>
      <c r="U16" s="351" t="s">
        <v>494</v>
      </c>
      <c r="V16" s="352" t="s">
        <v>495</v>
      </c>
      <c r="W16" s="35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205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11" t="s">
        <v>152</v>
      </c>
      <c r="P17" s="171" t="s">
        <v>152</v>
      </c>
      <c r="Q17" s="171" t="s">
        <v>152</v>
      </c>
      <c r="R17" s="211" t="s">
        <v>152</v>
      </c>
      <c r="S17" s="171" t="s">
        <v>152</v>
      </c>
      <c r="T17" s="171" t="s">
        <v>152</v>
      </c>
      <c r="U17" s="211" t="s">
        <v>152</v>
      </c>
      <c r="V17" s="171" t="s">
        <v>152</v>
      </c>
      <c r="W17" s="171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205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10" t="s">
        <v>152</v>
      </c>
      <c r="P18" s="179" t="s">
        <v>152</v>
      </c>
      <c r="Q18" s="179" t="s">
        <v>152</v>
      </c>
      <c r="R18" s="210" t="s">
        <v>152</v>
      </c>
      <c r="S18" s="179" t="s">
        <v>152</v>
      </c>
      <c r="T18" s="179" t="s">
        <v>152</v>
      </c>
      <c r="U18" s="210" t="s">
        <v>152</v>
      </c>
      <c r="V18" s="179" t="s">
        <v>152</v>
      </c>
      <c r="W18" s="179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205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205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10" t="s">
        <v>152</v>
      </c>
      <c r="S19" s="171" t="s">
        <v>152</v>
      </c>
      <c r="T19" s="171" t="s">
        <v>152</v>
      </c>
      <c r="U19" s="210" t="s">
        <v>152</v>
      </c>
      <c r="V19" s="171" t="s">
        <v>152</v>
      </c>
      <c r="W19" s="171" t="s">
        <v>152</v>
      </c>
    </row>
    <row r="20" spans="1:23" x14ac:dyDescent="0.25">
      <c r="A20" s="105" t="s">
        <v>260</v>
      </c>
      <c r="B20" s="165" t="s">
        <v>50</v>
      </c>
      <c r="C20" s="105" t="s">
        <v>47</v>
      </c>
      <c r="E20" s="105" t="s">
        <v>193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205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205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10" t="s">
        <v>152</v>
      </c>
      <c r="S20" s="179" t="s">
        <v>152</v>
      </c>
      <c r="T20" s="179" t="s">
        <v>152</v>
      </c>
      <c r="U20" s="210" t="s">
        <v>152</v>
      </c>
      <c r="V20" s="179" t="s">
        <v>152</v>
      </c>
      <c r="W20" s="179" t="s">
        <v>152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205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205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10" t="s">
        <v>152</v>
      </c>
      <c r="S21" s="171" t="s">
        <v>152</v>
      </c>
      <c r="T21" s="171" t="s">
        <v>152</v>
      </c>
      <c r="U21" s="210" t="s">
        <v>152</v>
      </c>
      <c r="V21" s="171" t="s">
        <v>152</v>
      </c>
      <c r="W21" s="171" t="s">
        <v>152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205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205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205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10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205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205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205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10" t="s">
        <v>152</v>
      </c>
      <c r="V23" s="213" t="s">
        <v>152</v>
      </c>
      <c r="W23" s="213" t="s">
        <v>152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205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205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205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10" t="s">
        <v>152</v>
      </c>
      <c r="V24" s="212" t="s">
        <v>152</v>
      </c>
      <c r="W24" s="212" t="s">
        <v>152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205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205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205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10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205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205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205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10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205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205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205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10" t="s">
        <v>152</v>
      </c>
      <c r="V27" s="213" t="s">
        <v>152</v>
      </c>
      <c r="W27" s="213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205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205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205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10" t="s">
        <v>152</v>
      </c>
      <c r="V28" s="212" t="s">
        <v>152</v>
      </c>
      <c r="W28" s="212" t="s">
        <v>152</v>
      </c>
    </row>
    <row r="29" spans="1:23" x14ac:dyDescent="0.25">
      <c r="A29" s="105"/>
      <c r="B29" s="105"/>
      <c r="C29" s="105"/>
      <c r="E29" s="105" t="s">
        <v>507</v>
      </c>
      <c r="F29" s="161">
        <v>650</v>
      </c>
      <c r="G29" s="171">
        <f>F29/$B$3</f>
        <v>65</v>
      </c>
      <c r="H29" s="163">
        <f>ROUND(F29/$B$4,2)</f>
        <v>43.33</v>
      </c>
      <c r="I29" s="161">
        <v>350000</v>
      </c>
      <c r="J29" s="171">
        <f>(Table9[[#This Row],[Dis. 1 price (SC or HC)]]/($B$17/$B$3))/$B$3</f>
        <v>58.333333333333336</v>
      </c>
      <c r="K29" s="171">
        <f>Table9[[#This Row],[Dis. 1 price (SC or HC)]]/$B$18</f>
        <v>22.875816993464056</v>
      </c>
      <c r="L29" s="205">
        <v>350000</v>
      </c>
      <c r="M29" s="171">
        <f>Table9[[#This Row],[Dis. 2 price (SC or HC)]]/$B$17</f>
        <v>58.333333333333336</v>
      </c>
      <c r="N29" s="171">
        <f>Table9[[#This Row],[Dis. 2 price (SC or HC)]]/$B$18</f>
        <v>22.875816993464056</v>
      </c>
      <c r="O29" s="205">
        <v>350000</v>
      </c>
      <c r="P29" s="171">
        <f>Table9[[#This Row],[Dis. 3 price (SC or HC)]]/$B$17</f>
        <v>58.333333333333336</v>
      </c>
      <c r="Q29" s="171">
        <f>Table9[[#This Row],[Dis. 3 price (SC or HC)]]/$B$18</f>
        <v>22.875816993464056</v>
      </c>
      <c r="R29" s="205">
        <v>45</v>
      </c>
      <c r="S29" s="171">
        <f>Table9[[#This Row],[Dis. 4 price (SC or HC)]]/$B$3</f>
        <v>4.5</v>
      </c>
      <c r="T29" s="171">
        <f>Table9[[#This Row],[Dis. 4 price (SC or HC)]]/$B$4</f>
        <v>3</v>
      </c>
      <c r="U29" s="210" t="s">
        <v>152</v>
      </c>
      <c r="V29" s="213" t="s">
        <v>152</v>
      </c>
      <c r="W29" s="213" t="s">
        <v>152</v>
      </c>
    </row>
    <row r="30" spans="1:23" x14ac:dyDescent="0.25">
      <c r="A30" s="105"/>
      <c r="B30" s="105"/>
      <c r="C30" s="105"/>
      <c r="E30" s="105" t="s">
        <v>236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152</v>
      </c>
      <c r="J30" s="179" t="s">
        <v>152</v>
      </c>
      <c r="K30" s="179" t="s">
        <v>152</v>
      </c>
      <c r="L30" s="205" t="s">
        <v>152</v>
      </c>
      <c r="M30" s="179" t="s">
        <v>152</v>
      </c>
      <c r="N30" s="179" t="s">
        <v>152</v>
      </c>
      <c r="O30" s="205" t="s">
        <v>152</v>
      </c>
      <c r="P30" s="179" t="s">
        <v>152</v>
      </c>
      <c r="Q30" s="179" t="s">
        <v>152</v>
      </c>
      <c r="R30" s="205" t="s">
        <v>152</v>
      </c>
      <c r="S30" s="179" t="s">
        <v>152</v>
      </c>
      <c r="T30" s="179" t="s">
        <v>152</v>
      </c>
      <c r="U30" s="210" t="s">
        <v>152</v>
      </c>
      <c r="V30" s="212" t="s">
        <v>152</v>
      </c>
      <c r="W30" s="212" t="s">
        <v>152</v>
      </c>
    </row>
    <row r="31" spans="1:23" x14ac:dyDescent="0.25">
      <c r="A31" s="148" t="s">
        <v>262</v>
      </c>
      <c r="B31" s="148" t="s">
        <v>263</v>
      </c>
      <c r="C31" s="105"/>
      <c r="E31" s="105" t="s">
        <v>237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152</v>
      </c>
      <c r="J31" s="171" t="s">
        <v>152</v>
      </c>
      <c r="K31" s="171" t="s">
        <v>152</v>
      </c>
      <c r="L31" s="205" t="s">
        <v>152</v>
      </c>
      <c r="M31" s="171" t="s">
        <v>152</v>
      </c>
      <c r="N31" s="171" t="s">
        <v>152</v>
      </c>
      <c r="O31" s="205" t="s">
        <v>152</v>
      </c>
      <c r="P31" s="171" t="s">
        <v>152</v>
      </c>
      <c r="Q31" s="171" t="s">
        <v>152</v>
      </c>
      <c r="R31" s="205" t="s">
        <v>152</v>
      </c>
      <c r="S31" s="171" t="s">
        <v>152</v>
      </c>
      <c r="T31" s="171" t="s">
        <v>152</v>
      </c>
      <c r="U31" s="210" t="s">
        <v>152</v>
      </c>
      <c r="V31" s="171" t="s">
        <v>152</v>
      </c>
      <c r="W31" s="171" t="s">
        <v>152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238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152</v>
      </c>
      <c r="J32" s="179" t="s">
        <v>152</v>
      </c>
      <c r="K32" s="179" t="s">
        <v>152</v>
      </c>
      <c r="L32" s="205" t="s">
        <v>152</v>
      </c>
      <c r="M32" s="179" t="s">
        <v>152</v>
      </c>
      <c r="N32" s="179" t="s">
        <v>152</v>
      </c>
      <c r="O32" s="205" t="s">
        <v>152</v>
      </c>
      <c r="P32" s="179" t="s">
        <v>152</v>
      </c>
      <c r="Q32" s="179" t="s">
        <v>152</v>
      </c>
      <c r="R32" s="205" t="s">
        <v>152</v>
      </c>
      <c r="S32" s="179" t="s">
        <v>152</v>
      </c>
      <c r="T32" s="179" t="s">
        <v>152</v>
      </c>
      <c r="U32" s="210" t="s">
        <v>152</v>
      </c>
      <c r="V32" s="179" t="s">
        <v>152</v>
      </c>
      <c r="W32" s="179" t="s">
        <v>152</v>
      </c>
    </row>
    <row r="33" spans="1:23" x14ac:dyDescent="0.25">
      <c r="E33" s="105" t="s">
        <v>239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152</v>
      </c>
      <c r="J33" s="171" t="s">
        <v>152</v>
      </c>
      <c r="K33" s="171" t="s">
        <v>152</v>
      </c>
      <c r="L33" s="205" t="s">
        <v>152</v>
      </c>
      <c r="M33" s="171" t="s">
        <v>152</v>
      </c>
      <c r="N33" s="171" t="s">
        <v>152</v>
      </c>
      <c r="O33" s="205" t="s">
        <v>152</v>
      </c>
      <c r="P33" s="171" t="s">
        <v>152</v>
      </c>
      <c r="Q33" s="171" t="s">
        <v>152</v>
      </c>
      <c r="R33" s="205" t="s">
        <v>152</v>
      </c>
      <c r="S33" s="171" t="s">
        <v>152</v>
      </c>
      <c r="T33" s="171" t="s">
        <v>152</v>
      </c>
      <c r="U33" s="210" t="s">
        <v>152</v>
      </c>
      <c r="V33" s="213" t="s">
        <v>152</v>
      </c>
      <c r="W33" s="213" t="s">
        <v>152</v>
      </c>
    </row>
    <row r="34" spans="1:23" ht="18.75" x14ac:dyDescent="0.3">
      <c r="A34" s="30" t="s">
        <v>232</v>
      </c>
      <c r="B34" s="36"/>
      <c r="C34" s="36"/>
      <c r="E34" s="105" t="s">
        <v>240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152</v>
      </c>
      <c r="J34" s="179" t="s">
        <v>152</v>
      </c>
      <c r="K34" s="179" t="s">
        <v>152</v>
      </c>
      <c r="L34" s="205" t="s">
        <v>152</v>
      </c>
      <c r="M34" s="179" t="s">
        <v>152</v>
      </c>
      <c r="N34" s="179" t="s">
        <v>152</v>
      </c>
      <c r="O34" s="205" t="s">
        <v>152</v>
      </c>
      <c r="P34" s="179" t="s">
        <v>152</v>
      </c>
      <c r="Q34" s="179" t="s">
        <v>152</v>
      </c>
      <c r="R34" s="205" t="s">
        <v>152</v>
      </c>
      <c r="S34" s="179" t="s">
        <v>152</v>
      </c>
      <c r="T34" s="179" t="s">
        <v>152</v>
      </c>
      <c r="U34" s="210" t="s">
        <v>152</v>
      </c>
      <c r="V34" s="212" t="s">
        <v>152</v>
      </c>
      <c r="W34" s="212" t="s">
        <v>152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9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188</v>
      </c>
      <c r="B39" s="36"/>
      <c r="C39" s="36"/>
      <c r="D39" t="s">
        <v>326</v>
      </c>
      <c r="E39" s="30" t="s">
        <v>233</v>
      </c>
      <c r="F39" s="36"/>
      <c r="G39" s="36"/>
      <c r="I39" s="30" t="s">
        <v>253</v>
      </c>
      <c r="J39" s="36"/>
      <c r="K39" s="36"/>
      <c r="M39" s="30" t="s">
        <v>254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189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190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379" t="s">
        <v>267</v>
      </c>
      <c r="B54" s="379"/>
      <c r="C54" s="379"/>
      <c r="D54" s="379"/>
      <c r="E54" s="379"/>
      <c r="F54" s="379"/>
      <c r="G54" s="379"/>
      <c r="H54" s="379"/>
      <c r="I54" s="379"/>
      <c r="J54" s="379"/>
      <c r="K54" s="379"/>
      <c r="L54" s="379"/>
      <c r="M54" s="379"/>
      <c r="N54" s="379"/>
      <c r="O54" s="379"/>
    </row>
    <row r="55" spans="1:15" ht="15" customHeight="1" x14ac:dyDescent="0.25">
      <c r="A55" s="379"/>
      <c r="B55" s="379"/>
      <c r="C55" s="379"/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79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258</v>
      </c>
      <c r="G57" s="36"/>
      <c r="H57" s="36"/>
      <c r="I57" s="36"/>
      <c r="K57" s="36" t="s">
        <v>325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205</v>
      </c>
      <c r="D59" s="137" t="s">
        <v>206</v>
      </c>
      <c r="F59" s="137" t="s">
        <v>202</v>
      </c>
      <c r="G59" s="126" t="s">
        <v>249</v>
      </c>
      <c r="H59" s="127" t="s">
        <v>245</v>
      </c>
      <c r="I59" s="128" t="s">
        <v>246</v>
      </c>
      <c r="K59" s="137" t="s">
        <v>122</v>
      </c>
      <c r="L59" s="126" t="s">
        <v>249</v>
      </c>
      <c r="M59" s="127" t="s">
        <v>247</v>
      </c>
      <c r="N59" s="128" t="s">
        <v>248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15">
        <v>1</v>
      </c>
      <c r="G60" s="129" t="s">
        <v>44</v>
      </c>
      <c r="H60" s="124">
        <f>B3*F60</f>
        <v>10</v>
      </c>
      <c r="I60" s="130">
        <f>B4*F60</f>
        <v>15</v>
      </c>
      <c r="K60" s="214">
        <v>1</v>
      </c>
      <c r="L60" s="129" t="s">
        <v>44</v>
      </c>
      <c r="M60" s="194">
        <f>ROUND((1/B3)*K60,3)</f>
        <v>0.1</v>
      </c>
      <c r="N60" s="195">
        <f>ROUND((1/B4)*K60,3)</f>
        <v>6.7000000000000004E-2</v>
      </c>
    </row>
    <row r="61" spans="1:15" ht="15.75" thickBot="1" x14ac:dyDescent="0.3">
      <c r="A61" s="216" t="s">
        <v>77</v>
      </c>
      <c r="B61" s="217">
        <v>0</v>
      </c>
      <c r="C61" s="218">
        <f>(B61/B17)</f>
        <v>0</v>
      </c>
      <c r="D61" s="219">
        <f>(B61/B18)</f>
        <v>0</v>
      </c>
      <c r="F61" s="231">
        <v>1</v>
      </c>
      <c r="G61" s="216" t="s">
        <v>77</v>
      </c>
      <c r="H61" s="229">
        <f>B17*F61</f>
        <v>6000</v>
      </c>
      <c r="I61" s="230">
        <f>B18*F61</f>
        <v>15299.999999999998</v>
      </c>
      <c r="K61" s="237">
        <v>1</v>
      </c>
      <c r="L61" s="216" t="s">
        <v>77</v>
      </c>
      <c r="M61" s="238">
        <f>ROUND((1/B17)*K61,10)</f>
        <v>1.6666669999999999E-4</v>
      </c>
      <c r="N61" s="239">
        <f>ROUND((1/B18)*K61,5)</f>
        <v>6.9999999999999994E-5</v>
      </c>
    </row>
    <row r="62" spans="1:15" x14ac:dyDescent="0.25">
      <c r="A62" s="129" t="s">
        <v>231</v>
      </c>
      <c r="B62" s="138">
        <v>0</v>
      </c>
      <c r="C62" s="139">
        <f>B62/B36</f>
        <v>0</v>
      </c>
      <c r="D62" s="140">
        <f>B62/B37</f>
        <v>0</v>
      </c>
      <c r="F62" s="215">
        <v>1</v>
      </c>
      <c r="G62" s="129" t="s">
        <v>231</v>
      </c>
      <c r="H62" s="124">
        <f>ROUND((B3/F3)*F62,1)</f>
        <v>1</v>
      </c>
      <c r="I62" s="130">
        <f>(B4/F3)*F62</f>
        <v>1.5</v>
      </c>
      <c r="K62" s="214">
        <v>1</v>
      </c>
      <c r="L62" s="129" t="s">
        <v>231</v>
      </c>
      <c r="M62" s="194">
        <f>G3*K62</f>
        <v>1</v>
      </c>
      <c r="N62" s="195">
        <f>H3*K62</f>
        <v>0.67</v>
      </c>
    </row>
    <row r="63" spans="1:15" x14ac:dyDescent="0.25">
      <c r="A63" s="131" t="s">
        <v>234</v>
      </c>
      <c r="B63" s="141">
        <v>0</v>
      </c>
      <c r="C63" s="142">
        <f>B63/F41</f>
        <v>0</v>
      </c>
      <c r="D63" s="143">
        <f>B63/F42</f>
        <v>0</v>
      </c>
      <c r="F63" s="215">
        <v>1</v>
      </c>
      <c r="G63" s="131" t="s">
        <v>234</v>
      </c>
      <c r="H63" s="125">
        <f>ROUND((B3/F4)*F63,1)</f>
        <v>0.5</v>
      </c>
      <c r="I63" s="132">
        <f>(B4/F4)*F63</f>
        <v>0.75</v>
      </c>
      <c r="K63" s="214">
        <v>1</v>
      </c>
      <c r="L63" s="131" t="s">
        <v>234</v>
      </c>
      <c r="M63" s="193">
        <f>G4*K63</f>
        <v>2</v>
      </c>
      <c r="N63" s="196">
        <f>H4*K63</f>
        <v>1.33</v>
      </c>
    </row>
    <row r="64" spans="1:15" x14ac:dyDescent="0.25">
      <c r="A64" s="129" t="s">
        <v>256</v>
      </c>
      <c r="B64" s="138">
        <v>0</v>
      </c>
      <c r="C64" s="139">
        <f>B64/J41</f>
        <v>0</v>
      </c>
      <c r="D64" s="140">
        <f>B64/J42</f>
        <v>0</v>
      </c>
      <c r="F64" s="215">
        <v>1</v>
      </c>
      <c r="G64" s="129" t="s">
        <v>256</v>
      </c>
      <c r="H64" s="124">
        <f>ROUND((B3/F12)*F64,2)</f>
        <v>0.33</v>
      </c>
      <c r="I64" s="130">
        <f>(B4/F12)*F64</f>
        <v>0.5</v>
      </c>
      <c r="K64" s="214">
        <v>1</v>
      </c>
      <c r="L64" s="129" t="s">
        <v>256</v>
      </c>
      <c r="M64" s="194">
        <f>G12*K64</f>
        <v>3</v>
      </c>
      <c r="N64" s="195">
        <f>H12*K64</f>
        <v>2</v>
      </c>
    </row>
    <row r="65" spans="1:14" ht="15.75" thickBot="1" x14ac:dyDescent="0.3">
      <c r="A65" s="216" t="s">
        <v>257</v>
      </c>
      <c r="B65" s="217">
        <v>0</v>
      </c>
      <c r="C65" s="218">
        <f>B65/N41</f>
        <v>0</v>
      </c>
      <c r="D65" s="219">
        <f>B65/N42</f>
        <v>0</v>
      </c>
      <c r="F65" s="231">
        <v>1</v>
      </c>
      <c r="G65" s="216" t="s">
        <v>257</v>
      </c>
      <c r="H65" s="229">
        <f>ROUND((B3/F13)*F65,2)</f>
        <v>0.2</v>
      </c>
      <c r="I65" s="230">
        <f>(B4/F13)*F65</f>
        <v>0.3</v>
      </c>
      <c r="K65" s="237">
        <v>1</v>
      </c>
      <c r="L65" s="216" t="s">
        <v>257</v>
      </c>
      <c r="M65" s="238">
        <f>G13*K65</f>
        <v>5</v>
      </c>
      <c r="N65" s="239">
        <f>H13*K65</f>
        <v>3.33</v>
      </c>
    </row>
    <row r="66" spans="1:14" x14ac:dyDescent="0.25">
      <c r="A66" s="129" t="s">
        <v>255</v>
      </c>
      <c r="B66" s="138">
        <v>0</v>
      </c>
      <c r="C66" s="139">
        <f>B66/B41</f>
        <v>0</v>
      </c>
      <c r="D66" s="140">
        <f>B66/B42</f>
        <v>0</v>
      </c>
      <c r="F66" s="215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14">
        <v>1</v>
      </c>
      <c r="L66" s="129" t="s">
        <v>123</v>
      </c>
      <c r="M66" s="194">
        <f>G7*K66</f>
        <v>2</v>
      </c>
      <c r="N66" s="195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15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14">
        <v>1</v>
      </c>
      <c r="L67" s="131" t="s">
        <v>124</v>
      </c>
      <c r="M67" s="193">
        <f>G8*K67</f>
        <v>5</v>
      </c>
      <c r="N67" s="196">
        <f>H8*K67</f>
        <v>3.33</v>
      </c>
    </row>
    <row r="68" spans="1:14" ht="15.75" thickBot="1" x14ac:dyDescent="0.3">
      <c r="A68" s="220" t="s">
        <v>125</v>
      </c>
      <c r="B68" s="221">
        <v>0</v>
      </c>
      <c r="C68" s="222">
        <f>B68/B51</f>
        <v>0</v>
      </c>
      <c r="D68" s="223">
        <f>B68/B52</f>
        <v>0</v>
      </c>
      <c r="F68" s="231">
        <v>1</v>
      </c>
      <c r="G68" s="220" t="s">
        <v>125</v>
      </c>
      <c r="H68" s="232">
        <f>ROUND((B3/F9)*F68,1)</f>
        <v>0.1</v>
      </c>
      <c r="I68" s="233">
        <f>(B4/F9)*F68</f>
        <v>0.15</v>
      </c>
      <c r="K68" s="237">
        <v>1</v>
      </c>
      <c r="L68" s="220" t="s">
        <v>125</v>
      </c>
      <c r="M68" s="240">
        <f>G9*K68</f>
        <v>10</v>
      </c>
      <c r="N68" s="241">
        <f>H9*K68</f>
        <v>6.67</v>
      </c>
    </row>
    <row r="69" spans="1:14" x14ac:dyDescent="0.25">
      <c r="A69" s="131" t="s">
        <v>204</v>
      </c>
      <c r="B69" s="141">
        <v>0</v>
      </c>
      <c r="C69" s="142">
        <f>G17*B69</f>
        <v>0</v>
      </c>
      <c r="D69" s="143">
        <f>H17*B69</f>
        <v>0</v>
      </c>
      <c r="F69" s="215">
        <v>1</v>
      </c>
      <c r="G69" s="131" t="s">
        <v>204</v>
      </c>
      <c r="H69" s="125">
        <f>ROUND(F69/G17,3)</f>
        <v>0.5</v>
      </c>
      <c r="I69" s="132">
        <f>ROUND(F69/H17,3)</f>
        <v>0.752</v>
      </c>
      <c r="K69" s="214">
        <v>1</v>
      </c>
      <c r="L69" s="131" t="s">
        <v>204</v>
      </c>
      <c r="M69" s="193">
        <f>G17*K69</f>
        <v>2</v>
      </c>
      <c r="N69" s="196">
        <f>H17*K69</f>
        <v>1.33</v>
      </c>
    </row>
    <row r="70" spans="1:14" x14ac:dyDescent="0.25">
      <c r="A70" s="224" t="s">
        <v>207</v>
      </c>
      <c r="B70" s="144">
        <v>0</v>
      </c>
      <c r="C70" s="226">
        <f>G18*B70</f>
        <v>0</v>
      </c>
      <c r="D70" s="227">
        <f>H18*B70</f>
        <v>0</v>
      </c>
      <c r="F70" s="234">
        <v>1</v>
      </c>
      <c r="G70" s="224" t="s">
        <v>207</v>
      </c>
      <c r="H70" s="235">
        <f>ROUND(F70/G18,3)</f>
        <v>0.28599999999999998</v>
      </c>
      <c r="I70" s="236">
        <f>ROUND(F70/H18,3)</f>
        <v>0.42899999999999999</v>
      </c>
      <c r="K70" s="242">
        <v>1</v>
      </c>
      <c r="L70" s="224" t="s">
        <v>207</v>
      </c>
      <c r="M70" s="243">
        <f>G18*K70</f>
        <v>3.5</v>
      </c>
      <c r="N70" s="244">
        <f>H18*K70</f>
        <v>2.33</v>
      </c>
    </row>
    <row r="71" spans="1:14" x14ac:dyDescent="0.25">
      <c r="A71" s="131" t="s">
        <v>208</v>
      </c>
      <c r="B71" s="141">
        <v>0</v>
      </c>
      <c r="C71" s="142">
        <f>G19*B71</f>
        <v>0</v>
      </c>
      <c r="D71" s="143">
        <f>H19*B71</f>
        <v>0</v>
      </c>
      <c r="F71" s="215">
        <v>1</v>
      </c>
      <c r="G71" s="131" t="s">
        <v>208</v>
      </c>
      <c r="H71" s="125">
        <f>ROUND(F71/G19,3)</f>
        <v>0.25</v>
      </c>
      <c r="I71" s="132">
        <f>ROUND(F71/H19,3)</f>
        <v>0.375</v>
      </c>
      <c r="K71" s="214">
        <v>1</v>
      </c>
      <c r="L71" s="131" t="s">
        <v>208</v>
      </c>
      <c r="M71" s="193">
        <f>G19*K71</f>
        <v>4</v>
      </c>
      <c r="N71" s="196">
        <f>H19*K71</f>
        <v>2.67</v>
      </c>
    </row>
    <row r="72" spans="1:14" x14ac:dyDescent="0.25">
      <c r="A72" s="129" t="s">
        <v>209</v>
      </c>
      <c r="B72" s="138">
        <v>0</v>
      </c>
      <c r="C72" s="139">
        <f>G20*B72</f>
        <v>0</v>
      </c>
      <c r="D72" s="140">
        <f>H20*B72</f>
        <v>0</v>
      </c>
      <c r="F72" s="215">
        <v>1</v>
      </c>
      <c r="G72" s="129" t="s">
        <v>209</v>
      </c>
      <c r="H72" s="124">
        <f>ROUND(F72/G20,3)</f>
        <v>0.2</v>
      </c>
      <c r="I72" s="130">
        <f>ROUND(F72/H20,3)</f>
        <v>0.3</v>
      </c>
      <c r="K72" s="214">
        <v>1</v>
      </c>
      <c r="L72" s="129" t="s">
        <v>209</v>
      </c>
      <c r="M72" s="194">
        <f>G20*K72</f>
        <v>5</v>
      </c>
      <c r="N72" s="195">
        <f>H20*K72</f>
        <v>3.33</v>
      </c>
    </row>
    <row r="73" spans="1:14" x14ac:dyDescent="0.25">
      <c r="A73" s="133" t="s">
        <v>210</v>
      </c>
      <c r="B73" s="225">
        <v>0</v>
      </c>
      <c r="C73" s="145">
        <f>G21*B73</f>
        <v>0</v>
      </c>
      <c r="D73" s="146">
        <f>H21*B73</f>
        <v>0</v>
      </c>
      <c r="F73" s="234">
        <v>1</v>
      </c>
      <c r="G73" s="133" t="s">
        <v>210</v>
      </c>
      <c r="H73" s="134">
        <f>ROUND(F73/G21,3)</f>
        <v>0.125</v>
      </c>
      <c r="I73" s="135">
        <f>ROUND(F73/H21,3)</f>
        <v>0.188</v>
      </c>
      <c r="K73" s="242">
        <v>1</v>
      </c>
      <c r="L73" s="133" t="s">
        <v>210</v>
      </c>
      <c r="M73" s="197">
        <f>G21*K73</f>
        <v>8</v>
      </c>
      <c r="N73" s="198">
        <f>H21*K73</f>
        <v>5.33</v>
      </c>
    </row>
    <row r="74" spans="1:14" x14ac:dyDescent="0.25">
      <c r="A74" s="129" t="s">
        <v>211</v>
      </c>
      <c r="B74" s="138">
        <v>0</v>
      </c>
      <c r="C74" s="139">
        <f>G22*B74</f>
        <v>0</v>
      </c>
      <c r="D74" s="140">
        <f>H22*B74</f>
        <v>0</v>
      </c>
      <c r="F74" s="215">
        <v>1</v>
      </c>
      <c r="G74" s="129" t="s">
        <v>211</v>
      </c>
      <c r="H74" s="124">
        <f>ROUND(F74/G22,3)</f>
        <v>0.1</v>
      </c>
      <c r="I74" s="130">
        <f>ROUND(F74/H22,3)</f>
        <v>0.15</v>
      </c>
      <c r="K74" s="214">
        <v>1</v>
      </c>
      <c r="L74" s="129" t="s">
        <v>211</v>
      </c>
      <c r="M74" s="194">
        <f>G22*K74</f>
        <v>10</v>
      </c>
      <c r="N74" s="195">
        <f>H22*K74</f>
        <v>6.67</v>
      </c>
    </row>
    <row r="75" spans="1:14" x14ac:dyDescent="0.25">
      <c r="A75" s="131" t="s">
        <v>212</v>
      </c>
      <c r="B75" s="141">
        <v>0</v>
      </c>
      <c r="C75" s="142">
        <f>G23*B75</f>
        <v>0</v>
      </c>
      <c r="D75" s="143">
        <f>H23*B75</f>
        <v>0</v>
      </c>
      <c r="F75" s="215">
        <v>1</v>
      </c>
      <c r="G75" s="131" t="s">
        <v>212</v>
      </c>
      <c r="H75" s="125">
        <f>ROUND(F75/G23,3)</f>
        <v>7.0999999999999994E-2</v>
      </c>
      <c r="I75" s="132">
        <f>ROUND(F75/H23,3)</f>
        <v>0.107</v>
      </c>
      <c r="K75" s="214">
        <v>1</v>
      </c>
      <c r="L75" s="131" t="s">
        <v>212</v>
      </c>
      <c r="M75" s="193">
        <f>G23*K75</f>
        <v>14</v>
      </c>
      <c r="N75" s="196">
        <f>H23*K75</f>
        <v>9.33</v>
      </c>
    </row>
    <row r="76" spans="1:14" x14ac:dyDescent="0.25">
      <c r="A76" s="224" t="s">
        <v>213</v>
      </c>
      <c r="B76" s="144">
        <v>0</v>
      </c>
      <c r="C76" s="226">
        <f>G24*B76</f>
        <v>0</v>
      </c>
      <c r="D76" s="227">
        <f>H24*B76</f>
        <v>0</v>
      </c>
      <c r="F76" s="234">
        <v>1</v>
      </c>
      <c r="G76" s="224" t="s">
        <v>213</v>
      </c>
      <c r="H76" s="235">
        <f>ROUND(F76/G24,3)</f>
        <v>5.7000000000000002E-2</v>
      </c>
      <c r="I76" s="236">
        <f>ROUND(F76/H24,3)</f>
        <v>8.5999999999999993E-2</v>
      </c>
      <c r="K76" s="242">
        <v>1</v>
      </c>
      <c r="L76" s="224" t="s">
        <v>213</v>
      </c>
      <c r="M76" s="243">
        <f>G24*K76</f>
        <v>17.5</v>
      </c>
      <c r="N76" s="244">
        <f>H24*K76</f>
        <v>11.67</v>
      </c>
    </row>
    <row r="77" spans="1:14" x14ac:dyDescent="0.25">
      <c r="A77" s="131" t="s">
        <v>214</v>
      </c>
      <c r="B77" s="141">
        <v>0</v>
      </c>
      <c r="C77" s="142">
        <f>G25*B77</f>
        <v>0</v>
      </c>
      <c r="D77" s="143">
        <f>H25*B77</f>
        <v>0</v>
      </c>
      <c r="F77" s="215">
        <v>1</v>
      </c>
      <c r="G77" s="131" t="s">
        <v>214</v>
      </c>
      <c r="H77" s="125">
        <f>ROUND(F77/G25,3)</f>
        <v>2.9000000000000001E-2</v>
      </c>
      <c r="I77" s="132">
        <f>ROUND(F77/H25,3)</f>
        <v>4.2999999999999997E-2</v>
      </c>
      <c r="K77" s="214">
        <v>1</v>
      </c>
      <c r="L77" s="131" t="s">
        <v>214</v>
      </c>
      <c r="M77" s="193">
        <f>G25*K77</f>
        <v>35</v>
      </c>
      <c r="N77" s="196">
        <f>H25*K77</f>
        <v>23.33</v>
      </c>
    </row>
    <row r="78" spans="1:14" x14ac:dyDescent="0.25">
      <c r="A78" s="129" t="s">
        <v>215</v>
      </c>
      <c r="B78" s="138">
        <v>0</v>
      </c>
      <c r="C78" s="139">
        <f>G26*B78</f>
        <v>0</v>
      </c>
      <c r="D78" s="140">
        <f>H26*B78</f>
        <v>0</v>
      </c>
      <c r="F78" s="215">
        <v>1</v>
      </c>
      <c r="G78" s="129" t="s">
        <v>215</v>
      </c>
      <c r="H78" s="124">
        <f>ROUND(F78/G26,3)</f>
        <v>2.5000000000000001E-2</v>
      </c>
      <c r="I78" s="130">
        <f>ROUND(F78/H26,3)</f>
        <v>3.6999999999999998E-2</v>
      </c>
      <c r="K78" s="214">
        <v>1</v>
      </c>
      <c r="L78" s="129" t="s">
        <v>215</v>
      </c>
      <c r="M78" s="194">
        <f>G26*K78</f>
        <v>40</v>
      </c>
      <c r="N78" s="195">
        <f>H26*K78</f>
        <v>26.67</v>
      </c>
    </row>
    <row r="79" spans="1:14" x14ac:dyDescent="0.25">
      <c r="A79" s="133" t="s">
        <v>216</v>
      </c>
      <c r="B79" s="225">
        <v>0</v>
      </c>
      <c r="C79" s="145">
        <f>G27*B79</f>
        <v>0</v>
      </c>
      <c r="D79" s="146">
        <f>H27*B79</f>
        <v>0</v>
      </c>
      <c r="F79" s="234">
        <v>1</v>
      </c>
      <c r="G79" s="133" t="s">
        <v>216</v>
      </c>
      <c r="H79" s="134">
        <f>ROUND(F79/G27,3)</f>
        <v>2.1999999999999999E-2</v>
      </c>
      <c r="I79" s="135">
        <f>ROUND(F79/H27,3)</f>
        <v>3.3000000000000002E-2</v>
      </c>
      <c r="K79" s="242">
        <v>1</v>
      </c>
      <c r="L79" s="133" t="s">
        <v>216</v>
      </c>
      <c r="M79" s="197">
        <f>G27*K79</f>
        <v>45</v>
      </c>
      <c r="N79" s="198">
        <f>H27*K79</f>
        <v>30</v>
      </c>
    </row>
    <row r="80" spans="1:14" x14ac:dyDescent="0.25">
      <c r="A80" s="129" t="s">
        <v>220</v>
      </c>
      <c r="B80" s="141">
        <v>0</v>
      </c>
      <c r="C80" s="139">
        <f>G28*B80</f>
        <v>0</v>
      </c>
      <c r="D80" s="140">
        <f>H28*B80</f>
        <v>0</v>
      </c>
      <c r="F80" s="385">
        <v>1</v>
      </c>
      <c r="G80" s="386" t="s">
        <v>220</v>
      </c>
      <c r="H80" s="387">
        <f>ROUND(F80/G28,3)</f>
        <v>1.7999999999999999E-2</v>
      </c>
      <c r="I80" s="388">
        <f>ROUND(F80/H28,3)</f>
        <v>2.7E-2</v>
      </c>
      <c r="K80" s="391">
        <v>1</v>
      </c>
      <c r="L80" s="386" t="s">
        <v>220</v>
      </c>
      <c r="M80" s="392">
        <f>G28*K80</f>
        <v>55</v>
      </c>
      <c r="N80" s="393">
        <f>H28*K80</f>
        <v>36.67</v>
      </c>
    </row>
    <row r="81" spans="1:14" x14ac:dyDescent="0.25">
      <c r="A81" s="133" t="s">
        <v>508</v>
      </c>
      <c r="B81" s="225">
        <v>0</v>
      </c>
      <c r="C81" s="145">
        <f>G29*B81</f>
        <v>0</v>
      </c>
      <c r="D81" s="146">
        <f>H29*B81</f>
        <v>0</v>
      </c>
      <c r="F81" s="234">
        <v>1</v>
      </c>
      <c r="G81" s="133" t="s">
        <v>508</v>
      </c>
      <c r="H81" s="134">
        <f>ROUND(F81/G29,3)</f>
        <v>1.4999999999999999E-2</v>
      </c>
      <c r="I81" s="135">
        <f>ROUND(F81/H29,3)</f>
        <v>2.3E-2</v>
      </c>
      <c r="K81" s="242">
        <v>1</v>
      </c>
      <c r="L81" s="133" t="s">
        <v>508</v>
      </c>
      <c r="M81" s="197">
        <f>G29*K81</f>
        <v>65</v>
      </c>
      <c r="N81" s="198">
        <f>H29*K81</f>
        <v>43.33</v>
      </c>
    </row>
    <row r="82" spans="1:14" x14ac:dyDescent="0.25">
      <c r="A82" s="129" t="s">
        <v>241</v>
      </c>
      <c r="B82" s="138">
        <v>0</v>
      </c>
      <c r="C82" s="139">
        <f>G30*B82</f>
        <v>0</v>
      </c>
      <c r="D82" s="140">
        <f>H30*B82</f>
        <v>0</v>
      </c>
      <c r="F82" s="215">
        <v>1</v>
      </c>
      <c r="G82" s="129" t="s">
        <v>413</v>
      </c>
      <c r="H82" s="124">
        <f>ROUND(F82/G30,3)</f>
        <v>0.105</v>
      </c>
      <c r="I82" s="130">
        <f>ROUND(F82/H30,3)</f>
        <v>0.158</v>
      </c>
      <c r="K82" s="214">
        <v>1</v>
      </c>
      <c r="L82" s="397" t="s">
        <v>241</v>
      </c>
      <c r="M82" s="398">
        <f>G30*K82</f>
        <v>9.5</v>
      </c>
      <c r="N82" s="399">
        <f>H30*K82</f>
        <v>6.33</v>
      </c>
    </row>
    <row r="83" spans="1:14" x14ac:dyDescent="0.25">
      <c r="A83" s="131" t="s">
        <v>242</v>
      </c>
      <c r="B83" s="138">
        <v>0</v>
      </c>
      <c r="C83" s="142">
        <f>G31*B83</f>
        <v>0</v>
      </c>
      <c r="D83" s="143">
        <f>H31*B83</f>
        <v>0</v>
      </c>
      <c r="F83" s="215">
        <v>1</v>
      </c>
      <c r="G83" s="131" t="s">
        <v>414</v>
      </c>
      <c r="H83" s="125">
        <f>ROUND(F83/G31,3)</f>
        <v>6.7000000000000004E-2</v>
      </c>
      <c r="I83" s="132">
        <f>ROUND(F83/H31,3)</f>
        <v>0.1</v>
      </c>
      <c r="K83" s="214">
        <v>1</v>
      </c>
      <c r="L83" s="394" t="s">
        <v>242</v>
      </c>
      <c r="M83" s="395">
        <f>G31*K83</f>
        <v>15</v>
      </c>
      <c r="N83" s="396">
        <f>H31*K83</f>
        <v>10</v>
      </c>
    </row>
    <row r="84" spans="1:14" x14ac:dyDescent="0.25">
      <c r="A84" s="129" t="s">
        <v>243</v>
      </c>
      <c r="B84" s="141">
        <v>0</v>
      </c>
      <c r="C84" s="139">
        <f>G32*B84</f>
        <v>0</v>
      </c>
      <c r="D84" s="140">
        <f>H32*B84</f>
        <v>0</v>
      </c>
      <c r="F84" s="215">
        <v>1</v>
      </c>
      <c r="G84" s="129" t="s">
        <v>243</v>
      </c>
      <c r="H84" s="124">
        <f>ROUND(F84/G32,3)</f>
        <v>0.05</v>
      </c>
      <c r="I84" s="130">
        <f>ROUND(F84/H32,3)</f>
        <v>7.4999999999999997E-2</v>
      </c>
      <c r="K84" s="214">
        <v>1</v>
      </c>
      <c r="L84" s="397" t="s">
        <v>243</v>
      </c>
      <c r="M84" s="398">
        <f>G32*K84</f>
        <v>20</v>
      </c>
      <c r="N84" s="399">
        <f>H32*K84</f>
        <v>13.33</v>
      </c>
    </row>
    <row r="85" spans="1:14" x14ac:dyDescent="0.25">
      <c r="A85" s="131" t="s">
        <v>244</v>
      </c>
      <c r="B85" s="138">
        <v>0</v>
      </c>
      <c r="C85" s="142">
        <f>G33*B85</f>
        <v>0</v>
      </c>
      <c r="D85" s="143">
        <f>H33*B85</f>
        <v>0</v>
      </c>
      <c r="F85" s="215">
        <v>1</v>
      </c>
      <c r="G85" s="131" t="s">
        <v>244</v>
      </c>
      <c r="H85" s="125">
        <f>ROUND(F85/G33,3)</f>
        <v>0.04</v>
      </c>
      <c r="I85" s="132">
        <f>ROUND(F85/H33,3)</f>
        <v>0.06</v>
      </c>
      <c r="K85" s="214">
        <v>1</v>
      </c>
      <c r="L85" s="394" t="s">
        <v>244</v>
      </c>
      <c r="M85" s="395">
        <f>G33*K85</f>
        <v>25</v>
      </c>
      <c r="N85" s="396">
        <f>H33*K85</f>
        <v>16.670000000000002</v>
      </c>
    </row>
    <row r="86" spans="1:14" ht="15.75" thickBot="1" x14ac:dyDescent="0.3">
      <c r="A86" s="382" t="s">
        <v>250</v>
      </c>
      <c r="B86" s="217">
        <v>0</v>
      </c>
      <c r="C86" s="383">
        <f>G34*B86</f>
        <v>0</v>
      </c>
      <c r="D86" s="384">
        <f>H34*B86</f>
        <v>0</v>
      </c>
      <c r="F86" s="231">
        <v>1</v>
      </c>
      <c r="G86" s="382" t="s">
        <v>250</v>
      </c>
      <c r="H86" s="389">
        <f>ROUND(F86/G34,3)</f>
        <v>3.3000000000000002E-2</v>
      </c>
      <c r="I86" s="390">
        <f>ROUND(F86/H34,3)</f>
        <v>0.05</v>
      </c>
      <c r="K86" s="237">
        <v>1</v>
      </c>
      <c r="L86" s="382" t="s">
        <v>250</v>
      </c>
      <c r="M86" s="400">
        <f>G34*K86</f>
        <v>30</v>
      </c>
      <c r="N86" s="401">
        <f>H34*K86</f>
        <v>20</v>
      </c>
    </row>
    <row r="87" spans="1:14" x14ac:dyDescent="0.25">
      <c r="A87" s="394" t="s">
        <v>284</v>
      </c>
      <c r="B87" s="101">
        <v>0</v>
      </c>
      <c r="C87" s="408">
        <f>B87*J17</f>
        <v>0</v>
      </c>
      <c r="D87" s="409">
        <f>B87*K17</f>
        <v>0</v>
      </c>
      <c r="F87" s="215">
        <v>1</v>
      </c>
      <c r="G87" s="394" t="s">
        <v>284</v>
      </c>
      <c r="H87" s="412">
        <f>ROUND(F87/J17,2)</f>
        <v>3.53</v>
      </c>
      <c r="I87" s="413">
        <f>ROUND(F87/K17,2)</f>
        <v>9</v>
      </c>
      <c r="K87" s="214">
        <v>1</v>
      </c>
      <c r="L87" s="394" t="s">
        <v>284</v>
      </c>
      <c r="M87" s="395">
        <f>K87*J17</f>
        <v>0.28333333333333333</v>
      </c>
      <c r="N87" s="396">
        <f>K87*K17</f>
        <v>0.11111111111111112</v>
      </c>
    </row>
    <row r="88" spans="1:14" x14ac:dyDescent="0.25">
      <c r="A88" s="403" t="s">
        <v>285</v>
      </c>
      <c r="B88" s="228">
        <v>0</v>
      </c>
      <c r="C88" s="404">
        <f>B88*M17</f>
        <v>0</v>
      </c>
      <c r="D88" s="405">
        <f>B88*N17</f>
        <v>0</v>
      </c>
      <c r="F88" s="234">
        <v>1</v>
      </c>
      <c r="G88" s="403" t="s">
        <v>285</v>
      </c>
      <c r="H88" s="416">
        <f>ROUND(F88/M17,2)</f>
        <v>2</v>
      </c>
      <c r="I88" s="417">
        <f>ROUND(F88/N17,2)</f>
        <v>3</v>
      </c>
      <c r="K88" s="242">
        <v>1</v>
      </c>
      <c r="L88" s="403" t="s">
        <v>285</v>
      </c>
      <c r="M88" s="420">
        <f>K88*M17</f>
        <v>0.5</v>
      </c>
      <c r="N88" s="421">
        <f>K88*N17</f>
        <v>0.33333333333333331</v>
      </c>
    </row>
    <row r="89" spans="1:14" x14ac:dyDescent="0.25">
      <c r="A89" s="394" t="s">
        <v>286</v>
      </c>
      <c r="B89" s="101">
        <v>0</v>
      </c>
      <c r="C89" s="408">
        <f>B89*J18</f>
        <v>0</v>
      </c>
      <c r="D89" s="409">
        <f>B89*K18</f>
        <v>0</v>
      </c>
      <c r="F89" s="215">
        <v>1</v>
      </c>
      <c r="G89" s="394" t="s">
        <v>286</v>
      </c>
      <c r="H89" s="412">
        <f>ROUND(F89/J18,2)</f>
        <v>1.1299999999999999</v>
      </c>
      <c r="I89" s="413">
        <f>ROUND(F89/K18,2)</f>
        <v>2.89</v>
      </c>
      <c r="K89" s="214">
        <v>1</v>
      </c>
      <c r="L89" s="394" t="s">
        <v>286</v>
      </c>
      <c r="M89" s="395">
        <f>K89*J18</f>
        <v>0.8833333333333333</v>
      </c>
      <c r="N89" s="396">
        <f>K89*K18</f>
        <v>0.34640522875816998</v>
      </c>
    </row>
    <row r="90" spans="1:14" x14ac:dyDescent="0.25">
      <c r="A90" s="403" t="s">
        <v>287</v>
      </c>
      <c r="B90" s="228">
        <v>0</v>
      </c>
      <c r="C90" s="404">
        <f>B90*M18</f>
        <v>0</v>
      </c>
      <c r="D90" s="405">
        <f>B90*N18</f>
        <v>0</v>
      </c>
      <c r="F90" s="234">
        <v>1</v>
      </c>
      <c r="G90" s="403" t="s">
        <v>287</v>
      </c>
      <c r="H90" s="416">
        <f>ROUND(F90/M18,2)</f>
        <v>1</v>
      </c>
      <c r="I90" s="417">
        <f>ROUND(F90/N18,2)</f>
        <v>1.5</v>
      </c>
      <c r="K90" s="242">
        <v>1</v>
      </c>
      <c r="L90" s="403" t="s">
        <v>287</v>
      </c>
      <c r="M90" s="420">
        <f>K90*M18</f>
        <v>1</v>
      </c>
      <c r="N90" s="421">
        <f>K90*N18</f>
        <v>0.66666666666666663</v>
      </c>
    </row>
    <row r="91" spans="1:14" x14ac:dyDescent="0.25">
      <c r="A91" s="394" t="s">
        <v>288</v>
      </c>
      <c r="B91" s="101">
        <v>0</v>
      </c>
      <c r="C91" s="408">
        <f>B91*J19</f>
        <v>0</v>
      </c>
      <c r="D91" s="409">
        <f>B91*K19</f>
        <v>0</v>
      </c>
      <c r="F91" s="215">
        <v>1</v>
      </c>
      <c r="G91" s="394" t="s">
        <v>288</v>
      </c>
      <c r="H91" s="412">
        <f>ROUND(F91/J19,2)</f>
        <v>0.6</v>
      </c>
      <c r="I91" s="413">
        <f>ROUND(F91/K19,2)</f>
        <v>1.53</v>
      </c>
      <c r="K91" s="214">
        <v>1</v>
      </c>
      <c r="L91" s="394" t="s">
        <v>288</v>
      </c>
      <c r="M91" s="395">
        <f>K91*J19</f>
        <v>1.6666666666666667</v>
      </c>
      <c r="N91" s="396">
        <f>K91*K19</f>
        <v>0.65359477124183019</v>
      </c>
    </row>
    <row r="92" spans="1:14" x14ac:dyDescent="0.25">
      <c r="A92" s="397" t="s">
        <v>289</v>
      </c>
      <c r="B92" s="101">
        <v>0</v>
      </c>
      <c r="C92" s="406">
        <f>B92*M19</f>
        <v>0</v>
      </c>
      <c r="D92" s="407">
        <f>B92*N19</f>
        <v>0</v>
      </c>
      <c r="F92" s="215">
        <v>1</v>
      </c>
      <c r="G92" s="397" t="s">
        <v>289</v>
      </c>
      <c r="H92" s="418">
        <f>ROUND(F92/M19,2)</f>
        <v>0.6</v>
      </c>
      <c r="I92" s="419">
        <f>ROUND(F92/N19,2)</f>
        <v>1.53</v>
      </c>
      <c r="K92" s="214">
        <v>1</v>
      </c>
      <c r="L92" s="397" t="s">
        <v>289</v>
      </c>
      <c r="M92" s="398">
        <f>K92*M19</f>
        <v>1.6666666666666667</v>
      </c>
      <c r="N92" s="399">
        <f>K92*N19</f>
        <v>0.65359477124183019</v>
      </c>
    </row>
    <row r="93" spans="1:14" x14ac:dyDescent="0.25">
      <c r="A93" s="402" t="s">
        <v>290</v>
      </c>
      <c r="B93" s="228">
        <v>0</v>
      </c>
      <c r="C93" s="410">
        <f>B93*P19</f>
        <v>0</v>
      </c>
      <c r="D93" s="411">
        <f>B93*Q19</f>
        <v>0</v>
      </c>
      <c r="F93" s="234">
        <v>1</v>
      </c>
      <c r="G93" s="402" t="s">
        <v>290</v>
      </c>
      <c r="H93" s="414">
        <f>ROUND(F93/P19,2)</f>
        <v>0.67</v>
      </c>
      <c r="I93" s="415">
        <f>ROUND(F93/Q19,2)</f>
        <v>1</v>
      </c>
      <c r="K93" s="242">
        <v>1</v>
      </c>
      <c r="L93" s="402" t="s">
        <v>290</v>
      </c>
      <c r="M93" s="422">
        <f>K93*P19</f>
        <v>1.5</v>
      </c>
      <c r="N93" s="423">
        <f>K93*Q19</f>
        <v>1</v>
      </c>
    </row>
    <row r="94" spans="1:14" x14ac:dyDescent="0.25">
      <c r="A94" s="397" t="s">
        <v>291</v>
      </c>
      <c r="B94" s="101">
        <v>0</v>
      </c>
      <c r="C94" s="406">
        <f>B94*J20</f>
        <v>0</v>
      </c>
      <c r="D94" s="407">
        <f>B94*K20</f>
        <v>0</v>
      </c>
      <c r="F94" s="215">
        <v>1</v>
      </c>
      <c r="G94" s="397" t="s">
        <v>291</v>
      </c>
      <c r="H94" s="418">
        <f>ROUND(F94/J20,2)</f>
        <v>0.2</v>
      </c>
      <c r="I94" s="419">
        <f>ROUND(F94/K20,2)</f>
        <v>0.51</v>
      </c>
      <c r="K94" s="214">
        <v>1</v>
      </c>
      <c r="L94" s="397" t="s">
        <v>291</v>
      </c>
      <c r="M94" s="398">
        <f>K94*J20</f>
        <v>5</v>
      </c>
      <c r="N94" s="399">
        <f>K94*K20</f>
        <v>1.9607843137254903</v>
      </c>
    </row>
    <row r="95" spans="1:14" x14ac:dyDescent="0.25">
      <c r="A95" s="394" t="s">
        <v>292</v>
      </c>
      <c r="B95" s="101">
        <v>0</v>
      </c>
      <c r="C95" s="408">
        <f>B95*M20</f>
        <v>0</v>
      </c>
      <c r="D95" s="409">
        <f>B95*N20</f>
        <v>0</v>
      </c>
      <c r="F95" s="215">
        <v>1</v>
      </c>
      <c r="G95" s="394" t="s">
        <v>292</v>
      </c>
      <c r="H95" s="412">
        <f>ROUND(F95/M20,2)</f>
        <v>0.2</v>
      </c>
      <c r="I95" s="413">
        <f>ROUND(F95/N20,2)</f>
        <v>0.51</v>
      </c>
      <c r="K95" s="214">
        <v>1</v>
      </c>
      <c r="L95" s="394" t="s">
        <v>292</v>
      </c>
      <c r="M95" s="395">
        <f>K95*M20</f>
        <v>5</v>
      </c>
      <c r="N95" s="396">
        <f>K95*N20</f>
        <v>1.9607843137254903</v>
      </c>
    </row>
    <row r="96" spans="1:14" x14ac:dyDescent="0.25">
      <c r="A96" s="403" t="s">
        <v>293</v>
      </c>
      <c r="B96" s="228">
        <v>0</v>
      </c>
      <c r="C96" s="404">
        <f>B96*P20</f>
        <v>0</v>
      </c>
      <c r="D96" s="405">
        <f>B96*Q20</f>
        <v>0</v>
      </c>
      <c r="F96" s="234">
        <v>1</v>
      </c>
      <c r="G96" s="403" t="s">
        <v>293</v>
      </c>
      <c r="H96" s="416">
        <f>ROUND(F96/P20,2)</f>
        <v>0.67</v>
      </c>
      <c r="I96" s="417">
        <f>ROUND(F96/Q20,2)</f>
        <v>1</v>
      </c>
      <c r="J96" t="s">
        <v>326</v>
      </c>
      <c r="K96" s="242">
        <v>1</v>
      </c>
      <c r="L96" s="403" t="s">
        <v>293</v>
      </c>
      <c r="M96" s="420">
        <f>K96*P20</f>
        <v>1.5</v>
      </c>
      <c r="N96" s="421">
        <f>K96*Q20</f>
        <v>1</v>
      </c>
    </row>
    <row r="97" spans="1:14" x14ac:dyDescent="0.25">
      <c r="A97" s="394" t="s">
        <v>294</v>
      </c>
      <c r="B97" s="101">
        <v>0</v>
      </c>
      <c r="C97" s="408">
        <f>B97*J21</f>
        <v>0</v>
      </c>
      <c r="D97" s="409">
        <f>B97*K21</f>
        <v>0</v>
      </c>
      <c r="F97" s="215">
        <v>1</v>
      </c>
      <c r="G97" s="394" t="s">
        <v>294</v>
      </c>
      <c r="H97" s="412">
        <f>ROUND(F97/J21,2)</f>
        <v>0.1</v>
      </c>
      <c r="I97" s="413">
        <f>ROUND(F97/K21,2)</f>
        <v>0.26</v>
      </c>
      <c r="K97" s="214">
        <v>1</v>
      </c>
      <c r="L97" s="394" t="s">
        <v>294</v>
      </c>
      <c r="M97" s="395">
        <f>K97*J21</f>
        <v>9.6666666666666661</v>
      </c>
      <c r="N97" s="396">
        <f>K97*K21</f>
        <v>3.7908496732026147</v>
      </c>
    </row>
    <row r="98" spans="1:14" x14ac:dyDescent="0.25">
      <c r="A98" s="397" t="s">
        <v>295</v>
      </c>
      <c r="B98" s="101">
        <v>0</v>
      </c>
      <c r="C98" s="406">
        <f>B98*M21</f>
        <v>0</v>
      </c>
      <c r="D98" s="407">
        <f>B98*N21</f>
        <v>0</v>
      </c>
      <c r="F98" s="215">
        <v>1</v>
      </c>
      <c r="G98" s="397" t="s">
        <v>295</v>
      </c>
      <c r="H98" s="418">
        <f>ROUND(F98/M21,2)</f>
        <v>0.1</v>
      </c>
      <c r="I98" s="419">
        <f>ROUND(F98/N21,2)</f>
        <v>0.26</v>
      </c>
      <c r="K98" s="214">
        <v>1</v>
      </c>
      <c r="L98" s="397" t="s">
        <v>295</v>
      </c>
      <c r="M98" s="398">
        <f>K98*M21</f>
        <v>9.6666666666666661</v>
      </c>
      <c r="N98" s="399">
        <f>K98*N21</f>
        <v>3.7908496732026147</v>
      </c>
    </row>
    <row r="99" spans="1:14" x14ac:dyDescent="0.25">
      <c r="A99" s="402" t="s">
        <v>296</v>
      </c>
      <c r="B99" s="228">
        <v>0</v>
      </c>
      <c r="C99" s="410">
        <f>B99*P21</f>
        <v>0</v>
      </c>
      <c r="D99" s="411">
        <f>B99*Q21</f>
        <v>0</v>
      </c>
      <c r="F99" s="234">
        <v>1</v>
      </c>
      <c r="G99" s="402" t="s">
        <v>296</v>
      </c>
      <c r="H99" s="414">
        <f>ROUND(F99/P21,2)</f>
        <v>0.67</v>
      </c>
      <c r="I99" s="415">
        <f>ROUND(F99/Q21,2)</f>
        <v>1</v>
      </c>
      <c r="K99" s="242">
        <v>1</v>
      </c>
      <c r="L99" s="402" t="s">
        <v>296</v>
      </c>
      <c r="M99" s="422">
        <f>K99*P21</f>
        <v>1.5</v>
      </c>
      <c r="N99" s="423">
        <f>K99*Q21</f>
        <v>1</v>
      </c>
    </row>
    <row r="100" spans="1:14" x14ac:dyDescent="0.25">
      <c r="A100" s="397" t="s">
        <v>297</v>
      </c>
      <c r="B100" s="101">
        <v>0</v>
      </c>
      <c r="C100" s="406">
        <f>B100*J22</f>
        <v>0</v>
      </c>
      <c r="D100" s="407">
        <f>B100*K22</f>
        <v>0</v>
      </c>
      <c r="F100" s="215">
        <v>1</v>
      </c>
      <c r="G100" s="397" t="s">
        <v>297</v>
      </c>
      <c r="H100" s="418">
        <f>ROUND(F100/J22,4)</f>
        <v>0.08</v>
      </c>
      <c r="I100" s="419">
        <f>ROUND(F100/K22,4)</f>
        <v>0.20399999999999999</v>
      </c>
      <c r="K100" s="214">
        <v>1</v>
      </c>
      <c r="L100" s="397" t="s">
        <v>297</v>
      </c>
      <c r="M100" s="398">
        <f>K100*J22</f>
        <v>12.5</v>
      </c>
      <c r="N100" s="399">
        <f>K100*K22</f>
        <v>4.9019607843137258</v>
      </c>
    </row>
    <row r="101" spans="1:14" x14ac:dyDescent="0.25">
      <c r="A101" s="394" t="s">
        <v>298</v>
      </c>
      <c r="B101" s="101">
        <v>0</v>
      </c>
      <c r="C101" s="408">
        <f>B101*M22</f>
        <v>0</v>
      </c>
      <c r="D101" s="409">
        <f>B101*N22</f>
        <v>0</v>
      </c>
      <c r="F101" s="215">
        <v>1</v>
      </c>
      <c r="G101" s="394" t="s">
        <v>298</v>
      </c>
      <c r="H101" s="412">
        <f>ROUND(F101/M22,4)</f>
        <v>0.08</v>
      </c>
      <c r="I101" s="413">
        <f>ROUND(F101/N22,4)</f>
        <v>0.20399999999999999</v>
      </c>
      <c r="K101" s="214">
        <v>1</v>
      </c>
      <c r="L101" s="394" t="s">
        <v>298</v>
      </c>
      <c r="M101" s="395">
        <f>K101*M22</f>
        <v>12.5</v>
      </c>
      <c r="N101" s="396">
        <f>K101*N22</f>
        <v>4.9019607843137258</v>
      </c>
    </row>
    <row r="102" spans="1:14" x14ac:dyDescent="0.25">
      <c r="A102" s="397" t="s">
        <v>299</v>
      </c>
      <c r="B102" s="101">
        <v>0</v>
      </c>
      <c r="C102" s="406">
        <f>B102*P22</f>
        <v>0</v>
      </c>
      <c r="D102" s="407">
        <f>B102*Q22</f>
        <v>0</v>
      </c>
      <c r="F102" s="215">
        <v>1</v>
      </c>
      <c r="G102" s="397" t="s">
        <v>299</v>
      </c>
      <c r="H102" s="418">
        <f>ROUND(F102/P22,4)</f>
        <v>0.08</v>
      </c>
      <c r="I102" s="419">
        <f>ROUND(F102/Q22,4)</f>
        <v>0.20399999999999999</v>
      </c>
      <c r="K102" s="214">
        <v>1</v>
      </c>
      <c r="L102" s="397" t="s">
        <v>299</v>
      </c>
      <c r="M102" s="398">
        <f>K102*P22</f>
        <v>12.5</v>
      </c>
      <c r="N102" s="399">
        <f>K102*Q22</f>
        <v>4.9019607843137258</v>
      </c>
    </row>
    <row r="103" spans="1:14" x14ac:dyDescent="0.25">
      <c r="A103" s="394" t="s">
        <v>300</v>
      </c>
      <c r="B103" s="101">
        <v>0</v>
      </c>
      <c r="C103" s="408">
        <f>B103*S22</f>
        <v>0</v>
      </c>
      <c r="D103" s="409">
        <f>B103*T22</f>
        <v>0</v>
      </c>
      <c r="F103" s="215">
        <v>1</v>
      </c>
      <c r="G103" s="394" t="s">
        <v>300</v>
      </c>
      <c r="H103" s="412">
        <f>ROUND(F103/S22,4)</f>
        <v>0.22220000000000001</v>
      </c>
      <c r="I103" s="413">
        <f>ROUND(F103/T22,4)</f>
        <v>0.33329999999999999</v>
      </c>
      <c r="K103" s="214">
        <v>1</v>
      </c>
      <c r="L103" s="394" t="s">
        <v>300</v>
      </c>
      <c r="M103" s="395">
        <f>K103*S22</f>
        <v>4.5</v>
      </c>
      <c r="N103" s="396">
        <f>K103*T22</f>
        <v>3</v>
      </c>
    </row>
    <row r="104" spans="1:14" x14ac:dyDescent="0.25">
      <c r="A104" s="403" t="s">
        <v>493</v>
      </c>
      <c r="B104" s="228">
        <v>0</v>
      </c>
      <c r="C104" s="404">
        <f>B104*V25</f>
        <v>0</v>
      </c>
      <c r="D104" s="405">
        <f>B104*W22</f>
        <v>0</v>
      </c>
      <c r="F104" s="234">
        <v>1</v>
      </c>
      <c r="G104" s="403" t="s">
        <v>500</v>
      </c>
      <c r="H104" s="416">
        <f>ROUND(F104/V22,4)</f>
        <v>0.18179999999999999</v>
      </c>
      <c r="I104" s="417">
        <f>ROUND(F104/W22,4)</f>
        <v>0.2727</v>
      </c>
      <c r="K104" s="242">
        <v>1</v>
      </c>
      <c r="L104" s="403" t="s">
        <v>500</v>
      </c>
      <c r="M104" s="420">
        <f>K104*V22</f>
        <v>5.5</v>
      </c>
      <c r="N104" s="421">
        <f>K104*W22</f>
        <v>3.6666666666666665</v>
      </c>
    </row>
    <row r="105" spans="1:14" x14ac:dyDescent="0.25">
      <c r="A105" s="394" t="s">
        <v>301</v>
      </c>
      <c r="B105" s="101">
        <v>0</v>
      </c>
      <c r="C105" s="408">
        <f>B105*J23</f>
        <v>0</v>
      </c>
      <c r="D105" s="409">
        <f>B105*K23</f>
        <v>0</v>
      </c>
      <c r="F105" s="215">
        <v>1</v>
      </c>
      <c r="G105" s="394" t="s">
        <v>301</v>
      </c>
      <c r="H105" s="412">
        <f>ROUND(F105/J23,4)</f>
        <v>7.4999999999999997E-2</v>
      </c>
      <c r="I105" s="413">
        <f>ROUND(F105/K23,4)</f>
        <v>0.1913</v>
      </c>
      <c r="K105" s="214">
        <v>1</v>
      </c>
      <c r="L105" s="394" t="s">
        <v>301</v>
      </c>
      <c r="M105" s="395">
        <f>K105*J23</f>
        <v>13.333333333333334</v>
      </c>
      <c r="N105" s="396">
        <f>K105*K23</f>
        <v>5.2287581699346415</v>
      </c>
    </row>
    <row r="106" spans="1:14" x14ac:dyDescent="0.25">
      <c r="A106" s="397" t="s">
        <v>302</v>
      </c>
      <c r="B106" s="101">
        <v>0</v>
      </c>
      <c r="C106" s="406">
        <f>B106*M23</f>
        <v>0</v>
      </c>
      <c r="D106" s="407">
        <f>B106*N23</f>
        <v>0</v>
      </c>
      <c r="F106" s="215">
        <v>1</v>
      </c>
      <c r="G106" s="397" t="s">
        <v>302</v>
      </c>
      <c r="H106" s="418">
        <f>ROUND(F106/M23,4)</f>
        <v>7.4999999999999997E-2</v>
      </c>
      <c r="I106" s="419">
        <f>ROUND(F106/N23,4)</f>
        <v>0.1913</v>
      </c>
      <c r="K106" s="214">
        <v>1</v>
      </c>
      <c r="L106" s="397" t="s">
        <v>302</v>
      </c>
      <c r="M106" s="398">
        <f>K106*M23</f>
        <v>13.333333333333334</v>
      </c>
      <c r="N106" s="399">
        <f>K106*N23</f>
        <v>5.2287581699346415</v>
      </c>
    </row>
    <row r="107" spans="1:14" x14ac:dyDescent="0.25">
      <c r="A107" s="394" t="s">
        <v>303</v>
      </c>
      <c r="B107" s="101">
        <v>0</v>
      </c>
      <c r="C107" s="408">
        <f>B107*P23</f>
        <v>0</v>
      </c>
      <c r="D107" s="409">
        <f>B107*Q23</f>
        <v>0</v>
      </c>
      <c r="F107" s="215">
        <v>1</v>
      </c>
      <c r="G107" s="394" t="s">
        <v>303</v>
      </c>
      <c r="H107" s="412">
        <f>ROUND(F107/P23,4)</f>
        <v>7.4999999999999997E-2</v>
      </c>
      <c r="I107" s="413">
        <f>ROUND(F107/Q23,4)</f>
        <v>0.1913</v>
      </c>
      <c r="K107" s="214">
        <v>1</v>
      </c>
      <c r="L107" s="394" t="s">
        <v>303</v>
      </c>
      <c r="M107" s="395">
        <f>K107*P23</f>
        <v>13.333333333333334</v>
      </c>
      <c r="N107" s="396">
        <f>K107*Q23</f>
        <v>5.2287581699346415</v>
      </c>
    </row>
    <row r="108" spans="1:14" x14ac:dyDescent="0.25">
      <c r="A108" s="403" t="s">
        <v>304</v>
      </c>
      <c r="B108" s="228">
        <v>0</v>
      </c>
      <c r="C108" s="404">
        <f>B108*S23</f>
        <v>0</v>
      </c>
      <c r="D108" s="405">
        <f>B108*T23</f>
        <v>0</v>
      </c>
      <c r="F108" s="234">
        <v>1</v>
      </c>
      <c r="G108" s="403" t="s">
        <v>304</v>
      </c>
      <c r="H108" s="416">
        <f>ROUND(F108/S23,4)</f>
        <v>0.22220000000000001</v>
      </c>
      <c r="I108" s="417">
        <f>ROUND(F108/T23,4)</f>
        <v>0.33329999999999999</v>
      </c>
      <c r="K108" s="242">
        <v>1</v>
      </c>
      <c r="L108" s="403" t="s">
        <v>304</v>
      </c>
      <c r="M108" s="420">
        <f>K108*S23</f>
        <v>4.5</v>
      </c>
      <c r="N108" s="421">
        <f>K108*T23</f>
        <v>3</v>
      </c>
    </row>
    <row r="109" spans="1:14" x14ac:dyDescent="0.25">
      <c r="A109" s="394" t="s">
        <v>305</v>
      </c>
      <c r="B109" s="101">
        <v>0</v>
      </c>
      <c r="C109" s="408">
        <f>B109*J24</f>
        <v>0</v>
      </c>
      <c r="D109" s="409">
        <f>B109*K24</f>
        <v>0</v>
      </c>
      <c r="F109" s="215">
        <v>1</v>
      </c>
      <c r="G109" s="394" t="s">
        <v>305</v>
      </c>
      <c r="H109" s="412">
        <f>ROUND(F109/J24,4)</f>
        <v>7.0599999999999996E-2</v>
      </c>
      <c r="I109" s="413">
        <f>ROUND(F109/K24,4)</f>
        <v>0.18</v>
      </c>
      <c r="K109" s="214">
        <v>1</v>
      </c>
      <c r="L109" s="394" t="s">
        <v>305</v>
      </c>
      <c r="M109" s="395">
        <f>K109*J24</f>
        <v>14.166666666666666</v>
      </c>
      <c r="N109" s="396">
        <f>K109*K24</f>
        <v>5.5555555555555562</v>
      </c>
    </row>
    <row r="110" spans="1:14" x14ac:dyDescent="0.25">
      <c r="A110" s="397" t="s">
        <v>306</v>
      </c>
      <c r="B110" s="101">
        <v>0</v>
      </c>
      <c r="C110" s="406">
        <f>B110*M24</f>
        <v>0</v>
      </c>
      <c r="D110" s="407">
        <f>B110*N24</f>
        <v>0</v>
      </c>
      <c r="F110" s="215">
        <v>1</v>
      </c>
      <c r="G110" s="397" t="s">
        <v>306</v>
      </c>
      <c r="H110" s="418">
        <f>ROUND(F110/M24,4)</f>
        <v>7.0599999999999996E-2</v>
      </c>
      <c r="I110" s="419">
        <f>ROUND(F110/N24,4)</f>
        <v>0.18</v>
      </c>
      <c r="K110" s="214">
        <v>1</v>
      </c>
      <c r="L110" s="397" t="s">
        <v>306</v>
      </c>
      <c r="M110" s="398">
        <f>K110*M24</f>
        <v>14.166666666666666</v>
      </c>
      <c r="N110" s="399">
        <f>K110*N24</f>
        <v>5.5555555555555562</v>
      </c>
    </row>
    <row r="111" spans="1:14" x14ac:dyDescent="0.25">
      <c r="A111" s="394" t="s">
        <v>307</v>
      </c>
      <c r="B111" s="101">
        <v>0</v>
      </c>
      <c r="C111" s="408">
        <f>B111*P24</f>
        <v>0</v>
      </c>
      <c r="D111" s="409">
        <f>B111*Q24</f>
        <v>0</v>
      </c>
      <c r="F111" s="215">
        <v>1</v>
      </c>
      <c r="G111" s="394" t="s">
        <v>307</v>
      </c>
      <c r="H111" s="412">
        <f>ROUND(F111/P24,4)</f>
        <v>7.0599999999999996E-2</v>
      </c>
      <c r="I111" s="413">
        <f>ROUND(F111/Q24,4)</f>
        <v>0.18</v>
      </c>
      <c r="K111" s="214">
        <v>1</v>
      </c>
      <c r="L111" s="394" t="s">
        <v>307</v>
      </c>
      <c r="M111" s="395">
        <f>K111*P24</f>
        <v>14.166666666666666</v>
      </c>
      <c r="N111" s="396">
        <f>K111*Q24</f>
        <v>5.5555555555555562</v>
      </c>
    </row>
    <row r="112" spans="1:14" x14ac:dyDescent="0.25">
      <c r="A112" s="403" t="s">
        <v>308</v>
      </c>
      <c r="B112" s="228">
        <v>0</v>
      </c>
      <c r="C112" s="404">
        <f>B112*S24</f>
        <v>0</v>
      </c>
      <c r="D112" s="405">
        <f>B112*T24</f>
        <v>0</v>
      </c>
      <c r="F112" s="234">
        <v>1</v>
      </c>
      <c r="G112" s="403" t="s">
        <v>308</v>
      </c>
      <c r="H112" s="416">
        <f>ROUND(F112/S24,4)</f>
        <v>0.22220000000000001</v>
      </c>
      <c r="I112" s="417">
        <f>ROUND(F112/T24,4)</f>
        <v>0.33329999999999999</v>
      </c>
      <c r="K112" s="242">
        <v>1</v>
      </c>
      <c r="L112" s="403" t="s">
        <v>308</v>
      </c>
      <c r="M112" s="420">
        <f>K112*S24</f>
        <v>4.5</v>
      </c>
      <c r="N112" s="421">
        <f>K112*T24</f>
        <v>3</v>
      </c>
    </row>
    <row r="113" spans="1:14" x14ac:dyDescent="0.25">
      <c r="A113" s="394" t="s">
        <v>309</v>
      </c>
      <c r="B113" s="101">
        <v>0</v>
      </c>
      <c r="C113" s="408">
        <f>B113*J25</f>
        <v>0</v>
      </c>
      <c r="D113" s="409">
        <f>B113*K25</f>
        <v>0</v>
      </c>
      <c r="F113" s="215">
        <v>1</v>
      </c>
      <c r="G113" s="394" t="s">
        <v>309</v>
      </c>
      <c r="H113" s="412">
        <f>ROUND(F113/J25,4)</f>
        <v>6.3200000000000006E-2</v>
      </c>
      <c r="I113" s="413">
        <f>ROUND(F113/K25,4)</f>
        <v>0.16109999999999999</v>
      </c>
      <c r="K113" s="214">
        <v>1</v>
      </c>
      <c r="L113" s="394" t="s">
        <v>309</v>
      </c>
      <c r="M113" s="395">
        <f>K113*J25</f>
        <v>15.833333333333334</v>
      </c>
      <c r="N113" s="396">
        <f>K113*K25</f>
        <v>6.2091503267973867</v>
      </c>
    </row>
    <row r="114" spans="1:14" x14ac:dyDescent="0.25">
      <c r="A114" s="397" t="s">
        <v>310</v>
      </c>
      <c r="B114" s="101">
        <v>0</v>
      </c>
      <c r="C114" s="406">
        <f>B114*M25</f>
        <v>0</v>
      </c>
      <c r="D114" s="407">
        <f>B114*N25</f>
        <v>0</v>
      </c>
      <c r="F114" s="215">
        <v>1</v>
      </c>
      <c r="G114" s="397" t="s">
        <v>310</v>
      </c>
      <c r="H114" s="418">
        <f>ROUND(F114/M25,4)</f>
        <v>6.3200000000000006E-2</v>
      </c>
      <c r="I114" s="419">
        <f>ROUND(F114/N25,4)</f>
        <v>0.16109999999999999</v>
      </c>
      <c r="K114" s="214">
        <v>1</v>
      </c>
      <c r="L114" s="397" t="s">
        <v>310</v>
      </c>
      <c r="M114" s="398">
        <f>K114*M25</f>
        <v>15.833333333333334</v>
      </c>
      <c r="N114" s="399">
        <f>K114*N25</f>
        <v>6.2091503267973867</v>
      </c>
    </row>
    <row r="115" spans="1:14" x14ac:dyDescent="0.25">
      <c r="A115" s="394" t="s">
        <v>311</v>
      </c>
      <c r="B115" s="101">
        <v>0</v>
      </c>
      <c r="C115" s="408">
        <f>B115*P25</f>
        <v>0</v>
      </c>
      <c r="D115" s="409">
        <f>B115*Q25</f>
        <v>0</v>
      </c>
      <c r="F115" s="215">
        <v>1</v>
      </c>
      <c r="G115" s="394" t="s">
        <v>311</v>
      </c>
      <c r="H115" s="412">
        <f>ROUND(F115/P25,4)</f>
        <v>6.3200000000000006E-2</v>
      </c>
      <c r="I115" s="413">
        <f>ROUND(F115/Q25,4)</f>
        <v>0.16109999999999999</v>
      </c>
      <c r="K115" s="214">
        <v>1</v>
      </c>
      <c r="L115" s="394" t="s">
        <v>311</v>
      </c>
      <c r="M115" s="395">
        <f>K115*P25</f>
        <v>15.833333333333334</v>
      </c>
      <c r="N115" s="396">
        <f>K115*Q25</f>
        <v>6.2091503267973867</v>
      </c>
    </row>
    <row r="116" spans="1:14" x14ac:dyDescent="0.25">
      <c r="A116" s="397" t="s">
        <v>312</v>
      </c>
      <c r="B116" s="101">
        <v>0</v>
      </c>
      <c r="C116" s="406">
        <f>B116*S25</f>
        <v>0</v>
      </c>
      <c r="D116" s="407">
        <f>B116*T25</f>
        <v>0</v>
      </c>
      <c r="F116" s="215">
        <v>1</v>
      </c>
      <c r="G116" s="397" t="s">
        <v>312</v>
      </c>
      <c r="H116" s="418">
        <f>ROUND(F116/S25,4)</f>
        <v>0.22220000000000001</v>
      </c>
      <c r="I116" s="419">
        <f>ROUND(F116/T25,4)</f>
        <v>0.33329999999999999</v>
      </c>
      <c r="K116" s="214">
        <v>1</v>
      </c>
      <c r="L116" s="397" t="s">
        <v>312</v>
      </c>
      <c r="M116" s="398">
        <f>K116*S25</f>
        <v>4.5</v>
      </c>
      <c r="N116" s="399">
        <f>K116*T25</f>
        <v>3</v>
      </c>
    </row>
    <row r="117" spans="1:14" x14ac:dyDescent="0.25">
      <c r="A117" s="402" t="s">
        <v>498</v>
      </c>
      <c r="B117" s="228">
        <v>0</v>
      </c>
      <c r="C117" s="410">
        <f>B117*V25</f>
        <v>0</v>
      </c>
      <c r="D117" s="411">
        <f>B117*W25</f>
        <v>0</v>
      </c>
      <c r="F117" s="234">
        <v>1</v>
      </c>
      <c r="G117" s="402" t="s">
        <v>498</v>
      </c>
      <c r="H117" s="414">
        <f>ROUND(F117/V25,4)</f>
        <v>0.18179999999999999</v>
      </c>
      <c r="I117" s="415">
        <f>ROUND(F117/W25,4)</f>
        <v>0.2727</v>
      </c>
      <c r="K117" s="242">
        <v>1</v>
      </c>
      <c r="L117" s="402" t="s">
        <v>498</v>
      </c>
      <c r="M117" s="422">
        <f>K117*V25</f>
        <v>5.5</v>
      </c>
      <c r="N117" s="423">
        <f>K117*W25</f>
        <v>3.6666666666666665</v>
      </c>
    </row>
    <row r="118" spans="1:14" x14ac:dyDescent="0.25">
      <c r="A118" s="397" t="s">
        <v>313</v>
      </c>
      <c r="B118" s="101">
        <v>0</v>
      </c>
      <c r="C118" s="406">
        <f>B118*J26</f>
        <v>0</v>
      </c>
      <c r="D118" s="407">
        <f>B118*K26</f>
        <v>0</v>
      </c>
      <c r="F118" s="215">
        <v>1</v>
      </c>
      <c r="G118" s="397" t="s">
        <v>313</v>
      </c>
      <c r="H118" s="418">
        <f>ROUND(F118/J26,4)</f>
        <v>4.4400000000000002E-2</v>
      </c>
      <c r="I118" s="419">
        <f>ROUND(F118/K26,4)</f>
        <v>0.1133</v>
      </c>
      <c r="K118" s="214">
        <v>1</v>
      </c>
      <c r="L118" s="397" t="s">
        <v>313</v>
      </c>
      <c r="M118" s="398">
        <f>K118*J26</f>
        <v>22.5</v>
      </c>
      <c r="N118" s="399">
        <f>K118*K26</f>
        <v>8.8235294117647065</v>
      </c>
    </row>
    <row r="119" spans="1:14" x14ac:dyDescent="0.25">
      <c r="A119" s="394" t="s">
        <v>314</v>
      </c>
      <c r="B119" s="101">
        <v>0</v>
      </c>
      <c r="C119" s="408">
        <f>B119*M26</f>
        <v>0</v>
      </c>
      <c r="D119" s="409">
        <f>B119*N26</f>
        <v>0</v>
      </c>
      <c r="F119" s="215">
        <v>1</v>
      </c>
      <c r="G119" s="394" t="s">
        <v>314</v>
      </c>
      <c r="H119" s="412">
        <f>ROUND(F119/M26,4)</f>
        <v>4.4400000000000002E-2</v>
      </c>
      <c r="I119" s="413">
        <f>ROUND(F119/N26,4)</f>
        <v>0.1133</v>
      </c>
      <c r="K119" s="214">
        <v>1</v>
      </c>
      <c r="L119" s="394" t="s">
        <v>314</v>
      </c>
      <c r="M119" s="395">
        <f>K119*M26</f>
        <v>22.5</v>
      </c>
      <c r="N119" s="396">
        <f>K119*N26</f>
        <v>8.8235294117647065</v>
      </c>
    </row>
    <row r="120" spans="1:14" x14ac:dyDescent="0.25">
      <c r="A120" s="397" t="s">
        <v>315</v>
      </c>
      <c r="B120" s="101">
        <v>0</v>
      </c>
      <c r="C120" s="406">
        <f>B120*P26</f>
        <v>0</v>
      </c>
      <c r="D120" s="407">
        <f>B120*Q26</f>
        <v>0</v>
      </c>
      <c r="F120" s="215">
        <v>1</v>
      </c>
      <c r="G120" s="397" t="s">
        <v>315</v>
      </c>
      <c r="H120" s="418">
        <f>ROUND(F120/P26,4)</f>
        <v>4.4400000000000002E-2</v>
      </c>
      <c r="I120" s="419">
        <f>ROUND(F120/Q26,4)</f>
        <v>0.1133</v>
      </c>
      <c r="K120" s="214">
        <v>1</v>
      </c>
      <c r="L120" s="397" t="s">
        <v>315</v>
      </c>
      <c r="M120" s="398">
        <f>K120*P26</f>
        <v>22.5</v>
      </c>
      <c r="N120" s="399">
        <f>K120*Q26</f>
        <v>8.8235294117647065</v>
      </c>
    </row>
    <row r="121" spans="1:14" x14ac:dyDescent="0.25">
      <c r="A121" s="394" t="s">
        <v>316</v>
      </c>
      <c r="B121" s="101">
        <v>0</v>
      </c>
      <c r="C121" s="408">
        <f>B121*S26</f>
        <v>0</v>
      </c>
      <c r="D121" s="409">
        <f>B121*T26</f>
        <v>0</v>
      </c>
      <c r="F121" s="215">
        <v>1</v>
      </c>
      <c r="G121" s="394" t="s">
        <v>316</v>
      </c>
      <c r="H121" s="412">
        <f>ROUND(F121/S26,4)</f>
        <v>0.22220000000000001</v>
      </c>
      <c r="I121" s="413">
        <f>ROUND(F121/T26,4)</f>
        <v>0.33329999999999999</v>
      </c>
      <c r="K121" s="214">
        <v>1</v>
      </c>
      <c r="L121" s="394" t="s">
        <v>316</v>
      </c>
      <c r="M121" s="395">
        <f>K121*S26</f>
        <v>4.5</v>
      </c>
      <c r="N121" s="396">
        <f>K121*T26</f>
        <v>3</v>
      </c>
    </row>
    <row r="122" spans="1:14" x14ac:dyDescent="0.25">
      <c r="A122" s="403" t="s">
        <v>499</v>
      </c>
      <c r="B122" s="228">
        <v>0</v>
      </c>
      <c r="C122" s="404">
        <f>B122*V26</f>
        <v>0</v>
      </c>
      <c r="D122" s="405">
        <f>B122*W26</f>
        <v>0</v>
      </c>
      <c r="F122" s="234">
        <v>1</v>
      </c>
      <c r="G122" s="403" t="s">
        <v>499</v>
      </c>
      <c r="H122" s="416">
        <f>ROUND(F122/V26,4)</f>
        <v>0.18179999999999999</v>
      </c>
      <c r="I122" s="417">
        <f>ROUND(F122/W26,4)</f>
        <v>0.2727</v>
      </c>
      <c r="K122" s="242">
        <v>1</v>
      </c>
      <c r="L122" s="403" t="s">
        <v>499</v>
      </c>
      <c r="M122" s="420">
        <f>K122*V26</f>
        <v>5.5</v>
      </c>
      <c r="N122" s="421">
        <f>K122*W26</f>
        <v>3.6666666666666665</v>
      </c>
    </row>
    <row r="123" spans="1:14" x14ac:dyDescent="0.25">
      <c r="A123" s="394" t="s">
        <v>317</v>
      </c>
      <c r="B123" s="101">
        <v>0</v>
      </c>
      <c r="C123" s="408">
        <f>B123*J27</f>
        <v>0</v>
      </c>
      <c r="D123" s="409">
        <f>B123*K27</f>
        <v>0</v>
      </c>
      <c r="F123" s="215">
        <v>1</v>
      </c>
      <c r="G123" s="394" t="s">
        <v>317</v>
      </c>
      <c r="H123" s="412">
        <f>ROUND(F123/J27,4)</f>
        <v>3.8699999999999998E-2</v>
      </c>
      <c r="I123" s="413">
        <f>ROUND(F123/K27,4)</f>
        <v>9.8699999999999996E-2</v>
      </c>
      <c r="K123" s="214">
        <v>1</v>
      </c>
      <c r="L123" s="394" t="s">
        <v>317</v>
      </c>
      <c r="M123" s="395">
        <f>K123*J27</f>
        <v>25.833333333333332</v>
      </c>
      <c r="N123" s="396">
        <f>K123*K27</f>
        <v>10.130718954248367</v>
      </c>
    </row>
    <row r="124" spans="1:14" x14ac:dyDescent="0.25">
      <c r="A124" s="397" t="s">
        <v>318</v>
      </c>
      <c r="B124" s="101">
        <v>0</v>
      </c>
      <c r="C124" s="406">
        <f>B124*M27</f>
        <v>0</v>
      </c>
      <c r="D124" s="407">
        <f>B124*N27</f>
        <v>0</v>
      </c>
      <c r="F124" s="215">
        <v>1</v>
      </c>
      <c r="G124" s="397" t="s">
        <v>318</v>
      </c>
      <c r="H124" s="418">
        <f>ROUND(F124/M27,4)</f>
        <v>3.8699999999999998E-2</v>
      </c>
      <c r="I124" s="419">
        <f>ROUND(F124/N27,4)</f>
        <v>9.8699999999999996E-2</v>
      </c>
      <c r="K124" s="214">
        <v>1</v>
      </c>
      <c r="L124" s="397" t="s">
        <v>318</v>
      </c>
      <c r="M124" s="398">
        <f>K124*M27</f>
        <v>25.833333333333332</v>
      </c>
      <c r="N124" s="399">
        <f>K124*N27</f>
        <v>10.130718954248367</v>
      </c>
    </row>
    <row r="125" spans="1:14" x14ac:dyDescent="0.25">
      <c r="A125" s="394" t="s">
        <v>319</v>
      </c>
      <c r="B125" s="101">
        <v>0</v>
      </c>
      <c r="C125" s="408">
        <f>B125*P27</f>
        <v>0</v>
      </c>
      <c r="D125" s="409">
        <f>B125*Q27</f>
        <v>0</v>
      </c>
      <c r="F125" s="215">
        <v>1</v>
      </c>
      <c r="G125" s="394" t="s">
        <v>319</v>
      </c>
      <c r="H125" s="412">
        <f>ROUND(F125/P27,4)</f>
        <v>3.8699999999999998E-2</v>
      </c>
      <c r="I125" s="413">
        <f>ROUND(F125/Q27,4)</f>
        <v>9.8699999999999996E-2</v>
      </c>
      <c r="K125" s="214">
        <v>1</v>
      </c>
      <c r="L125" s="394" t="s">
        <v>319</v>
      </c>
      <c r="M125" s="395">
        <f>K125*P27</f>
        <v>25.833333333333332</v>
      </c>
      <c r="N125" s="396">
        <f>K125*Q27</f>
        <v>10.130718954248367</v>
      </c>
    </row>
    <row r="126" spans="1:14" x14ac:dyDescent="0.25">
      <c r="A126" s="403" t="s">
        <v>320</v>
      </c>
      <c r="B126" s="228">
        <v>0</v>
      </c>
      <c r="C126" s="404">
        <f>B126*S27</f>
        <v>0</v>
      </c>
      <c r="D126" s="405">
        <f>B126*T27</f>
        <v>0</v>
      </c>
      <c r="F126" s="234">
        <v>1</v>
      </c>
      <c r="G126" s="403" t="s">
        <v>320</v>
      </c>
      <c r="H126" s="416">
        <f>ROUND(F126/S27,4)</f>
        <v>0.22220000000000001</v>
      </c>
      <c r="I126" s="417">
        <f>ROUND(F126/T27,4)</f>
        <v>0.33329999999999999</v>
      </c>
      <c r="K126" s="242">
        <v>1</v>
      </c>
      <c r="L126" s="403" t="s">
        <v>320</v>
      </c>
      <c r="M126" s="420">
        <f>K126*S27</f>
        <v>4.5</v>
      </c>
      <c r="N126" s="421">
        <f>K126*T27</f>
        <v>3</v>
      </c>
    </row>
    <row r="127" spans="1:14" x14ac:dyDescent="0.25">
      <c r="A127" s="394" t="s">
        <v>321</v>
      </c>
      <c r="B127" s="101">
        <v>0</v>
      </c>
      <c r="C127" s="408">
        <f>B127*J28</f>
        <v>0</v>
      </c>
      <c r="D127" s="409">
        <f>B127*K28</f>
        <v>0</v>
      </c>
      <c r="F127" s="215">
        <v>1</v>
      </c>
      <c r="G127" s="394" t="s">
        <v>321</v>
      </c>
      <c r="H127" s="412">
        <f>ROUND(F127/J28,4)</f>
        <v>0.02</v>
      </c>
      <c r="I127" s="413">
        <f>ROUND(F127/K28,4)</f>
        <v>5.0999999999999997E-2</v>
      </c>
      <c r="K127" s="214">
        <v>1</v>
      </c>
      <c r="L127" s="394" t="s">
        <v>321</v>
      </c>
      <c r="M127" s="395">
        <f>K127*J28</f>
        <v>50</v>
      </c>
      <c r="N127" s="396">
        <f>K127*K28</f>
        <v>19.607843137254903</v>
      </c>
    </row>
    <row r="128" spans="1:14" x14ac:dyDescent="0.25">
      <c r="A128" s="397" t="s">
        <v>322</v>
      </c>
      <c r="B128" s="101">
        <v>0</v>
      </c>
      <c r="C128" s="406">
        <f>B128*M28</f>
        <v>0</v>
      </c>
      <c r="D128" s="407">
        <f>B128*N28</f>
        <v>0</v>
      </c>
      <c r="F128" s="215">
        <v>1</v>
      </c>
      <c r="G128" s="397" t="s">
        <v>322</v>
      </c>
      <c r="H128" s="418">
        <f>ROUND(F128/M28,4)</f>
        <v>0.02</v>
      </c>
      <c r="I128" s="419">
        <f>ROUND(F128/N28,4)</f>
        <v>5.0999999999999997E-2</v>
      </c>
      <c r="K128" s="214">
        <v>1</v>
      </c>
      <c r="L128" s="397" t="s">
        <v>322</v>
      </c>
      <c r="M128" s="398">
        <f>K128*M28</f>
        <v>50</v>
      </c>
      <c r="N128" s="399">
        <f>K128*N28</f>
        <v>19.607843137254903</v>
      </c>
    </row>
    <row r="129" spans="1:14" x14ac:dyDescent="0.25">
      <c r="A129" s="394" t="s">
        <v>323</v>
      </c>
      <c r="B129" s="101">
        <v>0</v>
      </c>
      <c r="C129" s="408">
        <f>B129*P28</f>
        <v>0</v>
      </c>
      <c r="D129" s="409">
        <f>B129*Q28</f>
        <v>0</v>
      </c>
      <c r="F129" s="215">
        <v>1</v>
      </c>
      <c r="G129" s="394" t="s">
        <v>323</v>
      </c>
      <c r="H129" s="412">
        <f>ROUND(F129/P28,4)</f>
        <v>0.02</v>
      </c>
      <c r="I129" s="413">
        <f>ROUND(F129/Q28,4)</f>
        <v>5.0999999999999997E-2</v>
      </c>
      <c r="K129" s="214">
        <v>1</v>
      </c>
      <c r="L129" s="394" t="s">
        <v>323</v>
      </c>
      <c r="M129" s="395">
        <f>K129*P28</f>
        <v>50</v>
      </c>
      <c r="N129" s="396">
        <f>K129*Q28</f>
        <v>19.607843137254903</v>
      </c>
    </row>
    <row r="130" spans="1:14" x14ac:dyDescent="0.25">
      <c r="A130" s="403" t="s">
        <v>324</v>
      </c>
      <c r="B130" s="228">
        <v>0</v>
      </c>
      <c r="C130" s="404">
        <f>B130*S28</f>
        <v>0</v>
      </c>
      <c r="D130" s="405">
        <f>B130*T28</f>
        <v>0</v>
      </c>
      <c r="F130" s="234">
        <v>1</v>
      </c>
      <c r="G130" s="403" t="s">
        <v>324</v>
      </c>
      <c r="H130" s="416">
        <f>ROUND(F130/S28,4)</f>
        <v>0.22220000000000001</v>
      </c>
      <c r="I130" s="417">
        <f>ROUND(F130/T28,4)</f>
        <v>0.33329999999999999</v>
      </c>
      <c r="K130" s="242">
        <v>1</v>
      </c>
      <c r="L130" s="403" t="s">
        <v>324</v>
      </c>
      <c r="M130" s="420">
        <f>K130*S28</f>
        <v>4.5</v>
      </c>
      <c r="N130" s="421">
        <f>K130*T28</f>
        <v>3</v>
      </c>
    </row>
    <row r="131" spans="1:14" x14ac:dyDescent="0.25">
      <c r="A131" s="394" t="s">
        <v>509</v>
      </c>
      <c r="B131" s="101">
        <v>0</v>
      </c>
      <c r="C131" s="408">
        <f>B131*J29</f>
        <v>0</v>
      </c>
      <c r="D131" s="409">
        <f>B131*K29</f>
        <v>0</v>
      </c>
      <c r="F131" s="215">
        <v>1</v>
      </c>
      <c r="G131" s="394" t="s">
        <v>509</v>
      </c>
      <c r="H131" s="412">
        <f>ROUND(F131/J29,4)</f>
        <v>1.7100000000000001E-2</v>
      </c>
      <c r="I131" s="413">
        <f>ROUND(F131/K29,4)</f>
        <v>4.3700000000000003E-2</v>
      </c>
      <c r="K131" s="214">
        <v>1</v>
      </c>
      <c r="L131" s="394" t="s">
        <v>509</v>
      </c>
      <c r="M131" s="395">
        <f>K131*J29</f>
        <v>58.333333333333336</v>
      </c>
      <c r="N131" s="396">
        <f>K131*K29</f>
        <v>22.875816993464056</v>
      </c>
    </row>
    <row r="132" spans="1:14" x14ac:dyDescent="0.25">
      <c r="A132" s="397" t="s">
        <v>510</v>
      </c>
      <c r="B132" s="101">
        <v>0</v>
      </c>
      <c r="C132" s="406">
        <f>B132*M29</f>
        <v>0</v>
      </c>
      <c r="D132" s="407">
        <f>B132*N29</f>
        <v>0</v>
      </c>
      <c r="F132" s="215">
        <v>1</v>
      </c>
      <c r="G132" s="397" t="s">
        <v>510</v>
      </c>
      <c r="H132" s="418">
        <f>ROUND(F132/M29,4)</f>
        <v>1.7100000000000001E-2</v>
      </c>
      <c r="I132" s="419">
        <f>ROUND(F132/N29,4)</f>
        <v>4.3700000000000003E-2</v>
      </c>
      <c r="K132" s="214">
        <v>1</v>
      </c>
      <c r="L132" s="397" t="s">
        <v>510</v>
      </c>
      <c r="M132" s="398">
        <f>K132*M29</f>
        <v>58.333333333333336</v>
      </c>
      <c r="N132" s="399">
        <f>K132*N29</f>
        <v>22.875816993464056</v>
      </c>
    </row>
    <row r="133" spans="1:14" x14ac:dyDescent="0.25">
      <c r="A133" s="394" t="s">
        <v>511</v>
      </c>
      <c r="B133" s="101">
        <v>0</v>
      </c>
      <c r="C133" s="408">
        <f>B133*P29</f>
        <v>0</v>
      </c>
      <c r="D133" s="409">
        <f>B133*Q29</f>
        <v>0</v>
      </c>
      <c r="F133" s="215">
        <v>1</v>
      </c>
      <c r="G133" s="394" t="s">
        <v>511</v>
      </c>
      <c r="H133" s="412">
        <f>ROUND(F133/P29,4)</f>
        <v>1.7100000000000001E-2</v>
      </c>
      <c r="I133" s="413">
        <f>ROUND(F133/Q29,4)</f>
        <v>4.3700000000000003E-2</v>
      </c>
      <c r="K133" s="214">
        <v>1</v>
      </c>
      <c r="L133" s="394" t="s">
        <v>511</v>
      </c>
      <c r="M133" s="395">
        <f>K133*P29</f>
        <v>58.333333333333336</v>
      </c>
      <c r="N133" s="396">
        <f>K133*Q29</f>
        <v>22.875816993464056</v>
      </c>
    </row>
    <row r="134" spans="1:14" x14ac:dyDescent="0.25">
      <c r="A134" s="403" t="s">
        <v>512</v>
      </c>
      <c r="B134" s="228">
        <v>0</v>
      </c>
      <c r="C134" s="404">
        <f>B134*S29</f>
        <v>0</v>
      </c>
      <c r="D134" s="405">
        <f>B134*T29</f>
        <v>0</v>
      </c>
      <c r="F134" s="234">
        <v>1</v>
      </c>
      <c r="G134" s="403" t="s">
        <v>512</v>
      </c>
      <c r="H134" s="416">
        <f>ROUND(F134/S29,4)</f>
        <v>0.22220000000000001</v>
      </c>
      <c r="I134" s="417">
        <f>ROUND(F134/T29,4)</f>
        <v>0.33329999999999999</v>
      </c>
      <c r="K134" s="242">
        <v>1</v>
      </c>
      <c r="L134" s="403" t="s">
        <v>512</v>
      </c>
      <c r="M134" s="420">
        <f>K134*S29</f>
        <v>4.5</v>
      </c>
      <c r="N134" s="421">
        <f>K134*T29</f>
        <v>3</v>
      </c>
    </row>
    <row r="136" spans="1:14" ht="15.75" thickBot="1" x14ac:dyDescent="0.3">
      <c r="A136" s="259"/>
      <c r="B136" s="260"/>
      <c r="C136" s="260"/>
      <c r="D136" s="261"/>
      <c r="F136" s="259" t="s">
        <v>404</v>
      </c>
      <c r="G136" s="260"/>
      <c r="H136" s="261" t="s">
        <v>405</v>
      </c>
    </row>
    <row r="137" spans="1:14" ht="16.5" thickTop="1" thickBot="1" x14ac:dyDescent="0.3">
      <c r="A137" s="253"/>
      <c r="B137" s="39" t="s">
        <v>126</v>
      </c>
      <c r="C137" s="142">
        <f>ROUND(SUM(C60:C130),1)</f>
        <v>0</v>
      </c>
      <c r="D137" s="248">
        <f>ROUND(SUM(D60:D130),1)</f>
        <v>0</v>
      </c>
      <c r="F137" s="246" t="s">
        <v>401</v>
      </c>
      <c r="G137" s="254"/>
      <c r="H137" s="247" t="s">
        <v>501</v>
      </c>
    </row>
    <row r="138" spans="1:14" ht="15.75" thickTop="1" x14ac:dyDescent="0.25">
      <c r="A138" s="249" t="s">
        <v>127</v>
      </c>
      <c r="B138" s="116">
        <v>916</v>
      </c>
      <c r="C138" s="262"/>
      <c r="D138" s="263"/>
      <c r="F138" s="253"/>
      <c r="G138" s="254"/>
      <c r="H138" s="255"/>
    </row>
    <row r="139" spans="1:14" x14ac:dyDescent="0.25">
      <c r="A139" s="250" t="s">
        <v>47</v>
      </c>
      <c r="B139" s="251">
        <f>IFERROR(1-(B138/C137),0)</f>
        <v>0</v>
      </c>
      <c r="C139" s="264"/>
      <c r="D139" s="255"/>
      <c r="F139" s="253"/>
      <c r="G139" s="254"/>
      <c r="H139" s="255"/>
    </row>
    <row r="140" spans="1:14" x14ac:dyDescent="0.25">
      <c r="A140" s="253"/>
      <c r="B140" s="254"/>
      <c r="C140" s="254"/>
      <c r="D140" s="255"/>
      <c r="F140" s="253"/>
      <c r="G140" s="254"/>
      <c r="H140" s="255"/>
    </row>
    <row r="141" spans="1:14" x14ac:dyDescent="0.25">
      <c r="A141" s="256"/>
      <c r="B141" s="257"/>
      <c r="C141" s="257"/>
      <c r="D141" s="258"/>
      <c r="F141" s="256"/>
      <c r="G141" s="257"/>
      <c r="H141" s="258"/>
    </row>
    <row r="142" spans="1:14" x14ac:dyDescent="0.25">
      <c r="F142" s="252" t="s">
        <v>406</v>
      </c>
    </row>
  </sheetData>
  <mergeCells count="7">
    <mergeCell ref="U15:W15"/>
    <mergeCell ref="R15:T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1:K34 J31:J34 J30:K30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57F4C07-1709-4595-8EC4-6C0DABF04268}">
  <ds:schemaRefs/>
</ds:datastoreItem>
</file>

<file path=customXml/itemProps2.xml><?xml version="1.0" encoding="utf-8"?>
<ds:datastoreItem xmlns:ds="http://schemas.openxmlformats.org/officeDocument/2006/customXml" ds:itemID="{F92C5DF9-F10E-4F67-A74E-2A3531B26D44}">
  <ds:schemaRefs/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E68C531D-A362-4FEB-8EB6-C7E4117D7A69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A502F854-1DC8-4930-AC9B-4F60D9DD5EEF}">
  <ds:schemaRefs/>
</ds:datastoreItem>
</file>

<file path=customXml/itemProps9.xml><?xml version="1.0" encoding="utf-8"?>
<ds:datastoreItem xmlns:ds="http://schemas.openxmlformats.org/officeDocument/2006/customXml" ds:itemID="{27B0BC59-0E6A-4278-957E-2A6158A5EF58}">
  <ds:schemaRefs/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B0B7BE38-2889-44EA-9FB0-2D6FF9BB889A}">
  <ds:schemaRefs/>
</ds:datastoreItem>
</file>

<file path=customXml/itemProps14.xml><?xml version="1.0" encoding="utf-8"?>
<ds:datastoreItem xmlns:ds="http://schemas.openxmlformats.org/officeDocument/2006/customXml" ds:itemID="{C5CBC30E-2F3A-4931-BF4A-9F61DD9D84E2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3B5C8196-2348-4D06-B408-7ECE9A09663C}">
  <ds:schemaRefs/>
</ds:datastoreItem>
</file>

<file path=customXml/itemProps23.xml><?xml version="1.0" encoding="utf-8"?>
<ds:datastoreItem xmlns:ds="http://schemas.openxmlformats.org/officeDocument/2006/customXml" ds:itemID="{14FA3DBF-3D10-4CEC-9C13-2B643DF1E10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2019-10-09T12:56:03Z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