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6" activeTab="11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Texts" sheetId="62" r:id="rId11"/>
    <sheet name="Offers Clustering" sheetId="59" r:id="rId12"/>
    <sheet name="Discounts Clustering" sheetId="63" r:id="rId13"/>
    <sheet name="All IAPs" sheetId="61" r:id="rId14"/>
    <sheet name="OTA" sheetId="60" r:id="rId15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2">#REF!</definedName>
    <definedName name="Daily_missions" localSheetId="10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C56" i="63" l="1"/>
  <c r="C53" i="63"/>
  <c r="C52" i="63"/>
  <c r="C51" i="63"/>
  <c r="C48" i="63"/>
  <c r="C47" i="63"/>
  <c r="C46" i="63"/>
  <c r="C42" i="63"/>
  <c r="C39" i="63"/>
  <c r="C38" i="63"/>
  <c r="C37" i="63"/>
  <c r="C34" i="63"/>
  <c r="C33" i="63"/>
  <c r="C32" i="63"/>
  <c r="C28" i="63"/>
  <c r="C25" i="63"/>
  <c r="C24" i="63"/>
  <c r="C23" i="63"/>
  <c r="C20" i="63"/>
  <c r="C19" i="63"/>
  <c r="C18" i="63"/>
  <c r="C11" i="63"/>
  <c r="C10" i="63"/>
  <c r="C9" i="63"/>
  <c r="C14" i="63"/>
  <c r="C6" i="63"/>
  <c r="C5" i="63"/>
  <c r="C4" i="63"/>
  <c r="O3" i="63"/>
  <c r="O4" i="63"/>
  <c r="O5" i="63"/>
  <c r="O6" i="63"/>
  <c r="O7" i="63"/>
  <c r="O8" i="63"/>
  <c r="O9" i="63"/>
  <c r="O10" i="63"/>
  <c r="O11" i="63"/>
  <c r="O12" i="63"/>
  <c r="O13" i="63"/>
  <c r="O14" i="63"/>
  <c r="O15" i="63"/>
  <c r="O16" i="63"/>
  <c r="O17" i="63"/>
  <c r="O18" i="63"/>
  <c r="N80" i="57" l="1"/>
  <c r="M80" i="57"/>
  <c r="I80" i="57"/>
  <c r="H80" i="57"/>
  <c r="H79" i="57"/>
  <c r="N76" i="57"/>
  <c r="M76" i="57"/>
  <c r="I76" i="57"/>
  <c r="H73" i="57"/>
  <c r="H76" i="57"/>
  <c r="D80" i="57"/>
  <c r="C80" i="57"/>
  <c r="D76" i="57"/>
  <c r="C76" i="57"/>
  <c r="C75" i="57"/>
  <c r="F15" i="57"/>
  <c r="F10" i="57"/>
  <c r="B60" i="57" s="1"/>
  <c r="G10" i="57" l="1"/>
  <c r="R45" i="57"/>
  <c r="G15" i="57"/>
  <c r="M33" i="57"/>
  <c r="M156" i="57" s="1"/>
  <c r="H156" i="57" l="1"/>
  <c r="C156" i="57"/>
  <c r="C95" i="57"/>
  <c r="H95" i="57"/>
  <c r="M96" i="57"/>
  <c r="M95" i="57"/>
  <c r="B28" i="57"/>
  <c r="S33" i="57"/>
  <c r="P33" i="57"/>
  <c r="G33" i="57"/>
  <c r="J33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58" i="57" l="1"/>
  <c r="H158" i="57"/>
  <c r="C158" i="57"/>
  <c r="M157" i="57"/>
  <c r="H157" i="57"/>
  <c r="C157" i="57"/>
  <c r="H155" i="57"/>
  <c r="C155" i="57"/>
  <c r="M15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2" i="57" l="1"/>
  <c r="J31" i="57"/>
  <c r="C173" i="57" l="1"/>
  <c r="P32" i="57" l="1"/>
  <c r="P31" i="57"/>
  <c r="B13" i="58" l="1"/>
  <c r="B15" i="58" s="1"/>
  <c r="B19" i="58" l="1"/>
  <c r="B20" i="58"/>
  <c r="B21" i="58"/>
  <c r="B18" i="58"/>
  <c r="M153" i="57"/>
  <c r="M151" i="57"/>
  <c r="H153" i="57"/>
  <c r="H151" i="57"/>
  <c r="C153" i="57"/>
  <c r="C151" i="57"/>
  <c r="S32" i="57"/>
  <c r="H154" i="57" s="1"/>
  <c r="M32" i="57"/>
  <c r="H152" i="57" s="1"/>
  <c r="G32" i="57"/>
  <c r="C9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52" i="57" l="1"/>
  <c r="C15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54" i="57"/>
  <c r="M154" i="57"/>
  <c r="M94" i="57"/>
  <c r="H9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71" i="57"/>
  <c r="C70" i="57"/>
  <c r="T82" i="55" l="1"/>
  <c r="F82" i="55"/>
  <c r="L82" i="55"/>
  <c r="J82" i="55"/>
  <c r="Q82" i="55"/>
  <c r="N82" i="55"/>
  <c r="O82" i="55"/>
  <c r="M82" i="55"/>
  <c r="I82" i="55"/>
  <c r="Y30" i="57"/>
  <c r="M146" i="57" s="1"/>
  <c r="Y24" i="57"/>
  <c r="C119" i="57" s="1"/>
  <c r="V27" i="57"/>
  <c r="V28" i="57"/>
  <c r="C101" i="55" l="1"/>
  <c r="M119" i="57"/>
  <c r="H119" i="57"/>
  <c r="C146" i="57"/>
  <c r="H14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97" i="57" l="1"/>
  <c r="M93" i="57"/>
  <c r="M71" i="57"/>
  <c r="H71" i="57"/>
  <c r="M70" i="57"/>
  <c r="H70" i="57"/>
  <c r="E40" i="57"/>
  <c r="G38" i="57"/>
  <c r="H100" i="57" s="1"/>
  <c r="G37" i="57"/>
  <c r="H99" i="57" s="1"/>
  <c r="G36" i="57"/>
  <c r="H98" i="57" s="1"/>
  <c r="B36" i="57"/>
  <c r="G35" i="57"/>
  <c r="H97" i="57" s="1"/>
  <c r="G34" i="57"/>
  <c r="S31" i="57"/>
  <c r="H150" i="57" s="1"/>
  <c r="H149" i="57"/>
  <c r="M31" i="57"/>
  <c r="M148" i="57" s="1"/>
  <c r="H147" i="57"/>
  <c r="G31" i="57"/>
  <c r="H93" i="57" s="1"/>
  <c r="S30" i="57"/>
  <c r="P30" i="57"/>
  <c r="H144" i="57" s="1"/>
  <c r="M30" i="57"/>
  <c r="H143" i="57" s="1"/>
  <c r="J30" i="57"/>
  <c r="H142" i="57" s="1"/>
  <c r="G30" i="57"/>
  <c r="H92" i="57" s="1"/>
  <c r="S29" i="57"/>
  <c r="M141" i="57" s="1"/>
  <c r="P29" i="57"/>
  <c r="M29" i="57"/>
  <c r="H139" i="57" s="1"/>
  <c r="J29" i="57"/>
  <c r="H138" i="57" s="1"/>
  <c r="G29" i="57"/>
  <c r="H91" i="57" s="1"/>
  <c r="H137" i="57"/>
  <c r="S28" i="57"/>
  <c r="H136" i="57" s="1"/>
  <c r="P28" i="57"/>
  <c r="M28" i="57"/>
  <c r="H134" i="57" s="1"/>
  <c r="J28" i="57"/>
  <c r="H133" i="57" s="1"/>
  <c r="G28" i="57"/>
  <c r="M90" i="57" s="1"/>
  <c r="H132" i="57"/>
  <c r="S27" i="57"/>
  <c r="P27" i="57"/>
  <c r="H130" i="57" s="1"/>
  <c r="M27" i="57"/>
  <c r="H129" i="57" s="1"/>
  <c r="J27" i="57"/>
  <c r="H128" i="57" s="1"/>
  <c r="G27" i="57"/>
  <c r="H89" i="57" s="1"/>
  <c r="B27" i="57"/>
  <c r="S26" i="57"/>
  <c r="M127" i="57" s="1"/>
  <c r="P26" i="57"/>
  <c r="M26" i="57"/>
  <c r="H125" i="57" s="1"/>
  <c r="J26" i="57"/>
  <c r="H124" i="57" s="1"/>
  <c r="G26" i="57"/>
  <c r="M88" i="57" s="1"/>
  <c r="B26" i="57"/>
  <c r="S25" i="57"/>
  <c r="M123" i="57" s="1"/>
  <c r="P25" i="57"/>
  <c r="M25" i="57"/>
  <c r="H121" i="57" s="1"/>
  <c r="J25" i="57"/>
  <c r="H120" i="57" s="1"/>
  <c r="G25" i="57"/>
  <c r="H87" i="57" s="1"/>
  <c r="B25" i="57"/>
  <c r="V24" i="57"/>
  <c r="S24" i="57"/>
  <c r="H117" i="57" s="1"/>
  <c r="P24" i="57"/>
  <c r="M24" i="57"/>
  <c r="H115" i="57" s="1"/>
  <c r="J24" i="57"/>
  <c r="H114" i="57" s="1"/>
  <c r="G24" i="57"/>
  <c r="M86" i="57" s="1"/>
  <c r="B24" i="57"/>
  <c r="P23" i="57"/>
  <c r="H113" i="57" s="1"/>
  <c r="M23" i="57"/>
  <c r="J23" i="57"/>
  <c r="H111" i="57" s="1"/>
  <c r="G23" i="57"/>
  <c r="H85" i="57" s="1"/>
  <c r="B23" i="57"/>
  <c r="P22" i="57"/>
  <c r="M110" i="57" s="1"/>
  <c r="M22" i="57"/>
  <c r="H109" i="57" s="1"/>
  <c r="J22" i="57"/>
  <c r="M108" i="57" s="1"/>
  <c r="G22" i="57"/>
  <c r="P21" i="57"/>
  <c r="H107" i="57" s="1"/>
  <c r="M21" i="57"/>
  <c r="H106" i="57" s="1"/>
  <c r="J21" i="57"/>
  <c r="H105" i="57" s="1"/>
  <c r="G21" i="57"/>
  <c r="H83" i="57" s="1"/>
  <c r="M20" i="57"/>
  <c r="M104" i="57" s="1"/>
  <c r="J20" i="57"/>
  <c r="M103" i="57" s="1"/>
  <c r="G20" i="57"/>
  <c r="H82" i="57" s="1"/>
  <c r="M19" i="57"/>
  <c r="M102" i="57" s="1"/>
  <c r="J19" i="57"/>
  <c r="H101" i="57" s="1"/>
  <c r="G19" i="57"/>
  <c r="H81" i="57" s="1"/>
  <c r="F14" i="57"/>
  <c r="B13" i="57"/>
  <c r="B4" i="57" s="1"/>
  <c r="F13" i="57"/>
  <c r="J45" i="57" s="1"/>
  <c r="B12" i="57"/>
  <c r="B11" i="57"/>
  <c r="B10" i="57"/>
  <c r="F9" i="57"/>
  <c r="B9" i="57"/>
  <c r="F8" i="57"/>
  <c r="H78" i="57" s="1"/>
  <c r="B8" i="57"/>
  <c r="F7" i="57"/>
  <c r="G7" i="57" s="1"/>
  <c r="M77" i="57" s="1"/>
  <c r="B7" i="57"/>
  <c r="F4" i="57"/>
  <c r="G4" i="57" s="1"/>
  <c r="F3" i="57"/>
  <c r="B40" i="57" s="1"/>
  <c r="C72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33" i="57" l="1"/>
  <c r="B61" i="57"/>
  <c r="R46" i="57"/>
  <c r="H15" i="57"/>
  <c r="H10" i="57"/>
  <c r="N156" i="57"/>
  <c r="D156" i="57"/>
  <c r="I156" i="57"/>
  <c r="T33" i="57"/>
  <c r="Q33" i="57"/>
  <c r="T32" i="57"/>
  <c r="N154" i="57" s="1"/>
  <c r="Q12" i="54"/>
  <c r="H33" i="57"/>
  <c r="Q32" i="57"/>
  <c r="F45" i="57"/>
  <c r="C73" i="57" s="1"/>
  <c r="K20" i="56"/>
  <c r="M16" i="56"/>
  <c r="M17" i="56"/>
  <c r="D58" i="55" a="1"/>
  <c r="D56" i="55" a="1"/>
  <c r="C82" i="57"/>
  <c r="M89" i="57"/>
  <c r="M91" i="57"/>
  <c r="H32" i="57"/>
  <c r="P12" i="54"/>
  <c r="D70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72" i="57" s="1"/>
  <c r="H118" i="57"/>
  <c r="C118" i="57"/>
  <c r="M111" i="57"/>
  <c r="M120" i="57"/>
  <c r="M149" i="57"/>
  <c r="W27" i="57"/>
  <c r="Z24" i="57"/>
  <c r="W28" i="57"/>
  <c r="Z30" i="57"/>
  <c r="C114" i="57"/>
  <c r="C121" i="57"/>
  <c r="C129" i="57"/>
  <c r="M134" i="57"/>
  <c r="M138" i="57"/>
  <c r="M14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4" i="57"/>
  <c r="N96" i="57" s="1"/>
  <c r="H3" i="57"/>
  <c r="N72" i="57" s="1"/>
  <c r="I78" i="57"/>
  <c r="M109" i="57"/>
  <c r="C125" i="57"/>
  <c r="M137" i="57"/>
  <c r="M125" i="57"/>
  <c r="C98" i="57"/>
  <c r="M113" i="57"/>
  <c r="M128" i="57"/>
  <c r="C139" i="57"/>
  <c r="M98" i="57"/>
  <c r="M139" i="57"/>
  <c r="G8" i="57"/>
  <c r="M78" i="57" s="1"/>
  <c r="M82" i="57"/>
  <c r="M99" i="57"/>
  <c r="M114" i="57"/>
  <c r="M129" i="57"/>
  <c r="M142" i="57"/>
  <c r="B55" i="57"/>
  <c r="C79" i="57" s="1"/>
  <c r="M83" i="57"/>
  <c r="C100" i="57"/>
  <c r="M115" i="57"/>
  <c r="M130" i="57"/>
  <c r="C143" i="57"/>
  <c r="M85" i="57"/>
  <c r="M100" i="57"/>
  <c r="M117" i="57"/>
  <c r="M132" i="57"/>
  <c r="M143" i="57"/>
  <c r="M87" i="57"/>
  <c r="M101" i="57"/>
  <c r="M118" i="57"/>
  <c r="C133" i="57"/>
  <c r="M144" i="57"/>
  <c r="M105" i="57"/>
  <c r="M133" i="57"/>
  <c r="C106" i="57"/>
  <c r="H13" i="57"/>
  <c r="N74" i="57" s="1"/>
  <c r="C92" i="57"/>
  <c r="M106" i="57"/>
  <c r="M121" i="57"/>
  <c r="M136" i="57"/>
  <c r="C150" i="57"/>
  <c r="B20" i="57"/>
  <c r="M92" i="57"/>
  <c r="M107" i="57"/>
  <c r="M124" i="57"/>
  <c r="C137" i="57"/>
  <c r="M150" i="57"/>
  <c r="M81" i="57"/>
  <c r="T31" i="57"/>
  <c r="Q21" i="57"/>
  <c r="H20" i="57"/>
  <c r="H24" i="57"/>
  <c r="I74" i="57"/>
  <c r="H36" i="57"/>
  <c r="N46" i="57"/>
  <c r="D75" i="57" s="1"/>
  <c r="H38" i="57"/>
  <c r="H23" i="57"/>
  <c r="H29" i="57"/>
  <c r="I72" i="57"/>
  <c r="J46" i="57"/>
  <c r="D74" i="57" s="1"/>
  <c r="Q31" i="57"/>
  <c r="B46" i="57"/>
  <c r="D77" i="57" s="1"/>
  <c r="H28" i="57"/>
  <c r="I77" i="57"/>
  <c r="H27" i="57"/>
  <c r="N70" i="57"/>
  <c r="F46" i="57"/>
  <c r="D73" i="57" s="1"/>
  <c r="H37" i="57"/>
  <c r="H25" i="57"/>
  <c r="N19" i="57"/>
  <c r="H26" i="57"/>
  <c r="Q22" i="57"/>
  <c r="I79" i="57"/>
  <c r="I70" i="57"/>
  <c r="H30" i="57"/>
  <c r="W24" i="57"/>
  <c r="H21" i="57"/>
  <c r="H35" i="57"/>
  <c r="T28" i="57"/>
  <c r="T26" i="57"/>
  <c r="B56" i="57"/>
  <c r="D79" i="57" s="1"/>
  <c r="T25" i="57"/>
  <c r="Q23" i="57"/>
  <c r="H19" i="57"/>
  <c r="H31" i="57"/>
  <c r="T29" i="57"/>
  <c r="T24" i="57"/>
  <c r="N20" i="57"/>
  <c r="T27" i="57"/>
  <c r="H75" i="57"/>
  <c r="N45" i="57"/>
  <c r="H14" i="57"/>
  <c r="N75" i="57" s="1"/>
  <c r="M145" i="57"/>
  <c r="H145" i="57"/>
  <c r="C145" i="57"/>
  <c r="G14" i="57"/>
  <c r="M75" i="57" s="1"/>
  <c r="M84" i="57"/>
  <c r="H84" i="57"/>
  <c r="C84" i="57"/>
  <c r="H122" i="57"/>
  <c r="C122" i="57"/>
  <c r="T30" i="57"/>
  <c r="H22" i="57"/>
  <c r="I73" i="57"/>
  <c r="M122" i="57"/>
  <c r="H103" i="57"/>
  <c r="C103" i="57"/>
  <c r="H96" i="57"/>
  <c r="C96" i="57"/>
  <c r="M135" i="57"/>
  <c r="H135" i="57"/>
  <c r="C135" i="57"/>
  <c r="B41" i="57"/>
  <c r="D72" i="57" s="1"/>
  <c r="H140" i="57"/>
  <c r="C140" i="57"/>
  <c r="M140" i="57"/>
  <c r="H126" i="57"/>
  <c r="C126" i="57"/>
  <c r="M126" i="57"/>
  <c r="M112" i="57"/>
  <c r="H112" i="57"/>
  <c r="C112" i="57"/>
  <c r="H8" i="57"/>
  <c r="N78" i="57" s="1"/>
  <c r="M116" i="57"/>
  <c r="H116" i="57"/>
  <c r="C116" i="57"/>
  <c r="M131" i="57"/>
  <c r="H131" i="57"/>
  <c r="C131" i="57"/>
  <c r="B51" i="57"/>
  <c r="D78" i="57" s="1"/>
  <c r="I75" i="57"/>
  <c r="G9" i="57"/>
  <c r="M79" i="57" s="1"/>
  <c r="B45" i="57"/>
  <c r="C77" i="57" s="1"/>
  <c r="C88" i="57"/>
  <c r="C104" i="57"/>
  <c r="C108" i="57"/>
  <c r="H4" i="57"/>
  <c r="N73" i="57" s="1"/>
  <c r="H9" i="57"/>
  <c r="N79" i="57" s="1"/>
  <c r="M73" i="57"/>
  <c r="C86" i="57"/>
  <c r="C90" i="57"/>
  <c r="C102" i="57"/>
  <c r="C110" i="57"/>
  <c r="C123" i="57"/>
  <c r="C127" i="57"/>
  <c r="C141" i="57"/>
  <c r="C148" i="57"/>
  <c r="C74" i="57"/>
  <c r="H72" i="57"/>
  <c r="H74" i="57"/>
  <c r="H77" i="57"/>
  <c r="H86" i="57"/>
  <c r="H88" i="57"/>
  <c r="H90" i="57"/>
  <c r="H102" i="57"/>
  <c r="H104" i="57"/>
  <c r="H108" i="57"/>
  <c r="H110" i="57"/>
  <c r="H123" i="57"/>
  <c r="H127" i="57"/>
  <c r="H141" i="57"/>
  <c r="H148" i="57"/>
  <c r="H7" i="57"/>
  <c r="N77" i="57" s="1"/>
  <c r="G13" i="57"/>
  <c r="M74" i="57" s="1"/>
  <c r="C81" i="57"/>
  <c r="C83" i="57"/>
  <c r="C85" i="57"/>
  <c r="C87" i="57"/>
  <c r="C89" i="57"/>
  <c r="C91" i="57"/>
  <c r="C93" i="57"/>
  <c r="C97" i="57"/>
  <c r="C99" i="57"/>
  <c r="C101" i="57"/>
  <c r="C105" i="57"/>
  <c r="C107" i="57"/>
  <c r="C109" i="57"/>
  <c r="C111" i="57"/>
  <c r="C113" i="57"/>
  <c r="C115" i="57"/>
  <c r="C117" i="57"/>
  <c r="C120" i="57"/>
  <c r="C124" i="57"/>
  <c r="C128" i="57"/>
  <c r="C130" i="57"/>
  <c r="C132" i="57"/>
  <c r="C134" i="57"/>
  <c r="C136" i="57"/>
  <c r="C138" i="57"/>
  <c r="C142" i="57"/>
  <c r="C144" i="57"/>
  <c r="C147" i="57"/>
  <c r="C149" i="57"/>
  <c r="B50" i="57"/>
  <c r="C7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61" i="57" l="1"/>
  <c r="B163" i="57" s="1"/>
  <c r="N158" i="57"/>
  <c r="I158" i="57"/>
  <c r="D158" i="57"/>
  <c r="N157" i="57"/>
  <c r="I157" i="57"/>
  <c r="D157" i="57"/>
  <c r="I154" i="57"/>
  <c r="D95" i="57"/>
  <c r="I95" i="57"/>
  <c r="N95" i="57"/>
  <c r="D154" i="57"/>
  <c r="N22" i="57"/>
  <c r="N109" i="57" s="1"/>
  <c r="N71" i="57"/>
  <c r="Q29" i="57"/>
  <c r="D140" i="57" s="1"/>
  <c r="Q25" i="57"/>
  <c r="N122" i="57" s="1"/>
  <c r="K26" i="57"/>
  <c r="I124" i="57" s="1"/>
  <c r="K33" i="57"/>
  <c r="K31" i="57"/>
  <c r="D147" i="57" s="1"/>
  <c r="K24" i="57"/>
  <c r="I114" i="57" s="1"/>
  <c r="K23" i="57"/>
  <c r="D111" i="57" s="1"/>
  <c r="Q27" i="57"/>
  <c r="N130" i="57" s="1"/>
  <c r="K28" i="57"/>
  <c r="N133" i="57" s="1"/>
  <c r="K25" i="57"/>
  <c r="D12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94" i="57"/>
  <c r="I94" i="57"/>
  <c r="N94" i="57"/>
  <c r="N32" i="57"/>
  <c r="K19" i="57"/>
  <c r="D101" i="57" s="1"/>
  <c r="N29" i="57"/>
  <c r="I139" i="57" s="1"/>
  <c r="Q30" i="57"/>
  <c r="I144" i="57" s="1"/>
  <c r="N23" i="57"/>
  <c r="N112" i="57" s="1"/>
  <c r="N146" i="57"/>
  <c r="I146" i="57"/>
  <c r="D146" i="57"/>
  <c r="I119" i="57"/>
  <c r="D119" i="57"/>
  <c r="N119" i="57"/>
  <c r="N28" i="57"/>
  <c r="N134" i="57" s="1"/>
  <c r="K32" i="57"/>
  <c r="D71" i="57"/>
  <c r="I96" i="57"/>
  <c r="D96" i="57"/>
  <c r="K22" i="57"/>
  <c r="I108" i="57" s="1"/>
  <c r="K29" i="57"/>
  <c r="N138" i="57" s="1"/>
  <c r="E41" i="57"/>
  <c r="N30" i="57"/>
  <c r="D143" i="57" s="1"/>
  <c r="K30" i="57"/>
  <c r="I142" i="57" s="1"/>
  <c r="N27" i="57"/>
  <c r="I129" i="57" s="1"/>
  <c r="Q28" i="57"/>
  <c r="N135" i="57" s="1"/>
  <c r="N25" i="57"/>
  <c r="N121" i="57" s="1"/>
  <c r="K27" i="57"/>
  <c r="D128" i="57" s="1"/>
  <c r="K20" i="57"/>
  <c r="D103" i="57" s="1"/>
  <c r="N31" i="57"/>
  <c r="I148" i="57" s="1"/>
  <c r="N26" i="57"/>
  <c r="I125" i="57" s="1"/>
  <c r="K21" i="57"/>
  <c r="D105" i="57" s="1"/>
  <c r="N24" i="57"/>
  <c r="D115" i="57" s="1"/>
  <c r="N21" i="57"/>
  <c r="D106" i="57" s="1"/>
  <c r="I71" i="57"/>
  <c r="Q24" i="57"/>
  <c r="Q26" i="57"/>
  <c r="D126" i="57" s="1"/>
  <c r="D83" i="57"/>
  <c r="N83" i="57"/>
  <c r="I83" i="57"/>
  <c r="N98" i="57"/>
  <c r="I98" i="57"/>
  <c r="D98" i="57"/>
  <c r="I84" i="57"/>
  <c r="N84" i="57"/>
  <c r="D84" i="57"/>
  <c r="N141" i="57"/>
  <c r="I141" i="57"/>
  <c r="D141" i="57"/>
  <c r="D89" i="57"/>
  <c r="N89" i="57"/>
  <c r="I89" i="57"/>
  <c r="D93" i="57"/>
  <c r="N93" i="57"/>
  <c r="I93" i="57"/>
  <c r="N137" i="57"/>
  <c r="I137" i="57"/>
  <c r="D137" i="57"/>
  <c r="I86" i="57"/>
  <c r="N86" i="57"/>
  <c r="D86" i="57"/>
  <c r="D117" i="57"/>
  <c r="N117" i="57"/>
  <c r="I117" i="57"/>
  <c r="I118" i="57"/>
  <c r="N118" i="57"/>
  <c r="D118" i="57"/>
  <c r="D81" i="57"/>
  <c r="N81" i="57"/>
  <c r="I81" i="57"/>
  <c r="I92" i="57"/>
  <c r="N92" i="57"/>
  <c r="D92" i="57"/>
  <c r="I90" i="57"/>
  <c r="N90" i="57"/>
  <c r="D90" i="57"/>
  <c r="I82" i="57"/>
  <c r="N82" i="57"/>
  <c r="D82" i="57"/>
  <c r="I104" i="57"/>
  <c r="N104" i="57"/>
  <c r="D104" i="57"/>
  <c r="D149" i="57"/>
  <c r="N149" i="57"/>
  <c r="I149" i="57"/>
  <c r="D132" i="57"/>
  <c r="N132" i="57"/>
  <c r="I132" i="57"/>
  <c r="N88" i="57"/>
  <c r="I88" i="57"/>
  <c r="D88" i="57"/>
  <c r="I145" i="57"/>
  <c r="N145" i="57"/>
  <c r="D145" i="57"/>
  <c r="N150" i="57"/>
  <c r="I150" i="57"/>
  <c r="D150" i="57"/>
  <c r="I110" i="57"/>
  <c r="N110" i="57"/>
  <c r="D110" i="57"/>
  <c r="I102" i="57"/>
  <c r="N102" i="57"/>
  <c r="D102" i="57"/>
  <c r="D91" i="57"/>
  <c r="N91" i="57"/>
  <c r="I91" i="57"/>
  <c r="D97" i="57"/>
  <c r="N97" i="57"/>
  <c r="I97" i="57"/>
  <c r="D107" i="57"/>
  <c r="N107" i="57"/>
  <c r="I107" i="57"/>
  <c r="N127" i="57"/>
  <c r="I127" i="57"/>
  <c r="D127" i="57"/>
  <c r="D87" i="57"/>
  <c r="N87" i="57"/>
  <c r="I87" i="57"/>
  <c r="D85" i="57"/>
  <c r="N85" i="57"/>
  <c r="I85" i="57"/>
  <c r="D113" i="57"/>
  <c r="N113" i="57"/>
  <c r="I113" i="57"/>
  <c r="I123" i="57"/>
  <c r="N123" i="57"/>
  <c r="D123" i="57"/>
  <c r="D134" i="57"/>
  <c r="I134" i="57"/>
  <c r="I131" i="57"/>
  <c r="N131" i="57"/>
  <c r="D131" i="57"/>
  <c r="D136" i="57"/>
  <c r="N136" i="57"/>
  <c r="I136" i="57"/>
  <c r="D99" i="57"/>
  <c r="N99" i="57"/>
  <c r="I99" i="57"/>
  <c r="I100" i="57"/>
  <c r="N100" i="57"/>
  <c r="D10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D109" i="57" l="1"/>
  <c r="I109" i="57"/>
  <c r="D114" i="57"/>
  <c r="N114" i="57"/>
  <c r="N155" i="57"/>
  <c r="D155" i="57"/>
  <c r="I155" i="57"/>
  <c r="N101" i="57"/>
  <c r="N120" i="57"/>
  <c r="I122" i="57"/>
  <c r="D122" i="57"/>
  <c r="N142" i="57"/>
  <c r="I101" i="57"/>
  <c r="I140" i="57"/>
  <c r="N140" i="57"/>
  <c r="N144" i="57"/>
  <c r="N124" i="57"/>
  <c r="D124" i="57"/>
  <c r="D133" i="57"/>
  <c r="D144" i="57"/>
  <c r="I130" i="57"/>
  <c r="D130" i="57"/>
  <c r="I147" i="57"/>
  <c r="N147" i="57"/>
  <c r="I111" i="57"/>
  <c r="D139" i="57"/>
  <c r="N111" i="57"/>
  <c r="N139" i="57"/>
  <c r="I120" i="57"/>
  <c r="D142" i="57"/>
  <c r="I138" i="57"/>
  <c r="I133" i="57"/>
  <c r="D138" i="57"/>
  <c r="D151" i="57"/>
  <c r="I151" i="57"/>
  <c r="N151" i="57"/>
  <c r="D152" i="57"/>
  <c r="N152" i="57"/>
  <c r="I152" i="57"/>
  <c r="H79" i="55"/>
  <c r="R80" i="55"/>
  <c r="E79" i="55"/>
  <c r="D81" i="55"/>
  <c r="I79" i="55"/>
  <c r="I81" i="55"/>
  <c r="N153" i="57"/>
  <c r="I153" i="57"/>
  <c r="D153" i="57"/>
  <c r="I105" i="57"/>
  <c r="N105" i="57"/>
  <c r="D112" i="57"/>
  <c r="I112" i="57"/>
  <c r="I115" i="57"/>
  <c r="I126" i="57"/>
  <c r="N115" i="57"/>
  <c r="I103" i="57"/>
  <c r="N126" i="57"/>
  <c r="N106" i="57"/>
  <c r="I143" i="57"/>
  <c r="D129" i="57"/>
  <c r="I106" i="57"/>
  <c r="N143" i="57"/>
  <c r="D125" i="57"/>
  <c r="N125" i="57"/>
  <c r="D135" i="57"/>
  <c r="I135" i="57"/>
  <c r="N81" i="55"/>
  <c r="C81" i="55"/>
  <c r="G81" i="55"/>
  <c r="I128" i="57"/>
  <c r="N128" i="57"/>
  <c r="N103" i="57"/>
  <c r="N129" i="57"/>
  <c r="D108" i="57"/>
  <c r="D148" i="57"/>
  <c r="D121" i="57"/>
  <c r="N108" i="57"/>
  <c r="N148" i="57"/>
  <c r="I121" i="57"/>
  <c r="I116" i="57"/>
  <c r="N116" i="57"/>
  <c r="D11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6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1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1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<sst xmlns="http://schemas.openxmlformats.org/spreadsheetml/2006/main" count="3397" uniqueCount="1147">
  <si>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</si>
  <si>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</si>
  <si>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</si>
  <si>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</si>
  <si>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</si>
  <si>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</si>
  <si>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</si>
  <si>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</si>
  <si>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</si>
  <si>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</si>
  <si>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</si>
  <si>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</si>
  <si>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</si>
  <si>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</si>
  <si>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</si>
  <si>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</si>
  <si>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</si>
  <si>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</si>
  <si>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</si>
  <si>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</si>
  <si>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</si>
  <si>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</si>
  <si>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</si>
  <si>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</si>
  <si>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</si>
  <si>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</si>
  <si>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</si>
  <si>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</si>
  <si>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</si>
  <si>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</si>
  <si>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</si>
  <si>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</si>
  <si>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</si>
  <si>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</si>
  <si>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</si>
  <si>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</si>
  <si>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</si>
  <si>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</si>
  <si>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</si>
  <si>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</si>
  <si>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</si>
  <si>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</si>
  <si>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</si>
  <si>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</si>
  <si>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</si>
  <si>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</si>
  <si>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</si>
  <si>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</si>
  <si>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</si>
  <si>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</si>
  <si>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</si>
  <si>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</si>
  <si>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</si>
  <si>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</si>
  <si>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</si>
  <si>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</si>
  <si>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</si>
  <si>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</si>
  <si>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</si>
  <si>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</si>
  <si>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</si>
  <si>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</si>
  <si>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</si>
  <si>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</si>
  <si>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</si>
  <si>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</si>
  <si>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</si>
  <si>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</si>
  <si>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</si>
  <si>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</si>
  <si>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</si>
  <si>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</si>
  <si>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</si>
  <si>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</si>
  <si>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</si>
  <si>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</si>
  <si>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</si>
  <si>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</si>
  <si>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</si>
  <si>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</si>
  <si>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</si>
  <si>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</si>
  <si>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</si>
  <si>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</si>
  <si>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</si>
  <si>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</si>
  <si>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</si>
  <si>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</si>
  <si>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</si>
  <si>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</si>
  <si>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</si>
  <si>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</si>
  <si>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</si>
  <si>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</si>
  <si>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</si>
  <si>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</si>
  <si>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</si>
  <si>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</si>
  <si>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</si>
  <si>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</si>
  <si>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</si>
  <si>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</si>
  <si>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</si>
  <si>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</si>
  <si>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</si>
  <si>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</si>
  <si>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</si>
  <si>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</si>
  <si>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</si>
  <si>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</si>
  <si>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</si>
  <si>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</si>
  <si>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</si>
  <si>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</si>
  <si>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</si>
  <si>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</si>
  <si>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</si>
  <si>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</si>
  <si>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</si>
  <si>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</si>
  <si>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</si>
  <si>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</si>
  <si>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</si>
  <si>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</si>
  <si>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</si>
  <si>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</si>
  <si>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</si>
  <si>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</si>
  <si>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</si>
  <si>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</si>
  <si>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</si>
  <si>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</si>
  <si>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</si>
  <si>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</si>
  <si>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</si>
  <si>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</si>
  <si>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</si>
  <si>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</si>
  <si>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</si>
  <si>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</si>
  <si>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</si>
  <si>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</si>
  <si>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</si>
  <si>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</si>
  <si>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</si>
  <si>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</si>
  <si>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</si>
  <si>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</si>
  <si>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</si>
  <si>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</si>
  <si>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</si>
  <si>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</si>
  <si>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</si>
  <si>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</si>
  <si>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</si>
  <si>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</si>
  <si>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</si>
  <si>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</si>
  <si>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</si>
  <si>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</si>
  <si>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</si>
  <si>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</si>
  <si>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</si>
  <si>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</si>
  <si>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</si>
  <si>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</si>
  <si>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</si>
  <si>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</si>
  <si>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</si>
  <si>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</si>
  <si>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</si>
  <si>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</si>
  <si>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</si>
  <si>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</si>
  <si>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</si>
  <si>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</si>
  <si>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</si>
  <si>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</si>
  <si>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</si>
  <si>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</si>
  <si>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</si>
  <si>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</si>
  <si>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</si>
  <si>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</si>
  <si>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</si>
  <si>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</si>
  <si>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</si>
  <si>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</si>
  <si>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</si>
  <si>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</si>
  <si>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</si>
  <si>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</si>
  <si>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</si>
  <si>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</si>
  <si>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</si>
  <si>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</si>
  <si>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</si>
  <si>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</si>
  <si>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</si>
  <si>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</si>
  <si>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</si>
  <si>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</si>
  <si>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</si>
  <si>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</si>
  <si>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</si>
  <si>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</si>
  <si>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</si>
  <si>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</si>
  <si>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</si>
  <si>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</si>
  <si>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</si>
  <si>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</si>
  <si>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</si>
  <si>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</si>
  <si>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</si>
  <si>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</si>
  <si>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</si>
  <si>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</si>
  <si>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</si>
  <si>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</si>
  <si>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</si>
  <si>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</si>
  <si>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</si>
  <si>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</si>
  <si>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</si>
  <si>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</si>
  <si>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</si>
  <si>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</si>
  <si>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</si>
  <si>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</si>
  <si>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</si>
  <si>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</si>
  <si>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</si>
  <si>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</si>
  <si>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</si>
  <si>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</si>
  <si>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</si>
  <si>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</si>
  <si>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</si>
  <si>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</si>
  <si>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</si>
  <si>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</si>
  <si>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</si>
  <si>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</si>
  <si>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</si>
  <si>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</si>
  <si>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</si>
  <si>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</si>
  <si>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</si>
  <si>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</si>
  <si>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</si>
  <si>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</si>
  <si>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</si>
  <si>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</si>
  <si>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</si>
  <si>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</si>
  <si>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</si>
  <si>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</si>
  <si>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</si>
  <si>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</si>
  <si>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</si>
  <si>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</si>
  <si>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</si>
  <si>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</si>
  <si>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</si>
  <si>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</si>
  <si>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</si>
  <si>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</si>
  <si>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</si>
  <si>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</si>
  <si>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</si>
  <si>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</si>
  <si>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</si>
  <si>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</si>
  <si>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</si>
  <si>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</si>
  <si>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</si>
  <si>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</si>
  <si>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</si>
  <si>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</si>
  <si>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</si>
  <si>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</si>
  <si>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</si>
  <si>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</si>
  <si>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</si>
  <si>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</si>
  <si>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</si>
  <si>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</si>
  <si>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</si>
  <si>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</si>
  <si>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</si>
  <si>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</si>
  <si>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</si>
  <si>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</si>
  <si>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</si>
  <si>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</si>
  <si>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</si>
  <si>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</si>
  <si>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</si>
  <si>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</si>
  <si>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</si>
  <si>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</si>
  <si>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</si>
  <si>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</si>
  <si>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</si>
  <si>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</si>
  <si>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</si>
  <si>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</si>
  <si>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</si>
  <si>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</si>
  <si>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</si>
  <si>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</si>
  <si>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</si>
  <si>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</si>
  <si>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</si>
  <si>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</si>
  <si>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</si>
  <si>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</si>
  <si>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</si>
  <si>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</si>
  <si>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</si>
  <si>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</si>
  <si>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</si>
  <si>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</si>
  <si>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</si>
  <si>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</si>
  <si>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</si>
  <si>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</si>
  <si>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</si>
  <si>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</si>
  <si>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</si>
  <si>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</si>
  <si>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</si>
  <si>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</si>
  <si>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</si>
  <si>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</si>
  <si>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</si>
  <si>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</si>
  <si>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</si>
  <si>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</si>
  <si>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</si>
  <si>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</si>
  <si>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</si>
  <si>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</si>
  <si>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</si>
  <si>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</si>
  <si>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</si>
  <si>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</si>
  <si>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</si>
  <si>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</si>
  <si>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</si>
  <si>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</si>
  <si>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</si>
  <si>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</si>
  <si>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</si>
  <si>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</si>
  <si>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</si>
  <si>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</si>
  <si>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</si>
  <si>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</si>
  <si>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</si>
  <si>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</si>
  <si>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</si>
  <si>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</si>
  <si>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</si>
  <si>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</si>
  <si>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</si>
  <si>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</si>
  <si>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</si>
  <si>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</si>
  <si>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</si>
  <si>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</si>
  <si>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</si>
  <si>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</si>
  <si>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</si>
  <si>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</si>
  <si>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</si>
  <si>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</si>
  <si>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</si>
  <si>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</si>
  <si>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</si>
  <si>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</si>
  <si>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</si>
  <si>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</si>
  <si>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</si>
  <si>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</si>
  <si>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</si>
  <si>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</si>
  <si>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</si>
  <si>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</si>
  <si>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</si>
  <si>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</si>
  <si>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</si>
  <si>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</si>
  <si>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</si>
  <si>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</si>
  <si>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</si>
  <si>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</si>
  <si>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</si>
  <si>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</si>
  <si>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</si>
  <si>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</si>
  <si>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</si>
  <si>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</si>
  <si>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</si>
  <si>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</si>
  <si>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</si>
  <si>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</si>
  <si>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</si>
  <si>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</si>
  <si>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</si>
  <si>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</si>
  <si>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</si>
  <si>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</si>
  <si>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</si>
  <si>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</si>
  <si>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</si>
  <si>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</si>
  <si>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</si>
  <si>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</si>
  <si>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</si>
  <si>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</si>
  <si>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</si>
  <si>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</si>
  <si>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</si>
  <si>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</si>
  <si>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</si>
  <si>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</si>
  <si>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</si>
  <si>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</si>
  <si>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</si>
  <si>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</si>
  <si>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</si>
  <si>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</si>
  <si>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</si>
  <si>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</si>
  <si>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</si>
  <si>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</si>
  <si>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</si>
  <si>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</si>
  <si>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</si>
  <si>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</si>
  <si>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</si>
  <si>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</si>
  <si>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</si>
  <si>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</si>
  <si>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</si>
  <si>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</si>
  <si>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</si>
  <si>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</si>
  <si>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</si>
  <si>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</si>
  <si>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</si>
  <si>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</si>
  <si>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</si>
  <si>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</si>
  <si>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</si>
  <si>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</si>
  <si>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</si>
  <si>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</si>
  <si>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</si>
  <si>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</si>
  <si>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</si>
  <si>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</si>
  <si>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</si>
  <si>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</si>
  <si>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</si>
  <si>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</si>
  <si>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</si>
  <si>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</si>
  <si>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</si>
  <si>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</si>
  <si>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</si>
  <si>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</si>
  <si>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</si>
  <si>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</si>
  <si>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</si>
  <si>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</si>
  <si>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</si>
  <si>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</si>
  <si>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</si>
  <si>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</si>
  <si>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</si>
  <si>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</si>
  <si>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</si>
  <si>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</si>
  <si>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</si>
  <si>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</si>
  <si>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</si>
  <si>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</si>
  <si>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</si>
  <si>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</si>
  <si>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</si>
  <si>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</si>
  <si>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</si>
  <si>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</si>
  <si>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</si>
  <si>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</si>
  <si>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</si>
  <si>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</si>
  <si>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</si>
  <si>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</si>
  <si>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</si>
  <si>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</si>
  <si>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</si>
  <si>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</si>
  <si>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</si>
  <si>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</si>
  <si>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</si>
  <si>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</si>
  <si>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</si>
  <si>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</si>
  <si>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</si>
  <si>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</si>
  <si>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</si>
  <si>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</si>
  <si>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</si>
  <si>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</si>
  <si>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</si>
  <si>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</si>
  <si>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</si>
  <si>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</si>
  <si>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</si>
  <si>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</si>
  <si>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</si>
  <si>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</si>
  <si>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</si>
  <si>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</si>
  <si>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</si>
  <si>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</si>
  <si>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</si>
  <si>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</si>
  <si>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</si>
  <si>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</si>
  <si>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</si>
  <si>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</si>
  <si>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</si>
  <si>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</si>
  <si>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</si>
  <si>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</si>
  <si>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</si>
  <si>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</si>
  <si>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</si>
  <si>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</si>
  <si>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</si>
  <si>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</si>
  <si>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</si>
  <si>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</si>
  <si>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</si>
  <si>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</si>
  <si>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</si>
  <si>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</si>
  <si>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</si>
  <si>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</si>
  <si>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</si>
  <si>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</si>
  <si>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</si>
  <si>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</si>
  <si>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</si>
  <si>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</si>
  <si>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</si>
  <si>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</si>
  <si>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</si>
  <si>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</si>
  <si>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</si>
  <si>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</si>
  <si>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</si>
  <si>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</si>
  <si>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</si>
  <si>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</si>
  <si>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</si>
  <si>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</si>
  <si>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</si>
  <si>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</si>
  <si>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</si>
  <si>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</si>
  <si>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</si>
  <si>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</si>
  <si>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</si>
  <si>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</si>
  <si>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</si>
  <si>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</si>
  <si>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</si>
  <si>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</si>
  <si>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</si>
  <si>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</si>
  <si>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</si>
  <si>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</si>
  <si>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</si>
  <si>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</si>
  <si>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</si>
  <si>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</si>
  <si>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</si>
  <si>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</si>
  <si>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</si>
  <si>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</si>
  <si>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</si>
  <si>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</si>
  <si>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</si>
  <si>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</si>
  <si>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</si>
  <si>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</si>
  <si>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</si>
  <si>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</si>
  <si>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</si>
  <si>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</si>
  <si>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</si>
  <si>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</si>
  <si>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</si>
  <si>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</si>
  <si>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</si>
  <si>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</si>
  <si>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</si>
  <si>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</si>
  <si>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</si>
  <si>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</si>
  <si>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</si>
  <si>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</si>
  <si>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</si>
  <si>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</si>
  <si>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</si>
  <si>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</si>
  <si>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</si>
  <si>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</si>
  <si>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</si>
  <si>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</si>
  <si>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</si>
  <si>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</si>
  <si>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</si>
  <si>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</si>
  <si>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</si>
  <si>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</si>
  <si>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</si>
  <si>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</si>
  <si>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</si>
  <si>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</si>
  <si>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</si>
  <si>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</si>
  <si>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</si>
  <si>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</si>
  <si>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</si>
  <si>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</si>
  <si>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</si>
  <si>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</si>
  <si>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</si>
  <si>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</si>
  <si>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</si>
  <si>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</si>
  <si>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</si>
  <si>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</si>
  <si>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</si>
  <si>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</si>
  <si>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</si>
  <si>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</si>
  <si>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</si>
  <si>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</si>
  <si>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</si>
  <si>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</si>
  <si>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</si>
  <si>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</si>
  <si>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</si>
  <si>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</si>
  <si>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</si>
  <si>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</si>
  <si>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</si>
  <si>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</si>
  <si>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</si>
  <si>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</si>
  <si>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</si>
  <si>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</si>
  <si>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</si>
  <si>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</si>
  <si>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</si>
  <si>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</si>
  <si>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</si>
  <si>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</si>
  <si>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</si>
  <si>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</si>
  <si>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</si>
  <si>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</si>
  <si>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</si>
  <si>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</si>
  <si>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</si>
  <si>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</si>
  <si>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</si>
  <si>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</si>
  <si>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</si>
  <si>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</si>
  <si>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</si>
  <si>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</si>
  <si>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</si>
  <si>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</si>
  <si>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</si>
  <si>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</si>
  <si>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</si>
  <si>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</si>
  <si>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</si>
  <si>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</si>
  <si>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</si>
  <si>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</si>
  <si>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</si>
  <si>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</si>
  <si>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</si>
  <si>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</si>
  <si>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</si>
  <si>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</si>
  <si>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</si>
  <si>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</si>
  <si>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</si>
  <si>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</si>
  <si>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</si>
  <si>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</si>
  <si>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</si>
  <si>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</si>
  <si>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</si>
  <si>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</si>
  <si>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</si>
  <si>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</si>
  <si>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</si>
  <si>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</si>
  <si>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</si>
  <si>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</si>
  <si>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</si>
  <si>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</si>
  <si>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</si>
  <si>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</si>
  <si>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</si>
  <si>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</si>
  <si>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</si>
  <si>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</si>
  <si>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</si>
  <si>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</si>
  <si>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</si>
  <si>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</si>
  <si>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</si>
  <si>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</si>
  <si>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</si>
  <si>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</si>
  <si>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</si>
  <si>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</si>
  <si>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</si>
  <si>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</si>
  <si>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</si>
  <si>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</si>
  <si>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</si>
  <si>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</si>
  <si>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</si>
  <si>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</si>
  <si>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</si>
  <si>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</si>
  <si>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</si>
  <si>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</si>
  <si>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</si>
  <si>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</si>
  <si>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</si>
  <si>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</si>
  <si>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</si>
  <si>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</si>
  <si>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</si>
  <si>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</si>
  <si>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</si>
  <si>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</si>
  <si>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</si>
  <si>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</si>
  <si>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</si>
  <si>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</si>
  <si>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</si>
  <si>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</si>
  <si>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</si>
  <si>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</si>
  <si>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</si>
  <si>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</si>
  <si>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</si>
  <si>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</si>
  <si>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</si>
  <si>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</si>
  <si>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</si>
  <si>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</si>
  <si>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</si>
  <si>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</si>
  <si>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</si>
  <si>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</si>
  <si>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</si>
  <si>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</si>
  <si>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</si>
  <si>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</si>
  <si>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</si>
  <si>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</si>
  <si>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</si>
  <si>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</si>
  <si>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</si>
  <si>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</si>
  <si>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</si>
  <si>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</si>
  <si>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</si>
  <si>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</si>
  <si>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</si>
  <si>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</si>
  <si>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</si>
  <si>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</si>
  <si>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</si>
  <si>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</si>
  <si>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</si>
  <si>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</si>
  <si>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</si>
  <si>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</si>
  <si>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</si>
  <si>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</si>
  <si>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</si>
  <si>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</si>
  <si>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</si>
  <si>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</si>
  <si>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</si>
  <si>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</si>
  <si>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</si>
  <si>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</si>
  <si>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</si>
  <si>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</si>
  <si>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</si>
  <si>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</si>
  <si>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</si>
  <si>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</si>
  <si>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</si>
  <si>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</si>
  <si>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</si>
  <si>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</si>
  <si>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</si>
  <si>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</si>
  <si>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</si>
  <si>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</si>
  <si>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</si>
  <si>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</si>
  <si>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</si>
  <si>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</si>
  <si>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</si>
  <si>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</si>
  <si>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</si>
  <si>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</si>
  <si>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</si>
  <si>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</si>
  <si>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</si>
  <si>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</si>
  <si>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</si>
  <si>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</si>
  <si>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</si>
  <si>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</si>
  <si>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</si>
  <si>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</si>
  <si>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</si>
  <si>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</si>
  <si>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</si>
  <si>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</si>
  <si>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</si>
  <si>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</si>
  <si>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</si>
  <si>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</si>
  <si>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</si>
  <si>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</si>
  <si>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</si>
  <si>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</si>
  <si>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</si>
  <si>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</si>
  <si>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</si>
  <si>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</si>
  <si>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</si>
  <si>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</si>
  <si>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</si>
  <si>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</si>
  <si>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</si>
  <si>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</si>
  <si>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</si>
  <si>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</si>
  <si>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</si>
  <si>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</si>
  <si>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</si>
  <si>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</si>
  <si>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</si>
  <si>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</si>
  <si>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</si>
  <si>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</si>
  <si>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</si>
  <si>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</si>
  <si>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</si>
  <si>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</si>
  <si>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</si>
  <si>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</si>
  <si>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</si>
  <si>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</si>
  <si>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</si>
  <si>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</si>
  <si>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</si>
  <si>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</si>
  <si>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</si>
  <si>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</si>
  <si>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</si>
  <si>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</si>
  <si>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</si>
  <si>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</si>
  <si>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</si>
  <si>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</si>
  <si>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</si>
  <si>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</si>
  <si>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</si>
  <si>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</si>
  <si>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</si>
  <si>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</si>
  <si>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</si>
  <si>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</si>
  <si>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</si>
  <si>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</si>
  <si>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</si>
  <si>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</si>
  <si>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</si>
  <si>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</si>
  <si>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</si>
  <si>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</si>
  <si>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</si>
  <si>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</si>
  <si>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</si>
  <si>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</si>
  <si>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</si>
  <si>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</si>
  <si>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</si>
  <si>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</si>
  <si>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</si>
  <si>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</si>
  <si>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</si>
  <si>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</si>
  <si>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</si>
  <si>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</si>
  <si>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</si>
  <si>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</si>
  <si>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</si>
  <si>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</si>
  <si>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</si>
  <si>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</si>
  <si>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</si>
  <si>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</si>
  <si>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</si>
  <si>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</si>
  <si>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</si>
  <si>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</si>
  <si>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</si>
  <si>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</si>
  <si>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</si>
  <si>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</si>
  <si>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</si>
  <si>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</si>
  <si>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</si>
  <si>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</si>
  <si>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</si>
  <si>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</si>
  <si>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</si>
  <si>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</si>
  <si>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</si>
  <si>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</si>
  <si>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</si>
  <si>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</si>
  <si>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</si>
  <si>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</si>
  <si>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</si>
  <si>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</si>
  <si>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</si>
  <si>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</si>
  <si>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</si>
  <si>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</si>
  <si>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</si>
  <si>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</si>
  <si>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</si>
  <si>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</si>
  <si>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</si>
  <si>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</si>
  <si>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</si>
  <si>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</si>
  <si>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</si>
  <si>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</si>
  <si>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</si>
  <si>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</si>
  <si>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</si>
  <si>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</si>
  <si>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</si>
  <si>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</si>
  <si>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</si>
  <si>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</si>
  <si>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</si>
  <si>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</si>
  <si>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</si>
  <si>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</si>
  <si>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</si>
  <si>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</si>
  <si>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</si>
  <si>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</si>
  <si>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</si>
  <si>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</si>
  <si>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</si>
  <si>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</si>
  <si>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</si>
  <si>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</si>
  <si>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</si>
  <si>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</si>
  <si>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</si>
  <si>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</si>
  <si>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</si>
  <si>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</si>
  <si>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</si>
  <si>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</si>
  <si>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</si>
  <si>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</si>
  <si>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</si>
  <si>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</si>
  <si>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</si>
  <si>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</si>
  <si>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</si>
  <si>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</si>
  <si>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</si>
  <si>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</si>
  <si>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</si>
  <si>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</si>
  <si>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</si>
  <si>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</si>
  <si>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</si>
  <si>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</si>
  <si>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</si>
  <si>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</si>
  <si>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</si>
  <si>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</si>
  <si>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</si>
  <si>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</si>
  <si>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</si>
  <si>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</si>
  <si>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</si>
  <si>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</si>
  <si>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</si>
  <si>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</si>
  <si>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</si>
  <si>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</si>
  <si>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</si>
  <si>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</si>
  <si>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</si>
  <si>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</si>
  <si>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</si>
  <si>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</si>
  <si>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</si>
  <si>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</si>
  <si>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</si>
  <si>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</si>
  <si>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</si>
  <si>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</si>
  <si>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</si>
  <si>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</si>
  <si>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</si>
  <si>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</si>
  <si>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2$</t>
  </si>
  <si>
    <t>5$</t>
  </si>
  <si>
    <t>10$</t>
  </si>
  <si>
    <t>PRICES FOR OFFERS WITH MAIN ITEM A DRAGON</t>
  </si>
  <si>
    <t>PRICES FOR OFFERS WITH MAIN ITEM NOT A DRAGON</t>
  </si>
  <si>
    <t>NonPayer &amp; cluster_2</t>
  </si>
  <si>
    <t>CLUSTERS ID</t>
  </si>
  <si>
    <t>CLUSTER_NON_PAYER</t>
  </si>
  <si>
    <t>CLUSTER_2</t>
  </si>
  <si>
    <t>SKU</t>
  </si>
  <si>
    <t>IapSKU</t>
  </si>
  <si>
    <t>campaign1Promo2_v2</t>
  </si>
  <si>
    <t>campaign2Promo2_v2</t>
  </si>
  <si>
    <t>campaign1Promo5_v2</t>
  </si>
  <si>
    <t>campaign2Promo5_v2</t>
  </si>
  <si>
    <t>campaign1Promo10_v2</t>
  </si>
  <si>
    <t>campaign2Promo10_v2</t>
  </si>
  <si>
    <t>promoted1_v2</t>
  </si>
  <si>
    <t>promoted2_v2</t>
  </si>
  <si>
    <t>promoted3_v2</t>
  </si>
  <si>
    <t>promoted4_v2</t>
  </si>
  <si>
    <t>seasonalPack1_v2</t>
  </si>
  <si>
    <t>seasonalPack2_v2</t>
  </si>
  <si>
    <t>seasonalPack3_v2</t>
  </si>
  <si>
    <t>OTHER IAPS</t>
  </si>
  <si>
    <t>Sku</t>
  </si>
  <si>
    <t>15$</t>
  </si>
  <si>
    <t>campaign1Promo15_v2</t>
  </si>
  <si>
    <t>campaign2Promo15_v2</t>
  </si>
  <si>
    <t>1$</t>
  </si>
  <si>
    <t>nonPayers:</t>
  </si>
  <si>
    <t>payers:</t>
  </si>
  <si>
    <t>IAPS/PRICES DRAGON TIERS BY CLUSTER</t>
  </si>
  <si>
    <t>TIER XXL</t>
  </si>
  <si>
    <t>LEGENDARY</t>
  </si>
  <si>
    <t>20$</t>
  </si>
  <si>
    <t>campaign1Promo20_v2</t>
  </si>
  <si>
    <t>campaign2Promo20_v2</t>
  </si>
  <si>
    <t>Condition (playerType &amp;maxPurchasePrice &amp; clusterId)</t>
  </si>
  <si>
    <t>payer &amp; 0.01:2 &amp; ClusterNonPayer;Cluster_2;Cluster_5;Cluster_10</t>
  </si>
  <si>
    <t>payer &amp; 5.01:999 &amp; ClusterNonPayer;Cluster_2;Cluster_5;Cluster_10</t>
  </si>
  <si>
    <t>Condition (playerType &amp; clusterId)</t>
  </si>
  <si>
    <t>nonPayer &amp; Cluster_10</t>
  </si>
  <si>
    <t>nonPayer &amp; ClusterNonPayer;Cluster_2</t>
  </si>
  <si>
    <t>clusteringSP15</t>
  </si>
  <si>
    <t>clusterstarterpack15</t>
  </si>
  <si>
    <t>payer &amp; 2.01:5 &amp; ClusterNonPayer;Cluster_2;Cluster_5;Cluster_10</t>
  </si>
  <si>
    <t>nonPayer &amp; Cluster_5</t>
  </si>
  <si>
    <t>Cluster_Generic:</t>
  </si>
  <si>
    <t>Condition(clusterId)</t>
  </si>
  <si>
    <t>Cluster_Generic</t>
  </si>
  <si>
    <t>PUSH OFFERS COMBINATIONS</t>
  </si>
  <si>
    <t>1 Dragon tier XXL</t>
  </si>
  <si>
    <t>1 Dragon tier Legendary</t>
  </si>
  <si>
    <t>cluster_generic</t>
  </si>
  <si>
    <t>JSON 1: OFFERS IAPS FOR NON PAYERS/CLUSTER PREDICTION</t>
  </si>
  <si>
    <t>JSON 2: OFFERS IAPS FOR PAYERS</t>
  </si>
  <si>
    <t>JSON 3: OFFERS IAPS FOR CLUSTERING GENERIC</t>
  </si>
  <si>
    <t>TIER L</t>
  </si>
  <si>
    <t>1 Dragon tier L</t>
  </si>
  <si>
    <t>3 or 4 offers in the shop, to choose between these options:</t>
  </si>
  <si>
    <t>com.ubisoft.hungrydragon.clusterstarterpack2</t>
  </si>
  <si>
    <t>com.ubisoft.hungrydragon.clusterstarterpack5</t>
  </si>
  <si>
    <t>com.ubisoft.hungrydragon.clusterstarterpack10</t>
  </si>
  <si>
    <t>com.ubisoft.hungrydragon.clusterstarterpack15</t>
  </si>
  <si>
    <t>Blaze starter pack</t>
  </si>
  <si>
    <t>Flash offers</t>
  </si>
  <si>
    <t>?</t>
  </si>
  <si>
    <t>CLUSTER_GENERIC</t>
  </si>
  <si>
    <t>rotHighPayer2</t>
  </si>
  <si>
    <t>rotHighPayer5</t>
  </si>
  <si>
    <t>rotHighPayer10</t>
  </si>
  <si>
    <t>rotationalhighpayer12</t>
  </si>
  <si>
    <t>rotationalhighpayer1</t>
  </si>
  <si>
    <t>rotationalhighpayer2</t>
  </si>
  <si>
    <t>rotHighPayer2_v2</t>
  </si>
  <si>
    <t>rotHighPayer5_v2</t>
  </si>
  <si>
    <t>rotHighPayer10_v2</t>
  </si>
  <si>
    <t>GATCHA</t>
  </si>
  <si>
    <t>TIER XL</t>
  </si>
  <si>
    <t>1 Gatcha</t>
  </si>
  <si>
    <t>1 Dragon tier XL</t>
  </si>
  <si>
    <t>NORMAL PRICE</t>
  </si>
  <si>
    <t>DSC PRICE</t>
  </si>
  <si>
    <t>DSC</t>
  </si>
  <si>
    <t>DISCOUNTS BY CLUSTER (PRICES ARE IN GEMS)</t>
  </si>
  <si>
    <t>DragonDiscountOffer1</t>
  </si>
  <si>
    <t>DragonDiscountOffer2</t>
  </si>
  <si>
    <t>DragonDiscountOffer3</t>
  </si>
  <si>
    <t>DragonDiscountOffer4</t>
  </si>
  <si>
    <t>DragonDiscountOffer5</t>
  </si>
  <si>
    <t>DragonDiscountOffer6</t>
  </si>
  <si>
    <t>DragonDiscountOffer7</t>
  </si>
  <si>
    <t>DSC/PRICES DRAGON TIERS BY CLUSTER</t>
  </si>
  <si>
    <t>Price (Gems)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</si>
</sst>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32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  <font>
      <sz val="10"/>
      <color theme="0" tint="-0.34998626667073579"/>
      <name val="Arial"/>
      <family val="2"/>
    </font>
    <font>
      <sz val="10"/>
      <color theme="1"/>
      <name val="Calibri"/>
      <scheme val="minor"/>
    </font>
    <font>
      <b/>
      <sz val="11"/>
      <color theme="1"/>
      <name val="Calibri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94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63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71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4" xfId="2" applyNumberFormat="1" applyFont="1" applyFill="1" applyBorder="1" applyAlignment="1">
      <alignment horizontal="center" vertical="center"/>
    </xf>
    <xf numFmtId="0" fontId="6" fillId="38" borderId="26" xfId="0" applyNumberFormat="1" applyFont="1" applyFill="1" applyBorder="1" applyAlignment="1"/>
    <xf numFmtId="0" fontId="27" fillId="0" borderId="81" xfId="0" applyFont="1" applyBorder="1" applyAlignment="1">
      <alignment wrapText="1"/>
    </xf>
    <xf numFmtId="0" fontId="0" fillId="10" borderId="0" xfId="0" applyFill="1" applyBorder="1"/>
    <xf numFmtId="0" fontId="3" fillId="3" borderId="32" xfId="0" applyFont="1" applyFill="1" applyBorder="1" applyAlignment="1">
      <alignment horizontal="center" vertical="center"/>
    </xf>
    <xf numFmtId="0" fontId="28" fillId="43" borderId="79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/>
    <xf numFmtId="0" fontId="20" fillId="0" borderId="0" xfId="0" applyFont="1" applyAlignment="1"/>
    <xf numFmtId="0" fontId="20" fillId="9" borderId="82" xfId="0" applyFont="1" applyFill="1" applyBorder="1" applyAlignment="1"/>
    <xf numFmtId="0" fontId="20" fillId="9" borderId="73" xfId="0" applyFont="1" applyFill="1" applyBorder="1" applyAlignment="1"/>
    <xf numFmtId="0" fontId="20" fillId="9" borderId="83" xfId="0" applyFont="1" applyFill="1" applyBorder="1" applyAlignment="1">
      <alignment horizontal="center"/>
    </xf>
    <xf numFmtId="0" fontId="20" fillId="10" borderId="82" xfId="0" applyFont="1" applyFill="1" applyBorder="1" applyAlignment="1"/>
    <xf numFmtId="0" fontId="20" fillId="10" borderId="83" xfId="0" applyFont="1" applyFill="1" applyBorder="1" applyAlignment="1">
      <alignment horizontal="center"/>
    </xf>
    <xf numFmtId="0" fontId="20" fillId="30" borderId="84" xfId="0" applyFont="1" applyFill="1" applyBorder="1" applyAlignment="1"/>
    <xf numFmtId="0" fontId="20" fillId="30" borderId="85" xfId="0" applyFont="1" applyFill="1" applyBorder="1" applyAlignment="1">
      <alignment horizontal="center"/>
    </xf>
    <xf numFmtId="0" fontId="20" fillId="10" borderId="73" xfId="0" applyFont="1" applyFill="1" applyBorder="1" applyAlignment="1"/>
    <xf numFmtId="0" fontId="20" fillId="44" borderId="72" xfId="0" applyFont="1" applyFill="1" applyBorder="1" applyAlignment="1"/>
    <xf numFmtId="0" fontId="20" fillId="30" borderId="82" xfId="0" applyFont="1" applyFill="1" applyBorder="1" applyAlignment="1"/>
    <xf numFmtId="0" fontId="20" fillId="30" borderId="73" xfId="0" applyFont="1" applyFill="1" applyBorder="1" applyAlignment="1"/>
    <xf numFmtId="0" fontId="20" fillId="30" borderId="83" xfId="0" applyFont="1" applyFill="1" applyBorder="1" applyAlignment="1">
      <alignment horizontal="center"/>
    </xf>
    <xf numFmtId="0" fontId="26" fillId="44" borderId="73" xfId="0" applyFont="1" applyFill="1" applyBorder="1" applyAlignment="1"/>
    <xf numFmtId="0" fontId="26" fillId="44" borderId="74" xfId="0" applyFont="1" applyFill="1" applyBorder="1" applyAlignment="1">
      <alignment horizontal="left"/>
    </xf>
    <xf numFmtId="0" fontId="6" fillId="47" borderId="6" xfId="0" applyFont="1" applyFill="1" applyBorder="1" applyAlignment="1"/>
    <xf numFmtId="0" fontId="0" fillId="47" borderId="7" xfId="0" applyFill="1" applyBorder="1" applyAlignment="1"/>
    <xf numFmtId="0" fontId="0" fillId="47" borderId="8" xfId="0" applyFill="1" applyBorder="1" applyAlignment="1"/>
    <xf numFmtId="0" fontId="0" fillId="47" borderId="9" xfId="0" applyFill="1" applyBorder="1" applyAlignment="1"/>
    <xf numFmtId="0" fontId="6" fillId="47" borderId="0" xfId="0" applyFont="1" applyFill="1" applyBorder="1" applyAlignment="1"/>
    <xf numFmtId="0" fontId="0" fillId="47" borderId="10" xfId="0" applyFill="1" applyBorder="1" applyAlignment="1"/>
    <xf numFmtId="0" fontId="0" fillId="47" borderId="0" xfId="0" applyFill="1" applyBorder="1" applyAlignment="1"/>
    <xf numFmtId="0" fontId="20" fillId="47" borderId="0" xfId="0" applyFont="1" applyFill="1" applyBorder="1" applyAlignment="1"/>
    <xf numFmtId="0" fontId="6" fillId="47" borderId="9" xfId="0" applyFont="1" applyFill="1" applyBorder="1" applyAlignment="1"/>
    <xf numFmtId="0" fontId="0" fillId="47" borderId="11" xfId="0" applyFill="1" applyBorder="1" applyAlignment="1"/>
    <xf numFmtId="0" fontId="20" fillId="47" borderId="12" xfId="0" applyFont="1" applyFill="1" applyBorder="1" applyAlignment="1"/>
    <xf numFmtId="0" fontId="0" fillId="47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20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20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20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20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20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20" fillId="27" borderId="12" xfId="0" applyFont="1" applyFill="1" applyBorder="1" applyAlignment="1"/>
    <xf numFmtId="0" fontId="0" fillId="27" borderId="13" xfId="0" applyFill="1" applyBorder="1"/>
    <xf numFmtId="0" fontId="26" fillId="44" borderId="73" xfId="0" applyFont="1" applyFill="1" applyBorder="1" applyAlignment="1">
      <alignment wrapText="1"/>
    </xf>
    <xf numFmtId="0" fontId="26" fillId="44" borderId="78" xfId="0" applyFont="1" applyFill="1" applyBorder="1" applyAlignment="1">
      <alignment horizontal="left" wrapText="1"/>
    </xf>
    <xf numFmtId="0" fontId="26" fillId="44" borderId="77" xfId="0" applyFont="1" applyFill="1" applyBorder="1" applyAlignment="1">
      <alignment horizontal="left" vertical="center" wrapText="1"/>
    </xf>
    <xf numFmtId="0" fontId="26" fillId="44" borderId="78" xfId="0" applyFont="1" applyFill="1" applyBorder="1" applyAlignment="1">
      <alignment horizontal="left" vertical="center" wrapText="1"/>
    </xf>
    <xf numFmtId="0" fontId="26" fillId="44" borderId="74" xfId="0" applyFont="1" applyFill="1" applyBorder="1" applyAlignment="1">
      <alignment horizontal="left" wrapText="1"/>
    </xf>
    <xf numFmtId="0" fontId="0" fillId="47" borderId="12" xfId="0" applyFont="1" applyFill="1" applyBorder="1" applyAlignment="1"/>
    <xf numFmtId="0" fontId="22" fillId="47" borderId="0" xfId="0" applyFont="1" applyFill="1" applyBorder="1" applyAlignment="1"/>
    <xf numFmtId="0" fontId="29" fillId="44" borderId="77" xfId="0" applyFont="1" applyFill="1" applyBorder="1" applyAlignment="1">
      <alignment wrapText="1"/>
    </xf>
    <xf numFmtId="0" fontId="29" fillId="44" borderId="78" xfId="0" applyFont="1" applyFill="1" applyBorder="1" applyAlignment="1">
      <alignment horizontal="left"/>
    </xf>
    <xf numFmtId="0" fontId="29" fillId="44" borderId="78" xfId="0" applyFont="1" applyFill="1" applyBorder="1" applyAlignment="1">
      <alignment horizontal="left" wrapText="1"/>
    </xf>
    <xf numFmtId="0" fontId="26" fillId="14" borderId="73" xfId="0" applyFont="1" applyFill="1" applyBorder="1" applyAlignment="1">
      <alignment horizontal="left" vertical="center" wrapText="1"/>
    </xf>
    <xf numFmtId="0" fontId="26" fillId="14" borderId="74" xfId="0" applyFont="1" applyFill="1" applyBorder="1" applyAlignment="1">
      <alignment horizontal="left" vertical="center" wrapText="1"/>
    </xf>
    <xf numFmtId="0" fontId="22" fillId="29" borderId="0" xfId="0" applyFont="1" applyFill="1" applyBorder="1" applyAlignment="1"/>
    <xf numFmtId="0" fontId="22" fillId="24" borderId="0" xfId="0" applyFont="1" applyFill="1" applyBorder="1" applyAlignment="1"/>
    <xf numFmtId="0" fontId="22" fillId="27" borderId="0" xfId="0" applyFont="1" applyFill="1" applyBorder="1" applyAlignment="1"/>
    <xf numFmtId="0" fontId="26" fillId="14" borderId="73" xfId="0" applyFont="1" applyFill="1" applyBorder="1" applyAlignment="1">
      <alignment horizontal="left" vertical="center"/>
    </xf>
    <xf numFmtId="0" fontId="26" fillId="14" borderId="74" xfId="0" applyFont="1" applyFill="1" applyBorder="1" applyAlignment="1">
      <alignment horizontal="left" vertical="center"/>
    </xf>
    <xf numFmtId="0" fontId="20" fillId="14" borderId="73" xfId="0" applyFont="1" applyFill="1" applyBorder="1" applyAlignment="1">
      <alignment horizontal="left" vertical="center"/>
    </xf>
    <xf numFmtId="0" fontId="20" fillId="6" borderId="82" xfId="0" applyFont="1" applyFill="1" applyBorder="1" applyAlignment="1"/>
    <xf numFmtId="0" fontId="20" fillId="6" borderId="73" xfId="0" applyFont="1" applyFill="1" applyBorder="1" applyAlignment="1"/>
    <xf numFmtId="0" fontId="20" fillId="6" borderId="83" xfId="0" applyFont="1" applyFill="1" applyBorder="1" applyAlignment="1">
      <alignment horizontal="center"/>
    </xf>
    <xf numFmtId="0" fontId="27" fillId="0" borderId="86" xfId="0" applyFont="1" applyBorder="1" applyAlignment="1">
      <alignment wrapText="1"/>
    </xf>
    <xf numFmtId="0" fontId="27" fillId="0" borderId="87" xfId="0" applyFont="1" applyBorder="1" applyAlignment="1">
      <alignment wrapText="1"/>
    </xf>
    <xf numFmtId="0" fontId="27" fillId="0" borderId="88" xfId="0" applyFont="1" applyBorder="1" applyAlignment="1">
      <alignment wrapText="1"/>
    </xf>
    <xf numFmtId="0" fontId="27" fillId="0" borderId="89" xfId="0" applyFont="1" applyBorder="1" applyAlignment="1">
      <alignment wrapText="1"/>
    </xf>
    <xf numFmtId="0" fontId="27" fillId="0" borderId="90" xfId="0" applyFont="1" applyBorder="1" applyAlignment="1">
      <alignment wrapText="1"/>
    </xf>
    <xf numFmtId="0" fontId="27" fillId="0" borderId="91" xfId="0" applyFont="1" applyBorder="1" applyAlignment="1">
      <alignment wrapText="1"/>
    </xf>
    <xf numFmtId="0" fontId="27" fillId="0" borderId="92" xfId="0" applyFont="1" applyBorder="1" applyAlignment="1">
      <alignment wrapText="1"/>
    </xf>
    <xf numFmtId="0" fontId="27" fillId="0" borderId="93" xfId="0" applyFont="1" applyBorder="1" applyAlignment="1">
      <alignment wrapText="1"/>
    </xf>
    <xf numFmtId="0" fontId="30" fillId="0" borderId="86" xfId="0" applyFont="1" applyBorder="1" applyAlignment="1">
      <alignment wrapText="1"/>
    </xf>
    <xf numFmtId="0" fontId="30" fillId="0" borderId="81" xfId="0" applyFont="1" applyBorder="1" applyAlignment="1">
      <alignment wrapText="1"/>
    </xf>
    <xf numFmtId="0" fontId="30" fillId="0" borderId="91" xfId="0" applyFont="1" applyBorder="1" applyAlignment="1">
      <alignment wrapText="1"/>
    </xf>
    <xf numFmtId="0" fontId="30" fillId="0" borderId="92" xfId="0" applyFont="1" applyBorder="1" applyAlignment="1">
      <alignment wrapText="1"/>
    </xf>
    <xf numFmtId="0" fontId="26" fillId="44" borderId="80" xfId="0" applyFont="1" applyFill="1" applyBorder="1" applyAlignment="1"/>
    <xf numFmtId="0" fontId="6" fillId="48" borderId="6" xfId="0" applyFont="1" applyFill="1" applyBorder="1" applyAlignment="1"/>
    <xf numFmtId="0" fontId="0" fillId="48" borderId="7" xfId="0" applyFill="1" applyBorder="1" applyAlignment="1"/>
    <xf numFmtId="0" fontId="0" fillId="48" borderId="8" xfId="0" applyFill="1" applyBorder="1" applyAlignment="1"/>
    <xf numFmtId="0" fontId="0" fillId="48" borderId="9" xfId="0" applyFill="1" applyBorder="1" applyAlignment="1"/>
    <xf numFmtId="0" fontId="6" fillId="48" borderId="0" xfId="0" applyFont="1" applyFill="1" applyBorder="1" applyAlignment="1"/>
    <xf numFmtId="0" fontId="0" fillId="48" borderId="10" xfId="0" applyFill="1" applyBorder="1" applyAlignment="1"/>
    <xf numFmtId="0" fontId="0" fillId="48" borderId="0" xfId="0" applyFill="1" applyBorder="1" applyAlignment="1"/>
    <xf numFmtId="0" fontId="20" fillId="48" borderId="0" xfId="0" applyFont="1" applyFill="1" applyBorder="1" applyAlignment="1"/>
    <xf numFmtId="0" fontId="6" fillId="48" borderId="9" xfId="0" applyFont="1" applyFill="1" applyBorder="1" applyAlignment="1"/>
    <xf numFmtId="0" fontId="22" fillId="48" borderId="0" xfId="0" applyFont="1" applyFill="1" applyBorder="1" applyAlignment="1"/>
    <xf numFmtId="0" fontId="0" fillId="48" borderId="11" xfId="0" applyFill="1" applyBorder="1" applyAlignment="1"/>
    <xf numFmtId="0" fontId="0" fillId="48" borderId="12" xfId="0" applyFill="1" applyBorder="1" applyAlignment="1"/>
    <xf numFmtId="0" fontId="20" fillId="48" borderId="12" xfId="0" applyFont="1" applyFill="1" applyBorder="1" applyAlignment="1"/>
    <xf numFmtId="0" fontId="0" fillId="48" borderId="13" xfId="0" applyFill="1" applyBorder="1" applyAlignment="1"/>
    <xf numFmtId="0" fontId="31" fillId="0" borderId="0" xfId="0" applyFont="1" applyAlignment="1"/>
    <xf numFmtId="0" fontId="0" fillId="47" borderId="0" xfId="0" applyFill="1" applyBorder="1" applyAlignment="1">
      <alignment horizontal="left" vertical="center"/>
    </xf>
    <xf numFmtId="0" fontId="0" fillId="47" borderId="12" xfId="0" applyFont="1" applyFill="1" applyBorder="1" applyAlignment="1">
      <alignment horizontal="left" vertical="center"/>
    </xf>
    <xf numFmtId="0" fontId="0" fillId="29" borderId="12" xfId="0" applyFill="1" applyBorder="1" applyAlignment="1">
      <alignment horizontal="left" vertical="center"/>
    </xf>
    <xf numFmtId="0" fontId="0" fillId="29" borderId="0" xfId="0" applyFill="1" applyBorder="1" applyAlignment="1">
      <alignment horizontal="left" vertical="center"/>
    </xf>
    <xf numFmtId="0" fontId="0" fillId="24" borderId="12" xfId="0" applyFill="1" applyBorder="1" applyAlignment="1">
      <alignment horizontal="left" vertical="center"/>
    </xf>
    <xf numFmtId="0" fontId="0" fillId="24" borderId="0" xfId="0" applyFill="1" applyBorder="1" applyAlignment="1">
      <alignment horizontal="left" vertical="center"/>
    </xf>
    <xf numFmtId="0" fontId="0" fillId="27" borderId="12" xfId="0" applyFill="1" applyBorder="1" applyAlignment="1">
      <alignment horizontal="left" vertical="center"/>
    </xf>
    <xf numFmtId="0" fontId="0" fillId="27" borderId="0" xfId="0" applyFill="1" applyBorder="1" applyAlignment="1">
      <alignment horizontal="left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96"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sz val="10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sz val="10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0" Type="http://schemas.openxmlformats.org/officeDocument/2006/relationships/powerPivotData" Target="model/item.data"/><Relationship Id="rId41" Type="http://schemas.openxmlformats.org/officeDocument/2006/relationships/customXml" Target="../customXml/item20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162</xdr:row>
          <xdr:rowOff>76200</xdr:rowOff>
        </xdr:from>
        <xdr:to>
          <xdr:col>3</xdr:col>
          <xdr:colOff>647700</xdr:colOff>
          <xdr:row>164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162</xdr:row>
          <xdr:rowOff>76200</xdr:rowOff>
        </xdr:from>
        <xdr:to>
          <xdr:col>6</xdr:col>
          <xdr:colOff>1390650</xdr:colOff>
          <xdr:row>164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173</xdr:row>
          <xdr:rowOff>76200</xdr:rowOff>
        </xdr:from>
        <xdr:to>
          <xdr:col>0</xdr:col>
          <xdr:colOff>1800225</xdr:colOff>
          <xdr:row>175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95" dataDxfId="294">
  <autoFilter ref="A6:C22"/>
  <tableColumns count="3">
    <tableColumn id="1" name="Dragon ID / Level" dataDxfId="293"/>
    <tableColumn id="2" name="Max level" dataDxfId="292"/>
    <tableColumn id="24" name="Expected AVG time (mn)" dataDxfId="291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90" dataDxfId="289">
  <autoFilter ref="A3:U19"/>
  <tableColumns count="21">
    <tableColumn id="1" name="Dragon ID / Level" dataDxfId="288"/>
    <tableColumn id="2" name="1" dataDxfId="287"/>
    <tableColumn id="3" name="2" dataDxfId="286"/>
    <tableColumn id="4" name="3" dataDxfId="285"/>
    <tableColumn id="5" name="4" dataDxfId="284"/>
    <tableColumn id="6" name="5" dataDxfId="283"/>
    <tableColumn id="7" name="6" dataDxfId="282"/>
    <tableColumn id="8" name="7" dataDxfId="281"/>
    <tableColumn id="9" name="8" dataDxfId="280"/>
    <tableColumn id="10" name="9" dataDxfId="279"/>
    <tableColumn id="11" name="10" dataDxfId="278"/>
    <tableColumn id="12" name="11" dataDxfId="277"/>
    <tableColumn id="13" name="12" dataDxfId="276"/>
    <tableColumn id="14" name="13" dataDxfId="275"/>
    <tableColumn id="15" name="14" dataDxfId="274"/>
    <tableColumn id="16" name="15" dataDxfId="273"/>
    <tableColumn id="17" name="16" dataDxfId="272"/>
    <tableColumn id="18" name="17" dataDxfId="271"/>
    <tableColumn id="19" name="18" dataDxfId="270"/>
    <tableColumn id="20" name="19" dataDxfId="269"/>
    <tableColumn id="21" name="20" dataDxfId="268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67" dataDxfId="266">
  <autoFilter ref="B8:E12"/>
  <tableColumns count="4">
    <tableColumn id="1" name="Equivalence (min)" dataDxfId="265"/>
    <tableColumn id="2" name="HC" dataDxfId="264">
      <calculatedColumnFormula>IF(ROUND(HCtoSkipTimers[[#This Row],[Equivalence (min)]]*$F$3+$G$3,0)=0,1,ROUND(HCtoSkipTimers[[#This Row],[Equivalence (min)]]*$F$3+$G$3,0))</calculatedColumnFormula>
    </tableColumn>
    <tableColumn id="3" name="$ min" dataDxfId="263" dataCellStyle="Currency">
      <calculatedColumnFormula>C9/'Offer Simulator'!$B$3</calculatedColumnFormula>
    </tableColumn>
    <tableColumn id="4" name="$ max" dataDxfId="262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261" dataDxfId="260">
  <autoFilter ref="A67:T83"/>
  <tableColumns count="20">
    <tableColumn id="1" name="Dragon ID / Step XP per Level" dataDxfId="259"/>
    <tableColumn id="2" name="1" dataDxfId="258">
      <calculatedColumnFormula>IF(OFFSET(F33,$A68,0)="","",ROUND(SUM(OFFSET($F33:F33,$A68,0)),0))</calculatedColumnFormula>
    </tableColumn>
    <tableColumn id="3" name="2" dataDxfId="257">
      <calculatedColumnFormula>IF(OFFSET(G33,$A68,0)="","",ROUND(SUM(OFFSET($F33:G33,$A68,0)),0))</calculatedColumnFormula>
    </tableColumn>
    <tableColumn id="4" name="3" dataDxfId="256">
      <calculatedColumnFormula>IF(OFFSET(H33,$A68,0)="","",ROUND(SUM(OFFSET($F33:H33,$A68,0)),0))</calculatedColumnFormula>
    </tableColumn>
    <tableColumn id="5" name="4" dataDxfId="255">
      <calculatedColumnFormula>IF(OFFSET(I33,$A68,0)="","",ROUND(SUM(OFFSET($F33:I33,$A68,0)),0))</calculatedColumnFormula>
    </tableColumn>
    <tableColumn id="6" name="5" dataDxfId="254">
      <calculatedColumnFormula>IF(OFFSET(J33,$A68,0)="","",ROUND(SUM(OFFSET($F33:J33,$A68,0)),0))</calculatedColumnFormula>
    </tableColumn>
    <tableColumn id="7" name="6" dataDxfId="253">
      <calculatedColumnFormula>IF(OFFSET(K33,$A68,0)="","",ROUND(SUM(OFFSET($F33:K33,$A68,0)),0))</calculatedColumnFormula>
    </tableColumn>
    <tableColumn id="8" name="7" dataDxfId="252">
      <calculatedColumnFormula>IF(OFFSET(L33,$A68,0)="","",ROUND(SUM(OFFSET($F33:L33,$A68,0)),0))</calculatedColumnFormula>
    </tableColumn>
    <tableColumn id="9" name="8" dataDxfId="251">
      <calculatedColumnFormula>IF(OFFSET(M33,$A68,0)="","",ROUND(SUM(OFFSET($F33:M33,$A68,0)),0))</calculatedColumnFormula>
    </tableColumn>
    <tableColumn id="10" name="9" dataDxfId="250">
      <calculatedColumnFormula>IF(OFFSET(N33,$A68,0)="","",ROUND(SUM(OFFSET($F33:N33,$A68,0)),0))</calculatedColumnFormula>
    </tableColumn>
    <tableColumn id="11" name="10" dataDxfId="249">
      <calculatedColumnFormula>IF(OFFSET(O33,$A68,0)="","",ROUND(SUM(OFFSET($F33:O33,$A68,0)),0))</calculatedColumnFormula>
    </tableColumn>
    <tableColumn id="12" name="11" dataDxfId="248">
      <calculatedColumnFormula>IF(OFFSET(P33,$A68,0)="","",ROUND(SUM(OFFSET($F33:P33,$A68,0)),0))</calculatedColumnFormula>
    </tableColumn>
    <tableColumn id="13" name="12" dataDxfId="247">
      <calculatedColumnFormula>IF(OFFSET(Q33,$A68,0)="","",ROUND(SUM(OFFSET($F33:Q33,$A68,0)),0))</calculatedColumnFormula>
    </tableColumn>
    <tableColumn id="14" name="13" dataDxfId="246">
      <calculatedColumnFormula>IF(OFFSET(R33,$A68,0)="","",ROUND(SUM(OFFSET($F33:R33,$A68,0)),0))</calculatedColumnFormula>
    </tableColumn>
    <tableColumn id="15" name="14" dataDxfId="245">
      <calculatedColumnFormula>IF(OFFSET(S33,$A68,0)="","",ROUND(SUM(OFFSET($F33:S33,$A68,0)),0))</calculatedColumnFormula>
    </tableColumn>
    <tableColumn id="16" name="15" dataDxfId="244">
      <calculatedColumnFormula>IF(OFFSET(T33,$A68,0)="","",ROUND(SUM(OFFSET($F33:T33,$A68,0)),0))</calculatedColumnFormula>
    </tableColumn>
    <tableColumn id="17" name="16" dataDxfId="243">
      <calculatedColumnFormula>IF(OFFSET(U33,$A68,0)="","",ROUND(SUM(OFFSET($F33:U33,$A68,0)),0))</calculatedColumnFormula>
    </tableColumn>
    <tableColumn id="18" name="17" dataDxfId="242">
      <calculatedColumnFormula>IF(OFFSET(V33,$A68,0)="","",ROUND(SUM(OFFSET($F33:V33,$A68,0)),0))</calculatedColumnFormula>
    </tableColumn>
    <tableColumn id="19" name="18" dataDxfId="241">
      <calculatedColumnFormula>IF(OFFSET(W33,$A68,0)="","",ROUND(SUM(OFFSET($F33:W33,$A68,0)),0))</calculatedColumnFormula>
    </tableColumn>
    <tableColumn id="20" name="19" dataDxfId="240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239" dataDxfId="238">
  <autoFilter ref="A86:C102"/>
  <tableColumns count="3">
    <tableColumn id="1" name="Dragon ID" dataDxfId="237"/>
    <tableColumn id="2" name="AVG_XP/min" dataDxfId="236">
      <calculatedColumnFormula>ROUND(AVERAGE(D11:D11),0)</calculatedColumnFormula>
    </tableColumn>
    <tableColumn id="3" name="AVG_TIME_TO_MAX_LEVEL" dataDxfId="235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234" dataDxfId="232" headerRowBorderDxfId="233">
  <autoFilter ref="E12:N33"/>
  <tableColumns count="10">
    <tableColumn id="1" name="Dragon" dataDxfId="231"/>
    <tableColumn id="2" name="Reward Multiplier" dataDxfId="230"/>
    <tableColumn id="6" name="Easy Mission Reward" dataDxfId="229">
      <calculatedColumnFormula>missionsDragonRelativeMetrics[[#This Row],[Reward Multiplier]]*$C$5</calculatedColumnFormula>
    </tableColumn>
    <tableColumn id="7" name="Medium Mission Reward" dataDxfId="228">
      <calculatedColumnFormula>missionsDragonRelativeMetrics[[#This Row],[Reward Multiplier]]*$C$6</calculatedColumnFormula>
    </tableColumn>
    <tableColumn id="3" name="Hard Mission Reward" dataDxfId="227">
      <calculatedColumnFormula>missionsDragonRelativeMetrics[[#This Row],[Reward Multiplier]]*$C$7</calculatedColumnFormula>
    </tableColumn>
    <tableColumn id="4" name="Max. Nb. Missions" dataDxfId="226"/>
    <tableColumn id="5" name="Tier" dataDxfId="225"/>
    <tableColumn id="8" name="General Missions" dataDxfId="224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223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222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221" dataDxfId="220">
  <autoFilter ref="A4:C7"/>
  <tableColumns count="3">
    <tableColumn id="6" name="Difficulty" dataDxfId="219"/>
    <tableColumn id="1" name="Mission Level" dataDxfId="218" totalsRowDxfId="217"/>
    <tableColumn id="2" name="Max Reward" dataDxfId="216" totalsRowDxfId="215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214" dataDxfId="212" headerRowBorderDxfId="213" tableBorderDxfId="211">
  <autoFilter ref="A12:C33"/>
  <tableColumns count="3">
    <tableColumn id="1" name="Dragon" dataDxfId="210"/>
    <tableColumn id="2" name="QuantityModifier" dataDxfId="209"/>
    <tableColumn id="3" name="Dragon Tier" dataDxfId="208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207" headerRowBorderDxfId="206" tableBorderDxfId="205">
  <autoFilter ref="B47:Q128"/>
  <tableColumns count="16">
    <tableColumn id="16" name="ID" dataDxfId="204"/>
    <tableColumn id="1" name="MISSION TYPE"/>
    <tableColumn id="2" name="PARAM"/>
    <tableColumn id="3" name="HAS SINGLE RUN"/>
    <tableColumn id="4" name="OBJ. BASE. QU. MIN" dataDxfId="203"/>
    <tableColumn id="5" name="OBJ. BASE. QU. MAX" dataDxfId="202"/>
    <tableColumn id="6" name="OBJ. QU. RANGE" dataDxfId="201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200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99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98"/>
    <tableColumn id="15" name="DRAGON"/>
    <tableColumn id="14" name="AVAILABLE" dataDxfId="197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96" headerRowBorderDxfId="195" tableBorderDxfId="194">
  <autoFilter ref="B13:E18"/>
  <tableColumns count="4">
    <tableColumn id="1" name="CHESTS" dataDxfId="193"/>
    <tableColumn id="2" name="TYPE" dataDxfId="192"/>
    <tableColumn id="3" name="AMOUNT" dataDxfId="191"/>
    <tableColumn id="4" name="AMOUNT NEW" dataDxfId="190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89" headerRowBorderDxfId="188" tableBorderDxfId="187">
  <autoFilter ref="G13:AL34"/>
  <tableColumns count="32">
    <tableColumn id="1" name="DRAGON" dataDxfId="186"/>
    <tableColumn id="35" name="COINS" dataDxfId="185">
      <calculatedColumnFormula>Table6[[#This Row],[TOTAL COINS]] +Table6[[#This Row],[COINS IN RUNS PER DAY]]</calculatedColumnFormula>
    </tableColumn>
    <tableColumn id="34" name="COINS NEW" dataDxfId="184">
      <calculatedColumnFormula>Table6[[#This Row],[TOTAL COINS NEW]] + Table6[[#This Row],[COINS IN RUNS PER DAY]]</calculatedColumnFormula>
    </tableColumn>
    <tableColumn id="17" name="TOTAL COINS" dataDxfId="183">
      <calculatedColumnFormula>Table6[[#This Row],[CHESTS COINS]] + Table6[[#This Row],[DAILY COINS]]+Table6[[#This Row],[LEAGUES COINS]]+Table6[[#This Row],[MISSIONS COINS]]</calculatedColumnFormula>
    </tableColumn>
    <tableColumn id="16" name="TOTAL GEMS" dataDxfId="182">
      <calculatedColumnFormula>Table6[[#This Row],[CHESTS GEMS]]+Table6[[#This Row],[DAILY GEMS]]+Table6[[#This Row],[LEAGUES GEMS]]</calculatedColumnFormula>
    </tableColumn>
    <tableColumn id="28" name="TOTAL COINS NEW" dataDxfId="181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80">
      <calculatedColumnFormula>Table6[[#This Row],[CHESTS GEMS NEW]] +Table6[[#This Row],[DAILY GEMS NEW]] +Table6[[#This Row],[LEAGUES GEMS NEW]]</calculatedColumnFormula>
    </tableColumn>
    <tableColumn id="31" name="COINS IN RUNS PER DAY" dataDxfId="179">
      <calculatedColumnFormula>Table6[[#This Row],[COINS PER RUN]] *Table6[[#This Row],[RUNS PER DAY]]</calculatedColumnFormula>
    </tableColumn>
    <tableColumn id="2" name="CHEST REW. MOD." dataDxfId="178"/>
    <tableColumn id="3" name="DAILY REW. MOD." dataDxfId="177"/>
    <tableColumn id="19" name="CHEST REW. MOD. NEW" dataDxfId="176"/>
    <tableColumn id="18" name="DAILY REW. MOD. NEW" dataDxfId="175"/>
    <tableColumn id="4" name="LEAGUE" dataDxfId="174"/>
    <tableColumn id="5" name="NUM. EASY" dataDxfId="173"/>
    <tableColumn id="6" name="NUM. MED." dataDxfId="172"/>
    <tableColumn id="7" name="NUM. HARD" dataDxfId="171"/>
    <tableColumn id="8" name="CHESTS COINS" dataDxfId="170">
      <calculatedColumnFormula>Table6[[#This Row],[CHEST REW. MOD.]]*($D$14+$D$15+$D$16)</calculatedColumnFormula>
    </tableColumn>
    <tableColumn id="9" name="CHESTS GEMS" dataDxfId="169">
      <calculatedColumnFormula>$D$17+$D$18</calculatedColumnFormula>
    </tableColumn>
    <tableColumn id="10" name="DAILY COINS" dataDxfId="168">
      <calculatedColumnFormula>ROUND((Table6[[#This Row],[DAILY REW. MOD.]]*($D$24+$D$26+$D$28))/7,0)</calculatedColumnFormula>
    </tableColumn>
    <tableColumn id="11" name="DAILY GEMS" dataDxfId="167">
      <calculatedColumnFormula>ROUND(($D$25+$D$27+$D$29)/7,1)</calculatedColumnFormula>
    </tableColumn>
    <tableColumn id="12" name="LEAGUES COINS" dataDxfId="166">
      <calculatedColumnFormula>ROUND((INDEX(Table12[AVG COINS],MATCH(Table6[[#This Row],[LEAGUE]],Table12[LEAGUE],0))) /$C$38,0)</calculatedColumnFormula>
    </tableColumn>
    <tableColumn id="13" name="LEAGUES GEMS" dataDxfId="165">
      <calculatedColumnFormula>ROUND((INDEX(Table12[AVG GEMS],MATCH(Table6[[#This Row],[LEAGUE]],Table12[LEAGUE],0))) /$C$37,2)</calculatedColumnFormula>
    </tableColumn>
    <tableColumn id="14" name="MISSIONS COINS" dataDxfId="164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163">
      <calculatedColumnFormula>Table6[[#This Row],[CHEST REW. MOD. NEW]]*($D$14+$D$15+$D$16)</calculatedColumnFormula>
    </tableColumn>
    <tableColumn id="21" name="CHESTS GEMS NEW" dataDxfId="162">
      <calculatedColumnFormula>$E$17+$E$18</calculatedColumnFormula>
    </tableColumn>
    <tableColumn id="22" name="DAILY COINS NEW" dataDxfId="161">
      <calculatedColumnFormula>ROUND((Table6[[#This Row],[DAILY REW. MOD. NEW]]*($E$24+$E$26+$E$28))/7,0)</calculatedColumnFormula>
    </tableColumn>
    <tableColumn id="23" name="DAILY GEMS NEW" dataDxfId="160">
      <calculatedColumnFormula>ROUND(($E$25+$E$27+$E$29)/7,1)</calculatedColumnFormula>
    </tableColumn>
    <tableColumn id="24" name="LEAGUES COINS NEW" dataDxfId="159">
      <calculatedColumnFormula>ROUND((INDEX(Table12[AVG COINS NEW],MATCH(Table6[[#This Row],[LEAGUE]],Table12[LEAGUE],0))) /$C$38,0)</calculatedColumnFormula>
    </tableColumn>
    <tableColumn id="25" name="LEAGUES GEMS NEW" dataDxfId="158">
      <calculatedColumnFormula>ROUND((INDEX(Table12[AVG GEMS NEW],MATCH(Table6[[#This Row],[LEAGUE]],Table12[LEAGUE],0))) / $C$38,2)</calculatedColumnFormula>
    </tableColumn>
    <tableColumn id="26" name="MISSIONS COINS NEW" dataDxfId="157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156"/>
    <tableColumn id="30" name="RUNS PER DAY" dataDxfId="155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154" dataDxfId="152" headerRowBorderDxfId="153" tableBorderDxfId="151">
  <autoFilter ref="B23:E31"/>
  <tableColumns count="4">
    <tableColumn id="1" name="DAY" dataDxfId="150"/>
    <tableColumn id="2" name="TYPE" dataDxfId="149"/>
    <tableColumn id="3" name="AMOUNT" dataDxfId="148"/>
    <tableColumn id="4" name="AMOUNT NEW" dataDxfId="147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146" headerRowBorderDxfId="145" tableBorderDxfId="144">
  <autoFilter ref="B40:F50"/>
  <tableColumns count="5">
    <tableColumn id="1" name="LEAGUE" dataDxfId="143"/>
    <tableColumn id="2" name="AVG COINS" dataDxfId="142">
      <calculatedColumnFormula>SUM(F62:F66)/100</calculatedColumnFormula>
    </tableColumn>
    <tableColumn id="3" name="AVG GEMS" dataDxfId="141"/>
    <tableColumn id="4" name="AVG COINS NEW" dataDxfId="140"/>
    <tableColumn id="5" name="AVG GEMS NEW" dataDxfId="139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138" dataDxfId="136" headerRowBorderDxfId="137" tableBorderDxfId="135">
  <autoFilter ref="B61:J111"/>
  <tableColumns count="9">
    <tableColumn id="1" name="LEAGUE" dataDxfId="134"/>
    <tableColumn id="2" name="TYPE" dataDxfId="133"/>
    <tableColumn id="3" name="AMOUNT" dataDxfId="132"/>
    <tableColumn id="4" name="TARGET" dataDxfId="131"/>
    <tableColumn id="5" name="AUX 1" dataDxfId="130">
      <calculatedColumnFormula>Table13[[#This Row],[AMOUNT]]*(Table13[[#This Row],[TARGET]]/100)</calculatedColumnFormula>
    </tableColumn>
    <tableColumn id="10" name="TYPE NEW" dataDxfId="129"/>
    <tableColumn id="6" name="AMOUNT NEW" dataDxfId="128"/>
    <tableColumn id="7" name="TARGET NEW" dataDxfId="127"/>
    <tableColumn id="8" name="AUX 1 NEW" dataDxfId="126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125" dataDxfId="124">
  <autoFilter ref="B114:E117"/>
  <tableColumns count="4">
    <tableColumn id="6" name="DIFFICULTY" dataDxfId="123"/>
    <tableColumn id="1" name="MISSION LV." dataDxfId="122" totalsRowDxfId="121"/>
    <tableColumn id="2" name="MAX. REW." dataDxfId="120" totalsRowDxfId="119"/>
    <tableColumn id="3" name="MAX REW. NEW" dataDxfId="118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117" dataDxfId="116" tableBorderDxfId="115">
  <autoFilter ref="A6:C13"/>
  <tableColumns count="3">
    <tableColumn id="1" name="Price" dataDxfId="114"/>
    <tableColumn id="2" name="HC earned" dataDxfId="113">
      <calculatedColumnFormula>ROUND(Table47[[#This Row],[Price]]*$B$3+Table47[[#This Row],[Price]]*$B$3*Table47[[#This Row],[Discount]],0)</calculatedColumnFormula>
    </tableColumn>
    <tableColumn id="3" name="Discount" dataDxfId="112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2:C28" totalsRowShown="0" headerRowDxfId="111" dataDxfId="110" tableBorderDxfId="109">
  <autoFilter ref="A22:C28"/>
  <tableColumns count="3">
    <tableColumn id="1" name="Price HC" dataDxfId="108"/>
    <tableColumn id="2" name="SC earned" dataDxfId="107">
      <calculatedColumnFormula>ROUND((($B$19/$B$3)*Table479[[#This Row],[Price HC]])+((($B$19/$B$3)*Table479[[#This Row],[Price HC]])*Table479[[#This Row],[Discount]]),0)</calculatedColumnFormula>
    </tableColumn>
    <tableColumn id="3" name="Discount" dataDxfId="106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8:Z38" totalsRowShown="0" headerRowDxfId="105" tableBorderDxfId="104">
  <autoFilter ref="E18:Z38"/>
  <tableColumns count="22">
    <tableColumn id="1" name="Dragon" dataDxfId="103"/>
    <tableColumn id="2" name="pricing (HC)" dataDxfId="102"/>
    <tableColumn id="3" name="Equivalence Base" dataDxfId="101">
      <calculatedColumnFormula>F19/$B$3</calculatedColumnFormula>
    </tableColumn>
    <tableColumn id="4" name="Equivalence better" dataDxfId="100">
      <calculatedColumnFormula>ROUND(F19/$B$4,2)</calculatedColumnFormula>
    </tableColumn>
    <tableColumn id="5" name="Dis. 1 price (SC or HC)" dataDxfId="99"/>
    <tableColumn id="6" name="Dis. 1 Eq. Base" dataDxfId="98">
      <calculatedColumnFormula>(Table9[[#This Row],[Dis. 1 price (SC or HC)]]/($B$19/$B$3))/$B$3</calculatedColumnFormula>
    </tableColumn>
    <tableColumn id="7" name="Dis 1 Eq. better" dataDxfId="97">
      <calculatedColumnFormula>Table9[[#This Row],[Dis. 1 price (SC or HC)]]/$B$20</calculatedColumnFormula>
    </tableColumn>
    <tableColumn id="8" name="Dis. 2 price (SC or HC)" dataDxfId="96"/>
    <tableColumn id="9" name="Dis. 2 Eq. Base" dataDxfId="95"/>
    <tableColumn id="10" name="Dis 2 Eq. better" dataDxfId="94"/>
    <tableColumn id="11" name="Dis. 3 price (SC or HC)" dataDxfId="93"/>
    <tableColumn id="12" name="Dis. 3 Eq. Base" dataDxfId="92"/>
    <tableColumn id="13" name="Dis 3 Eq. better" dataDxfId="91"/>
    <tableColumn id="14" name="Dis. 4 price (SC or HC)" dataDxfId="90"/>
    <tableColumn id="15" name="Dis. 4 Eq. Base" dataDxfId="89"/>
    <tableColumn id="16" name="Dis 4 Eq. better" dataDxfId="88"/>
    <tableColumn id="17" name="Dis. 5 price (SC or HC)" dataDxfId="87"/>
    <tableColumn id="18" name="Dis. 5 Eq. Base" dataDxfId="86"/>
    <tableColumn id="19" name="Dis 5 Eq. better" dataDxfId="85"/>
    <tableColumn id="20" name="Dis. 6 price (SC or HC)" dataDxfId="84"/>
    <tableColumn id="21" name="Dis. 6 Eq. Base" dataDxfId="83"/>
    <tableColumn id="22" name="Dis 6 Eq. Better" dataDxfId="82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5:B36" totalsRowShown="0" headerRowDxfId="81" tableBorderDxfId="80">
  <autoFilter ref="A35:B36"/>
  <tableColumns count="2">
    <tableColumn id="1" name="price HC" dataDxfId="79"/>
    <tableColumn id="2" name="Price $" dataDxfId="78">
      <calculatedColumnFormula>A36/B3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2" name="Table713" displayName="Table713" ref="B4:D55" totalsRowShown="0" headerRowDxfId="77" headerRowBorderDxfId="76" tableBorderDxfId="75" totalsRowBorderDxfId="74">
  <autoFilter ref="B4:D55"/>
  <tableColumns count="3">
    <tableColumn id="1" name="CATEGORIES" dataDxfId="73"/>
    <tableColumn id="2" name="TIDs" dataDxfId="72"/>
    <tableColumn id="3" name="TEXTS" dataDxfId="71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3" name="Table4" displayName="Table4" ref="B3:D18" totalsRowShown="0" headerRowDxfId="70" dataDxfId="68" headerRowBorderDxfId="69" tableBorderDxfId="67" totalsRowBorderDxfId="66">
  <autoFilter ref="B3:D18"/>
  <tableColumns count="3">
    <tableColumn id="1" name="SKU" dataDxfId="65"/>
    <tableColumn id="2" name="IapSKU" dataDxfId="64"/>
    <tableColumn id="3" name="PRICE" dataDxfId="63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8" name="Table14" displayName="Table14" ref="N30:P46" totalsRowShown="0" headerRowDxfId="62" dataDxfId="61">
  <autoFilter ref="N30:P46"/>
  <sortState ref="N31:P46">
    <sortCondition descending="1" ref="N30:N46"/>
  </sortState>
  <tableColumns count="3">
    <tableColumn id="1" name="CLUSTER" dataDxfId="60"/>
    <tableColumn id="2" name="TIER" dataDxfId="59"/>
    <tableColumn id="3" name="PRICE" dataDxfId="58"/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9" name="Table15" displayName="Table15" ref="N49:O52" totalsRowShown="0" headerRowDxfId="57" dataDxfId="56" tableBorderDxfId="55">
  <autoFilter ref="N49:O52"/>
  <tableColumns count="2">
    <tableColumn id="1" name="CLUSTER" dataDxfId="54"/>
    <tableColumn id="2" name="PRICE" dataDxfId="53"/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10" name="Table16" displayName="Table16" ref="N54:N59" totalsRowShown="0" headerRowDxfId="52" dataDxfId="51">
  <autoFilter ref="N54:N59"/>
  <tableColumns count="1">
    <tableColumn id="1" name="CLUSTERS ID" dataDxfId="50"/>
  </tableColumns>
  <tableStyleInfo name="TableStyleDark9" showFirstColumn="0" showLastColumn="0" showRowStripes="1" showColumnStripes="0"/>
</table>
</file>

<file path=xl/tables/table26.xml><?xml version="1.0" encoding="utf-8"?>
<table xmlns="http://schemas.openxmlformats.org/spreadsheetml/2006/main" id="29" name="Table430" displayName="Table430" ref="F3:H18" totalsRowShown="0" headerRowDxfId="49" dataDxfId="47" headerRowBorderDxfId="48" tableBorderDxfId="46" totalsRowBorderDxfId="45">
  <autoFilter ref="F3:H18"/>
  <tableColumns count="3">
    <tableColumn id="1" name="SKU" dataDxfId="44"/>
    <tableColumn id="2" name="IapSKU" dataDxfId="43"/>
    <tableColumn id="3" name="PRICE" dataDxfId="42"/>
  </tableColumns>
  <tableStyleInfo name="TableStyleDark9" showFirstColumn="0" showLastColumn="0" showRowStripes="1" showColumnStripes="0"/>
</table>
</file>

<file path=xl/tables/table27.xml><?xml version="1.0" encoding="utf-8"?>
<table xmlns="http://schemas.openxmlformats.org/spreadsheetml/2006/main" id="30" name="Table43031" displayName="Table43031" ref="J3:L8" totalsRowShown="0" headerRowDxfId="41" headerRowBorderDxfId="40" tableBorderDxfId="39" totalsRowBorderDxfId="38">
  <autoFilter ref="J3:L8"/>
  <tableColumns count="3">
    <tableColumn id="1" name="SKU" dataDxfId="37"/>
    <tableColumn id="2" name="IapSKU" dataDxfId="36"/>
    <tableColumn id="3" name="PRICE" dataDxfId="35"/>
  </tableColumns>
  <tableStyleInfo name="TableStyleDark9" showFirstColumn="0" showLastColumn="0" showRowStripes="1" showColumnStripes="0"/>
</table>
</file>

<file path=xl/tables/table28.xml><?xml version="1.0" encoding="utf-8"?>
<table xmlns="http://schemas.openxmlformats.org/spreadsheetml/2006/main" id="6" name="Table430317" displayName="Table430317" ref="N3:P19" totalsRowShown="0" headerRowDxfId="34" headerRowBorderDxfId="33" tableBorderDxfId="32" totalsRowBorderDxfId="31">
  <autoFilter ref="N3:P19"/>
  <tableColumns count="3">
    <tableColumn id="1" name="SKU" dataDxfId="30"/>
    <tableColumn id="2" name="IapSKU" dataDxfId="29"/>
    <tableColumn id="3" name="PRICE" dataDxfId="28"/>
  </tableColumns>
  <tableStyleInfo name="TableStyleDark9" showFirstColumn="0" showLastColumn="0" showRowStripes="1" showColumnStripes="0"/>
</table>
</file>

<file path=xl/tables/table29.xml><?xml version="1.0" encoding="utf-8"?>
<table xmlns="http://schemas.openxmlformats.org/spreadsheetml/2006/main" id="14" name="Table1415" displayName="Table1415" ref="K2:O18" totalsRowShown="0" headerRowDxfId="27" dataDxfId="26">
  <autoFilter ref="K2:O18"/>
  <sortState ref="K23:M38">
    <sortCondition descending="1" ref="K30:K46"/>
  </sortState>
  <tableColumns count="5">
    <tableColumn id="1" name="CLUSTER" dataDxfId="25"/>
    <tableColumn id="2" name="TIER" dataDxfId="24"/>
    <tableColumn id="3" name="NORMAL PRICE" dataDxfId="23"/>
    <tableColumn id="4" name="DSC PRICE" dataDxfId="22"/>
    <tableColumn id="5" name="DSC" dataDxfId="21">
      <calculatedColumnFormula>CONCATENATE(100 - ROUND(((Table1415[[#This Row],[DSC PRICE]]/Table1415[[#This Row],[NORMAL PRICE]])*100),0),"%")</calculatedColumnFormula>
    </tableColumn>
  </tableColumns>
  <tableStyleInfo name="TableStyleDark9" showFirstColumn="0" showLastColumn="0" showRowStripes="1" showColumnStripes="0"/>
</table>
</file>

<file path=xl/tables/table30.xml><?xml version="1.0" encoding="utf-8"?>
<table xmlns="http://schemas.openxmlformats.org/spreadsheetml/2006/main" id="31" name="Table1632" displayName="Table1632" ref="K20:K25" totalsRowShown="0" headerRowDxfId="20" dataDxfId="19">
  <autoFilter ref="K20:K25"/>
  <tableColumns count="1">
    <tableColumn id="1" name="CLUSTERS ID" dataDxfId="18"/>
  </tableColumns>
  <tableStyleInfo name="TableStyleDark9" showFirstColumn="0" showLastColumn="0" showRowStripes="1" showColumnStripes="0"/>
</table>
</file>

<file path=xl/tables/table31.xml><?xml version="1.0" encoding="utf-8"?>
<table xmlns="http://schemas.openxmlformats.org/spreadsheetml/2006/main" id="11" name="Table17" displayName="Table17" ref="D6:M136" totalsRowShown="0" headerRowDxfId="17" dataDxfId="15" headerRowBorderDxfId="16" tableBorderDxfId="14" totalsRowBorderDxfId="13">
  <autoFilter ref="D6:M136"/>
  <sortState ref="D7:M132">
    <sortCondition ref="H6:H132"/>
  </sortState>
  <tableColumns count="10">
    <tableColumn id="1" name="Id" dataDxfId="12"/>
    <tableColumn id="2" name="Product" dataDxfId="11"/>
    <tableColumn id="3" name="Portal" dataDxfId="10"/>
    <tableColumn id="4" name="Description" dataDxfId="9"/>
    <tableColumn id="5" name="Pack Name" dataDxfId="8"/>
    <tableColumn id="6" name="Price" dataDxfId="7"/>
    <tableColumn id="7" name="Google Pricing Template" dataDxfId="6"/>
    <tableColumn id="8" name="Status" dataDxfId="5"/>
    <tableColumn id="9" name="Clean For Sale" dataDxfId="4"/>
    <tableColumn id="10" name="Pack Type" dataDxfId="3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table" Target="../tables/table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18.xml"/><Relationship Id="rId5" Type="http://schemas.openxmlformats.org/officeDocument/2006/relationships/image" Target="../media/image2.emf"/><Relationship Id="rId10" Type="http://schemas.openxmlformats.org/officeDocument/2006/relationships/table" Target="../tables/table1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518</v>
      </c>
      <c r="P5" t="s">
        <v>541</v>
      </c>
      <c r="Q5" t="s">
        <v>798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0"/>
  <sheetViews>
    <sheetView workbookViewId="0">
      <selection activeCell="B101" sqref="B101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47">
        <v>14</v>
      </c>
      <c r="B17" s="347">
        <v>204</v>
      </c>
      <c r="C17" s="347">
        <v>205</v>
      </c>
      <c r="D17" s="347">
        <v>206</v>
      </c>
      <c r="E17" s="347">
        <v>207</v>
      </c>
      <c r="F17" s="347">
        <v>208</v>
      </c>
      <c r="G17" s="347">
        <v>209</v>
      </c>
      <c r="H17" s="347">
        <v>210</v>
      </c>
      <c r="I17" s="347">
        <v>211</v>
      </c>
      <c r="J17" s="347">
        <v>212</v>
      </c>
      <c r="K17" s="347">
        <v>213</v>
      </c>
      <c r="L17" s="347">
        <v>214</v>
      </c>
      <c r="M17" s="347">
        <v>215</v>
      </c>
      <c r="N17" s="347">
        <v>216</v>
      </c>
      <c r="O17" s="347">
        <v>217</v>
      </c>
      <c r="P17" s="347">
        <v>218</v>
      </c>
      <c r="Q17" s="347">
        <v>219</v>
      </c>
      <c r="R17" s="347">
        <v>220</v>
      </c>
      <c r="S17" s="347">
        <v>221</v>
      </c>
      <c r="T17" s="347">
        <v>222</v>
      </c>
      <c r="U17" s="347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47">
        <v>16</v>
      </c>
      <c r="B19" s="347">
        <v>244</v>
      </c>
      <c r="C19" s="347">
        <v>245</v>
      </c>
      <c r="D19" s="347">
        <v>246</v>
      </c>
      <c r="E19" s="347">
        <v>247</v>
      </c>
      <c r="F19" s="347">
        <v>248</v>
      </c>
      <c r="G19" s="347">
        <v>249</v>
      </c>
      <c r="H19" s="347">
        <v>250</v>
      </c>
      <c r="I19" s="347">
        <v>251</v>
      </c>
      <c r="J19" s="347">
        <v>252</v>
      </c>
      <c r="K19" s="347">
        <v>253</v>
      </c>
      <c r="L19" s="347">
        <v>254</v>
      </c>
      <c r="M19" s="347">
        <v>255</v>
      </c>
      <c r="N19" s="347">
        <v>256</v>
      </c>
      <c r="O19" s="347">
        <v>257</v>
      </c>
      <c r="P19" s="347">
        <v>258</v>
      </c>
      <c r="Q19" s="347">
        <v>259</v>
      </c>
      <c r="R19" s="347">
        <v>260</v>
      </c>
      <c r="S19" s="347">
        <v>261</v>
      </c>
      <c r="T19" s="347">
        <v>262</v>
      </c>
      <c r="U19" s="347">
        <v>263</v>
      </c>
    </row>
    <row r="22" spans="1:21">
      <c r="B22" s="100" t="s">
        <v>322</v>
      </c>
      <c r="D22" s="100" t="s">
        <v>799</v>
      </c>
    </row>
    <row r="23" spans="1:21">
      <c r="B23" t="s">
        <v>323</v>
      </c>
      <c r="D23" t="s">
        <v>800</v>
      </c>
    </row>
    <row r="24" spans="1:21">
      <c r="B24" t="s">
        <v>324</v>
      </c>
      <c r="D24" t="s">
        <v>801</v>
      </c>
    </row>
    <row r="25" spans="1:21">
      <c r="B25" t="s">
        <v>325</v>
      </c>
      <c r="D25" t="s">
        <v>802</v>
      </c>
    </row>
    <row r="26" spans="1:21">
      <c r="B26" t="s">
        <v>326</v>
      </c>
      <c r="D26" t="s">
        <v>803</v>
      </c>
    </row>
    <row r="27" spans="1:21">
      <c r="B27" t="s">
        <v>327</v>
      </c>
      <c r="D27" t="s">
        <v>804</v>
      </c>
    </row>
    <row r="28" spans="1:21">
      <c r="B28" t="s">
        <v>328</v>
      </c>
      <c r="D28" t="s">
        <v>805</v>
      </c>
    </row>
    <row r="29" spans="1:21">
      <c r="B29" t="s">
        <v>329</v>
      </c>
      <c r="D29" t="s">
        <v>806</v>
      </c>
    </row>
    <row r="30" spans="1:21">
      <c r="B30" t="s">
        <v>330</v>
      </c>
      <c r="D30" t="s">
        <v>807</v>
      </c>
    </row>
    <row r="31" spans="1:21">
      <c r="B31" t="s">
        <v>331</v>
      </c>
      <c r="D31" t="s">
        <v>808</v>
      </c>
    </row>
    <row r="32" spans="1:21">
      <c r="B32" t="s">
        <v>332</v>
      </c>
      <c r="D32" t="s">
        <v>809</v>
      </c>
    </row>
    <row r="33" spans="2:4">
      <c r="B33" t="s">
        <v>333</v>
      </c>
      <c r="D33" t="s">
        <v>810</v>
      </c>
    </row>
    <row r="34" spans="2:4">
      <c r="B34" t="s">
        <v>334</v>
      </c>
    </row>
    <row r="35" spans="2:4">
      <c r="B35" t="s">
        <v>335</v>
      </c>
    </row>
    <row r="36" spans="2:4">
      <c r="B36" t="s">
        <v>336</v>
      </c>
    </row>
    <row r="37" spans="2:4">
      <c r="B37" t="s">
        <v>337</v>
      </c>
    </row>
    <row r="38" spans="2:4">
      <c r="B38" t="s">
        <v>338</v>
      </c>
    </row>
    <row r="39" spans="2:4">
      <c r="B39" t="s">
        <v>339</v>
      </c>
    </row>
    <row r="40" spans="2:4">
      <c r="B40" t="s">
        <v>340</v>
      </c>
    </row>
    <row r="41" spans="2:4">
      <c r="B41" t="s">
        <v>341</v>
      </c>
    </row>
    <row r="42" spans="2:4">
      <c r="B42" t="s">
        <v>342</v>
      </c>
    </row>
    <row r="43" spans="2:4">
      <c r="B43" t="s">
        <v>343</v>
      </c>
    </row>
    <row r="44" spans="2:4">
      <c r="B44" t="s">
        <v>344</v>
      </c>
    </row>
    <row r="45" spans="2:4">
      <c r="B45" t="s">
        <v>345</v>
      </c>
    </row>
    <row r="46" spans="2:4">
      <c r="B46" t="s">
        <v>346</v>
      </c>
    </row>
    <row r="47" spans="2:4">
      <c r="B47" t="s">
        <v>347</v>
      </c>
    </row>
    <row r="48" spans="2:4">
      <c r="B48" t="s">
        <v>348</v>
      </c>
    </row>
    <row r="49" spans="2:2">
      <c r="B49" t="s">
        <v>349</v>
      </c>
    </row>
    <row r="50" spans="2:2">
      <c r="B50" t="s">
        <v>350</v>
      </c>
    </row>
    <row r="51" spans="2:2">
      <c r="B51" t="s">
        <v>351</v>
      </c>
    </row>
    <row r="52" spans="2:2">
      <c r="B52" t="s">
        <v>352</v>
      </c>
    </row>
    <row r="53" spans="2:2">
      <c r="B53" t="s">
        <v>353</v>
      </c>
    </row>
    <row r="54" spans="2:2">
      <c r="B54" t="s">
        <v>354</v>
      </c>
    </row>
    <row r="55" spans="2:2">
      <c r="B55" t="s">
        <v>355</v>
      </c>
    </row>
    <row r="56" spans="2:2">
      <c r="B56" t="s">
        <v>356</v>
      </c>
    </row>
    <row r="57" spans="2:2">
      <c r="B57" t="s">
        <v>357</v>
      </c>
    </row>
    <row r="58" spans="2:2">
      <c r="B58" t="s">
        <v>358</v>
      </c>
    </row>
    <row r="59" spans="2:2">
      <c r="B59" t="s">
        <v>359</v>
      </c>
    </row>
    <row r="60" spans="2:2">
      <c r="B60" t="s">
        <v>360</v>
      </c>
    </row>
    <row r="61" spans="2:2">
      <c r="B61" t="s">
        <v>361</v>
      </c>
    </row>
    <row r="62" spans="2:2">
      <c r="B62" t="s">
        <v>362</v>
      </c>
    </row>
    <row r="63" spans="2:2">
      <c r="B63" t="s">
        <v>363</v>
      </c>
    </row>
    <row r="64" spans="2:2">
      <c r="B64" t="s">
        <v>364</v>
      </c>
    </row>
    <row r="65" spans="2:2">
      <c r="B65" t="s">
        <v>365</v>
      </c>
    </row>
    <row r="66" spans="2:2">
      <c r="B66" t="s">
        <v>366</v>
      </c>
    </row>
    <row r="67" spans="2:2">
      <c r="B67" t="s">
        <v>367</v>
      </c>
    </row>
    <row r="68" spans="2:2">
      <c r="B68" t="s">
        <v>368</v>
      </c>
    </row>
    <row r="69" spans="2:2">
      <c r="B69" t="s">
        <v>369</v>
      </c>
    </row>
    <row r="70" spans="2:2">
      <c r="B70" t="s">
        <v>370</v>
      </c>
    </row>
    <row r="71" spans="2:2">
      <c r="B71" t="s">
        <v>371</v>
      </c>
    </row>
    <row r="72" spans="2:2">
      <c r="B72" t="s">
        <v>372</v>
      </c>
    </row>
    <row r="73" spans="2:2">
      <c r="B73" t="s">
        <v>373</v>
      </c>
    </row>
    <row r="74" spans="2:2">
      <c r="B74" t="s">
        <v>374</v>
      </c>
    </row>
    <row r="75" spans="2:2">
      <c r="B75" t="s">
        <v>375</v>
      </c>
    </row>
    <row r="76" spans="2:2">
      <c r="B76" t="s">
        <v>376</v>
      </c>
    </row>
    <row r="77" spans="2:2">
      <c r="B77" t="s">
        <v>377</v>
      </c>
    </row>
    <row r="78" spans="2:2">
      <c r="B78" t="s">
        <v>378</v>
      </c>
    </row>
    <row r="79" spans="2:2">
      <c r="B79" t="s">
        <v>379</v>
      </c>
    </row>
    <row r="80" spans="2:2">
      <c r="B80" t="s">
        <v>380</v>
      </c>
    </row>
    <row r="81" spans="2:2">
      <c r="B81" t="s">
        <v>381</v>
      </c>
    </row>
    <row r="82" spans="2:2">
      <c r="B82" t="s">
        <v>382</v>
      </c>
    </row>
    <row r="83" spans="2:2">
      <c r="B83" t="s">
        <v>383</v>
      </c>
    </row>
    <row r="84" spans="2:2">
      <c r="B84" t="s">
        <v>384</v>
      </c>
    </row>
    <row r="85" spans="2:2">
      <c r="B85" t="s">
        <v>385</v>
      </c>
    </row>
    <row r="86" spans="2:2">
      <c r="B86" t="s">
        <v>386</v>
      </c>
    </row>
    <row r="87" spans="2:2">
      <c r="B87" t="s">
        <v>387</v>
      </c>
    </row>
    <row r="88" spans="2:2">
      <c r="B88" t="s">
        <v>388</v>
      </c>
    </row>
    <row r="89" spans="2:2">
      <c r="B89" t="s">
        <v>389</v>
      </c>
    </row>
    <row r="90" spans="2:2">
      <c r="B90" t="s">
        <v>390</v>
      </c>
    </row>
    <row r="91" spans="2:2">
      <c r="B91" t="s">
        <v>391</v>
      </c>
    </row>
    <row r="92" spans="2:2">
      <c r="B92" t="s">
        <v>392</v>
      </c>
    </row>
    <row r="93" spans="2:2">
      <c r="B93" t="s">
        <v>393</v>
      </c>
    </row>
    <row r="94" spans="2:2">
      <c r="B94" t="s">
        <v>394</v>
      </c>
    </row>
    <row r="95" spans="2:2">
      <c r="B95" t="s">
        <v>395</v>
      </c>
    </row>
    <row r="96" spans="2:2">
      <c r="B96" t="s">
        <v>396</v>
      </c>
    </row>
    <row r="97" spans="2:2">
      <c r="B97" t="s">
        <v>397</v>
      </c>
    </row>
    <row r="98" spans="2:2">
      <c r="B98" t="s">
        <v>542</v>
      </c>
    </row>
    <row r="99" spans="2:2">
      <c r="B99" t="s">
        <v>814</v>
      </c>
    </row>
    <row r="100" spans="2:2">
      <c r="B100" t="s">
        <v>815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68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612" t="s">
        <v>221</v>
      </c>
      <c r="I9" s="612"/>
      <c r="J9" s="612"/>
      <c r="L9" s="612" t="s">
        <v>224</v>
      </c>
      <c r="M9" s="612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48">
        <v>14</v>
      </c>
      <c r="B59" s="348">
        <v>0</v>
      </c>
      <c r="C59" s="348">
        <f t="shared" si="28"/>
        <v>0</v>
      </c>
      <c r="D59" s="348"/>
      <c r="E59" s="348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48">
        <v>15</v>
      </c>
      <c r="B61" s="348">
        <v>0</v>
      </c>
      <c r="C61" s="348">
        <f t="shared" si="28"/>
        <v>0</v>
      </c>
      <c r="D61" s="348"/>
      <c r="E61" s="348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48">
        <v>16</v>
      </c>
      <c r="B63" s="348">
        <v>0</v>
      </c>
      <c r="C63" s="348">
        <f t="shared" si="28"/>
        <v>0</v>
      </c>
      <c r="D63" s="348"/>
      <c r="E63" s="348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78" t="s">
        <v>438</v>
      </c>
    </row>
    <row r="3" spans="1:14">
      <c r="G3" s="104" t="s">
        <v>439</v>
      </c>
    </row>
    <row r="4" spans="1:14">
      <c r="A4" s="270" t="s">
        <v>74</v>
      </c>
      <c r="B4" s="270" t="s">
        <v>3</v>
      </c>
      <c r="C4" s="270" t="s">
        <v>45</v>
      </c>
      <c r="G4" s="285" t="s">
        <v>440</v>
      </c>
    </row>
    <row r="5" spans="1:14">
      <c r="A5" s="1" t="s">
        <v>67</v>
      </c>
      <c r="B5" s="1">
        <v>1</v>
      </c>
      <c r="C5" s="278">
        <v>200</v>
      </c>
    </row>
    <row r="6" spans="1:14">
      <c r="A6" s="1" t="s">
        <v>68</v>
      </c>
      <c r="B6" s="1">
        <v>2</v>
      </c>
      <c r="C6" s="278">
        <v>300</v>
      </c>
    </row>
    <row r="7" spans="1:14">
      <c r="A7" s="1" t="s">
        <v>69</v>
      </c>
      <c r="B7" s="1">
        <v>3</v>
      </c>
      <c r="C7" s="278">
        <v>600</v>
      </c>
    </row>
    <row r="10" spans="1:14">
      <c r="E10" s="100" t="s">
        <v>128</v>
      </c>
    </row>
    <row r="12" spans="1:14">
      <c r="A12" s="336" t="s">
        <v>4</v>
      </c>
      <c r="B12" s="336" t="s">
        <v>138</v>
      </c>
      <c r="C12" s="336" t="s">
        <v>76</v>
      </c>
      <c r="E12" s="336" t="s">
        <v>4</v>
      </c>
      <c r="F12" s="336" t="s">
        <v>118</v>
      </c>
      <c r="G12" s="336" t="s">
        <v>70</v>
      </c>
      <c r="H12" s="336" t="s">
        <v>71</v>
      </c>
      <c r="I12" s="336" t="s">
        <v>72</v>
      </c>
      <c r="J12" s="336" t="s">
        <v>66</v>
      </c>
      <c r="K12" s="336" t="s">
        <v>515</v>
      </c>
      <c r="L12" s="336" t="s">
        <v>532</v>
      </c>
      <c r="M12" s="336" t="s">
        <v>531</v>
      </c>
      <c r="N12" s="386" t="s">
        <v>516</v>
      </c>
    </row>
    <row r="13" spans="1:14">
      <c r="A13" s="103" t="s">
        <v>92</v>
      </c>
      <c r="B13" s="290">
        <v>0.1</v>
      </c>
      <c r="C13" s="290">
        <v>0</v>
      </c>
      <c r="E13" s="103" t="s">
        <v>92</v>
      </c>
      <c r="F13" s="290">
        <v>2</v>
      </c>
      <c r="G13" s="289">
        <f>missionsDragonRelativeMetrics[[#This Row],[Reward Multiplier]]*$C$5</f>
        <v>400</v>
      </c>
      <c r="H13" s="289">
        <f>missionsDragonRelativeMetrics[[#This Row],[Reward Multiplier]]*$C$6</f>
        <v>600</v>
      </c>
      <c r="I13" s="289">
        <f>missionsDragonRelativeMetrics[[#This Row],[Reward Multiplier]]*$C$7</f>
        <v>1200</v>
      </c>
      <c r="J13" s="101">
        <v>3</v>
      </c>
      <c r="K13" s="290">
        <v>0</v>
      </c>
      <c r="L13" s="384">
        <f>COUNTIFS(Table8[MIN TIER],"&lt;="&amp;missionsDragonRelativeMetrics[[#This Row],[Tier]],Table8[MAX TIER],"&gt;="&amp;missionsDragonRelativeMetrics[[#This Row],[Tier]],Table8[DRAGON],"="&amp;"")</f>
        <v>14</v>
      </c>
      <c r="M1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5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0">
        <v>0.7</v>
      </c>
      <c r="C14" s="290">
        <v>1</v>
      </c>
      <c r="E14" s="103" t="s">
        <v>93</v>
      </c>
      <c r="F14" s="290">
        <v>6</v>
      </c>
      <c r="G14" s="289">
        <f>missionsDragonRelativeMetrics[[#This Row],[Reward Multiplier]]*$C$5</f>
        <v>1200</v>
      </c>
      <c r="H14" s="289">
        <f>missionsDragonRelativeMetrics[[#This Row],[Reward Multiplier]]*$C$6</f>
        <v>1800</v>
      </c>
      <c r="I14" s="289">
        <f>missionsDragonRelativeMetrics[[#This Row],[Reward Multiplier]]*$C$7</f>
        <v>3600</v>
      </c>
      <c r="J14" s="101">
        <v>3</v>
      </c>
      <c r="K14" s="290">
        <v>1</v>
      </c>
      <c r="L14" s="384">
        <f>COUNTIFS(Table8[MIN TIER],"&lt;="&amp;missionsDragonRelativeMetrics[[#This Row],[Tier]],Table8[MAX TIER],"&gt;="&amp;missionsDragonRelativeMetrics[[#This Row],[Tier]],Table8[DRAGON],"="&amp;"")</f>
        <v>25</v>
      </c>
      <c r="M1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5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0">
        <v>1</v>
      </c>
      <c r="C15" s="290">
        <v>1</v>
      </c>
      <c r="E15" s="103" t="s">
        <v>94</v>
      </c>
      <c r="F15" s="290">
        <v>12</v>
      </c>
      <c r="G15" s="289">
        <f>missionsDragonRelativeMetrics[[#This Row],[Reward Multiplier]]*$C$5</f>
        <v>2400</v>
      </c>
      <c r="H15" s="289">
        <f>missionsDragonRelativeMetrics[[#This Row],[Reward Multiplier]]*$C$6</f>
        <v>3600</v>
      </c>
      <c r="I15" s="289">
        <f>missionsDragonRelativeMetrics[[#This Row],[Reward Multiplier]]*$C$7</f>
        <v>7200</v>
      </c>
      <c r="J15" s="101">
        <v>3</v>
      </c>
      <c r="K15" s="290">
        <v>1</v>
      </c>
      <c r="L15" s="384">
        <f>COUNTIFS(Table8[MIN TIER],"&lt;="&amp;missionsDragonRelativeMetrics[[#This Row],[Tier]],Table8[MAX TIER],"&gt;="&amp;missionsDragonRelativeMetrics[[#This Row],[Tier]],Table8[DRAGON],"="&amp;"")</f>
        <v>25</v>
      </c>
      <c r="M1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5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0">
        <v>1.5</v>
      </c>
      <c r="C16" s="290">
        <v>2</v>
      </c>
      <c r="E16" s="103" t="s">
        <v>95</v>
      </c>
      <c r="F16" s="290">
        <v>18</v>
      </c>
      <c r="G16" s="289">
        <f>missionsDragonRelativeMetrics[[#This Row],[Reward Multiplier]]*$C$5</f>
        <v>3600</v>
      </c>
      <c r="H16" s="289">
        <f>missionsDragonRelativeMetrics[[#This Row],[Reward Multiplier]]*$C$6</f>
        <v>5400</v>
      </c>
      <c r="I16" s="289">
        <f>missionsDragonRelativeMetrics[[#This Row],[Reward Multiplier]]*$C$7</f>
        <v>10800</v>
      </c>
      <c r="J16" s="101">
        <v>3</v>
      </c>
      <c r="K16" s="290">
        <v>2</v>
      </c>
      <c r="L16" s="384">
        <f>COUNTIFS(Table8[MIN TIER],"&lt;="&amp;missionsDragonRelativeMetrics[[#This Row],[Tier]],Table8[MAX TIER],"&gt;="&amp;missionsDragonRelativeMetrics[[#This Row],[Tier]],Table8[DRAGON],"="&amp;"")</f>
        <v>34</v>
      </c>
      <c r="M1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5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0">
        <v>2</v>
      </c>
      <c r="C17" s="290">
        <v>2</v>
      </c>
      <c r="E17" s="103" t="s">
        <v>96</v>
      </c>
      <c r="F17" s="290">
        <v>26</v>
      </c>
      <c r="G17" s="289">
        <f>missionsDragonRelativeMetrics[[#This Row],[Reward Multiplier]]*$C$5</f>
        <v>5200</v>
      </c>
      <c r="H17" s="289">
        <f>missionsDragonRelativeMetrics[[#This Row],[Reward Multiplier]]*$C$6</f>
        <v>7800</v>
      </c>
      <c r="I17" s="289">
        <f>missionsDragonRelativeMetrics[[#This Row],[Reward Multiplier]]*$C$7</f>
        <v>15600</v>
      </c>
      <c r="J17" s="101">
        <v>3</v>
      </c>
      <c r="K17" s="290">
        <v>2</v>
      </c>
      <c r="L17" s="384">
        <f>COUNTIFS(Table8[MIN TIER],"&lt;="&amp;missionsDragonRelativeMetrics[[#This Row],[Tier]],Table8[MAX TIER],"&gt;="&amp;missionsDragonRelativeMetrics[[#This Row],[Tier]],Table8[DRAGON],"="&amp;"")</f>
        <v>34</v>
      </c>
      <c r="M1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5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0">
        <v>2.5</v>
      </c>
      <c r="C18" s="290">
        <v>2</v>
      </c>
      <c r="E18" s="103" t="s">
        <v>97</v>
      </c>
      <c r="F18" s="290">
        <v>35</v>
      </c>
      <c r="G18" s="289">
        <f>missionsDragonRelativeMetrics[[#This Row],[Reward Multiplier]]*$C$5</f>
        <v>7000</v>
      </c>
      <c r="H18" s="289">
        <f>missionsDragonRelativeMetrics[[#This Row],[Reward Multiplier]]*$C$6</f>
        <v>10500</v>
      </c>
      <c r="I18" s="289">
        <f>missionsDragonRelativeMetrics[[#This Row],[Reward Multiplier]]*$C$7</f>
        <v>21000</v>
      </c>
      <c r="J18" s="101">
        <v>3</v>
      </c>
      <c r="K18" s="290">
        <v>2</v>
      </c>
      <c r="L18" s="384">
        <f>COUNTIFS(Table8[MIN TIER],"&lt;="&amp;missionsDragonRelativeMetrics[[#This Row],[Tier]],Table8[MAX TIER],"&gt;="&amp;missionsDragonRelativeMetrics[[#This Row],[Tier]],Table8[DRAGON],"="&amp;"")</f>
        <v>34</v>
      </c>
      <c r="M1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5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0">
        <v>3</v>
      </c>
      <c r="C19" s="290">
        <v>3</v>
      </c>
      <c r="E19" s="103" t="s">
        <v>98</v>
      </c>
      <c r="F19" s="290">
        <v>45</v>
      </c>
      <c r="G19" s="289">
        <f>missionsDragonRelativeMetrics[[#This Row],[Reward Multiplier]]*$C$5</f>
        <v>9000</v>
      </c>
      <c r="H19" s="289">
        <f>missionsDragonRelativeMetrics[[#This Row],[Reward Multiplier]]*$C$6</f>
        <v>13500</v>
      </c>
      <c r="I19" s="289">
        <f>missionsDragonRelativeMetrics[[#This Row],[Reward Multiplier]]*$C$7</f>
        <v>27000</v>
      </c>
      <c r="J19" s="101">
        <v>3</v>
      </c>
      <c r="K19" s="290">
        <v>3</v>
      </c>
      <c r="L19" s="384">
        <f>COUNTIFS(Table8[MIN TIER],"&lt;="&amp;missionsDragonRelativeMetrics[[#This Row],[Tier]],Table8[MAX TIER],"&gt;="&amp;missionsDragonRelativeMetrics[[#This Row],[Tier]],Table8[DRAGON],"="&amp;"")</f>
        <v>38</v>
      </c>
      <c r="M19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5">
        <f>missionsDragonRelativeMetrics[[#This Row],[General Missions]]+missionsDragonRelativeMetrics[[#This Row],[Dedicated Missions]]</f>
        <v>38</v>
      </c>
    </row>
    <row r="20" spans="1:14">
      <c r="A20" s="257" t="s">
        <v>99</v>
      </c>
      <c r="B20" s="290">
        <v>4</v>
      </c>
      <c r="C20" s="290">
        <v>3</v>
      </c>
      <c r="E20" s="103" t="s">
        <v>99</v>
      </c>
      <c r="F20" s="290">
        <v>56</v>
      </c>
      <c r="G20" s="289">
        <f>missionsDragonRelativeMetrics[[#This Row],[Reward Multiplier]]*$C$5</f>
        <v>11200</v>
      </c>
      <c r="H20" s="289">
        <f>missionsDragonRelativeMetrics[[#This Row],[Reward Multiplier]]*$C$6</f>
        <v>16800</v>
      </c>
      <c r="I20" s="289">
        <f>missionsDragonRelativeMetrics[[#This Row],[Reward Multiplier]]*$C$7</f>
        <v>33600</v>
      </c>
      <c r="J20" s="101">
        <v>3</v>
      </c>
      <c r="K20" s="290">
        <v>3</v>
      </c>
      <c r="L20" s="384">
        <f>COUNTIFS(Table8[MIN TIER],"&lt;="&amp;missionsDragonRelativeMetrics[[#This Row],[Tier]],Table8[MAX TIER],"&gt;="&amp;missionsDragonRelativeMetrics[[#This Row],[Tier]],Table8[DRAGON],"="&amp;"")</f>
        <v>38</v>
      </c>
      <c r="M20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5">
        <f>missionsDragonRelativeMetrics[[#This Row],[General Missions]]+missionsDragonRelativeMetrics[[#This Row],[Dedicated Missions]]</f>
        <v>38</v>
      </c>
    </row>
    <row r="21" spans="1:14">
      <c r="A21" s="257" t="s">
        <v>143</v>
      </c>
      <c r="B21" s="290">
        <v>4.5</v>
      </c>
      <c r="C21" s="290">
        <v>3</v>
      </c>
      <c r="E21" s="103" t="s">
        <v>143</v>
      </c>
      <c r="F21" s="290">
        <v>62</v>
      </c>
      <c r="G21" s="289">
        <f>missionsDragonRelativeMetrics[[#This Row],[Reward Multiplier]]*$C$5</f>
        <v>12400</v>
      </c>
      <c r="H21" s="289">
        <f>missionsDragonRelativeMetrics[[#This Row],[Reward Multiplier]]*$C$6</f>
        <v>18600</v>
      </c>
      <c r="I21" s="289">
        <f>missionsDragonRelativeMetrics[[#This Row],[Reward Multiplier]]*$C$7</f>
        <v>37200</v>
      </c>
      <c r="J21" s="101">
        <v>3</v>
      </c>
      <c r="K21" s="290">
        <v>3</v>
      </c>
      <c r="L21" s="384">
        <f>COUNTIFS(Table8[MIN TIER],"&lt;="&amp;missionsDragonRelativeMetrics[[#This Row],[Tier]],Table8[MAX TIER],"&gt;="&amp;missionsDragonRelativeMetrics[[#This Row],[Tier]],Table8[DRAGON],"="&amp;"")</f>
        <v>38</v>
      </c>
      <c r="M21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5">
        <f>missionsDragonRelativeMetrics[[#This Row],[General Missions]]+missionsDragonRelativeMetrics[[#This Row],[Dedicated Missions]]</f>
        <v>38</v>
      </c>
    </row>
    <row r="22" spans="1:14">
      <c r="A22" s="257" t="s">
        <v>100</v>
      </c>
      <c r="B22" s="290">
        <v>5</v>
      </c>
      <c r="C22" s="290">
        <v>4</v>
      </c>
      <c r="E22" s="103" t="s">
        <v>100</v>
      </c>
      <c r="F22" s="290">
        <v>65</v>
      </c>
      <c r="G22" s="289">
        <f>missionsDragonRelativeMetrics[[#This Row],[Reward Multiplier]]*$C$5</f>
        <v>13000</v>
      </c>
      <c r="H22" s="289">
        <f>missionsDragonRelativeMetrics[[#This Row],[Reward Multiplier]]*$C$6</f>
        <v>19500</v>
      </c>
      <c r="I22" s="289">
        <f>missionsDragonRelativeMetrics[[#This Row],[Reward Multiplier]]*$C$7</f>
        <v>39000</v>
      </c>
      <c r="J22" s="101">
        <v>3</v>
      </c>
      <c r="K22" s="290">
        <v>4</v>
      </c>
      <c r="L22" s="384">
        <f>COUNTIFS(Table8[MIN TIER],"&lt;="&amp;missionsDragonRelativeMetrics[[#This Row],[Tier]],Table8[MAX TIER],"&gt;="&amp;missionsDragonRelativeMetrics[[#This Row],[Tier]],Table8[DRAGON],"="&amp;"")</f>
        <v>34</v>
      </c>
      <c r="M22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5">
        <f>missionsDragonRelativeMetrics[[#This Row],[General Missions]]+missionsDragonRelativeMetrics[[#This Row],[Dedicated Missions]]</f>
        <v>34</v>
      </c>
    </row>
    <row r="23" spans="1:14">
      <c r="A23" s="257" t="s">
        <v>101</v>
      </c>
      <c r="B23" s="290">
        <v>7</v>
      </c>
      <c r="C23" s="290">
        <v>4</v>
      </c>
      <c r="E23" s="103" t="s">
        <v>101</v>
      </c>
      <c r="F23" s="290">
        <v>70</v>
      </c>
      <c r="G23" s="289">
        <f>missionsDragonRelativeMetrics[[#This Row],[Reward Multiplier]]*$C$5</f>
        <v>14000</v>
      </c>
      <c r="H23" s="289">
        <f>missionsDragonRelativeMetrics[[#This Row],[Reward Multiplier]]*$C$6</f>
        <v>21000</v>
      </c>
      <c r="I23" s="289">
        <f>missionsDragonRelativeMetrics[[#This Row],[Reward Multiplier]]*$C$7</f>
        <v>42000</v>
      </c>
      <c r="J23" s="101">
        <v>3</v>
      </c>
      <c r="K23" s="290">
        <v>4</v>
      </c>
      <c r="L23" s="384">
        <f>COUNTIFS(Table8[MIN TIER],"&lt;="&amp;missionsDragonRelativeMetrics[[#This Row],[Tier]],Table8[MAX TIER],"&gt;="&amp;missionsDragonRelativeMetrics[[#This Row],[Tier]],Table8[DRAGON],"="&amp;"")</f>
        <v>34</v>
      </c>
      <c r="M2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5">
        <f>missionsDragonRelativeMetrics[[#This Row],[General Missions]]+missionsDragonRelativeMetrics[[#This Row],[Dedicated Missions]]</f>
        <v>34</v>
      </c>
    </row>
    <row r="24" spans="1:14">
      <c r="A24" s="257" t="s">
        <v>144</v>
      </c>
      <c r="B24" s="290">
        <v>7.5</v>
      </c>
      <c r="C24" s="290">
        <v>4</v>
      </c>
      <c r="E24" s="103" t="s">
        <v>144</v>
      </c>
      <c r="F24" s="290">
        <v>70</v>
      </c>
      <c r="G24" s="289">
        <f>missionsDragonRelativeMetrics[[#This Row],[Reward Multiplier]]*$C$5</f>
        <v>14000</v>
      </c>
      <c r="H24" s="289">
        <f>missionsDragonRelativeMetrics[[#This Row],[Reward Multiplier]]*$C$6</f>
        <v>21000</v>
      </c>
      <c r="I24" s="289">
        <f>missionsDragonRelativeMetrics[[#This Row],[Reward Multiplier]]*$C$7</f>
        <v>42000</v>
      </c>
      <c r="J24" s="101">
        <v>3</v>
      </c>
      <c r="K24" s="290">
        <v>4</v>
      </c>
      <c r="L24" s="384">
        <f>COUNTIFS(Table8[MIN TIER],"&lt;="&amp;missionsDragonRelativeMetrics[[#This Row],[Tier]],Table8[MAX TIER],"&gt;="&amp;missionsDragonRelativeMetrics[[#This Row],[Tier]],Table8[DRAGON],"="&amp;"")</f>
        <v>34</v>
      </c>
      <c r="M2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5">
        <f>missionsDragonRelativeMetrics[[#This Row],[General Missions]]+missionsDragonRelativeMetrics[[#This Row],[Dedicated Missions]]</f>
        <v>34</v>
      </c>
    </row>
    <row r="25" spans="1:14">
      <c r="A25" s="256" t="s">
        <v>217</v>
      </c>
      <c r="B25" s="290">
        <v>8</v>
      </c>
      <c r="C25" s="290">
        <v>5</v>
      </c>
      <c r="E25" s="120" t="s">
        <v>217</v>
      </c>
      <c r="F25" s="290">
        <v>70</v>
      </c>
      <c r="G25" s="289">
        <f>missionsDragonRelativeMetrics[[#This Row],[Reward Multiplier]]*$C$5</f>
        <v>14000</v>
      </c>
      <c r="H25" s="289">
        <f>missionsDragonRelativeMetrics[[#This Row],[Reward Multiplier]]*$C$6</f>
        <v>21000</v>
      </c>
      <c r="I25" s="289">
        <f>missionsDragonRelativeMetrics[[#This Row],[Reward Multiplier]]*$C$7</f>
        <v>42000</v>
      </c>
      <c r="J25" s="101">
        <v>3</v>
      </c>
      <c r="K25" s="290">
        <v>5</v>
      </c>
      <c r="L25" s="384">
        <f>COUNTIFS(Table8[MIN TIER],"&lt;="&amp;missionsDragonRelativeMetrics[[#This Row],[Tier]],Table8[MAX TIER],"&gt;="&amp;missionsDragonRelativeMetrics[[#This Row],[Tier]],Table8[DRAGON],"="&amp;"")</f>
        <v>34</v>
      </c>
      <c r="M2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5">
        <f>missionsDragonRelativeMetrics[[#This Row],[General Missions]]+missionsDragonRelativeMetrics[[#This Row],[Dedicated Missions]]</f>
        <v>34</v>
      </c>
    </row>
    <row r="26" spans="1:14">
      <c r="A26" s="381" t="s">
        <v>519</v>
      </c>
      <c r="B26" s="290">
        <v>8</v>
      </c>
      <c r="C26" s="290">
        <v>5</v>
      </c>
      <c r="E26" s="381" t="s">
        <v>519</v>
      </c>
      <c r="F26" s="290">
        <v>70</v>
      </c>
      <c r="G26" s="289">
        <f>missionsDragonRelativeMetrics[[#This Row],[Reward Multiplier]]*$C$5</f>
        <v>14000</v>
      </c>
      <c r="H26" s="289">
        <f>missionsDragonRelativeMetrics[[#This Row],[Reward Multiplier]]*$C$6</f>
        <v>21000</v>
      </c>
      <c r="I26" s="289">
        <f>missionsDragonRelativeMetrics[[#This Row],[Reward Multiplier]]*$C$7</f>
        <v>42000</v>
      </c>
      <c r="J26" s="101">
        <v>3</v>
      </c>
      <c r="K26" s="290">
        <v>5</v>
      </c>
      <c r="L26" s="384">
        <f>COUNTIFS(Table8[MIN TIER],"&lt;="&amp;missionsDragonRelativeMetrics[[#This Row],[Tier]],Table8[MAX TIER],"&gt;="&amp;missionsDragonRelativeMetrics[[#This Row],[Tier]],Table8[DRAGON],"="&amp;"")</f>
        <v>34</v>
      </c>
      <c r="M2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5">
        <f>missionsDragonRelativeMetrics[[#This Row],[General Missions]]+missionsDragonRelativeMetrics[[#This Row],[Dedicated Missions]]</f>
        <v>34</v>
      </c>
    </row>
    <row r="27" spans="1:14">
      <c r="A27" s="381" t="s">
        <v>769</v>
      </c>
      <c r="B27" s="290">
        <v>8</v>
      </c>
      <c r="C27" s="290">
        <v>5</v>
      </c>
      <c r="E27" s="381" t="s">
        <v>769</v>
      </c>
      <c r="F27" s="290">
        <v>70</v>
      </c>
      <c r="G27" s="289">
        <f>missionsDragonRelativeMetrics[[#This Row],[Reward Multiplier]]*$C$5</f>
        <v>14000</v>
      </c>
      <c r="H27" s="289">
        <f>missionsDragonRelativeMetrics[[#This Row],[Reward Multiplier]]*$C$6</f>
        <v>21000</v>
      </c>
      <c r="I27" s="289">
        <f>missionsDragonRelativeMetrics[[#This Row],[Reward Multiplier]]*$C$7</f>
        <v>42000</v>
      </c>
      <c r="J27" s="101">
        <v>3</v>
      </c>
      <c r="K27" s="290">
        <v>5</v>
      </c>
      <c r="L27" s="384">
        <f>COUNTIFS(Table8[MIN TIER],"&lt;="&amp;missionsDragonRelativeMetrics[[#This Row],[Tier]],Table8[MAX TIER],"&gt;="&amp;missionsDragonRelativeMetrics[[#This Row],[Tier]],Table8[DRAGON],"="&amp;"")</f>
        <v>34</v>
      </c>
      <c r="M2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5">
        <f>missionsDragonRelativeMetrics[[#This Row],[General Missions]]+missionsDragonRelativeMetrics[[#This Row],[Dedicated Missions]]</f>
        <v>34</v>
      </c>
    </row>
    <row r="28" spans="1:14">
      <c r="A28" s="449" t="s">
        <v>770</v>
      </c>
      <c r="B28" s="450">
        <v>8</v>
      </c>
      <c r="C28" s="450">
        <v>5</v>
      </c>
      <c r="E28" s="451" t="s">
        <v>770</v>
      </c>
      <c r="F28" s="290">
        <v>70</v>
      </c>
      <c r="G28" s="289">
        <f>missionsDragonRelativeMetrics[[#This Row],[Reward Multiplier]]*$C$5</f>
        <v>14000</v>
      </c>
      <c r="H28" s="289">
        <f>missionsDragonRelativeMetrics[[#This Row],[Reward Multiplier]]*$C$6</f>
        <v>21000</v>
      </c>
      <c r="I28" s="289">
        <f>missionsDragonRelativeMetrics[[#This Row],[Reward Multiplier]]*$C$7</f>
        <v>42000</v>
      </c>
      <c r="J28" s="453">
        <v>3</v>
      </c>
      <c r="K28" s="290">
        <v>5</v>
      </c>
      <c r="L28" s="384">
        <f>COUNTIFS(Table8[MIN TIER],"&lt;="&amp;missionsDragonRelativeMetrics[[#This Row],[Tier]],Table8[MAX TIER],"&gt;="&amp;missionsDragonRelativeMetrics[[#This Row],[Tier]],Table8[DRAGON],"="&amp;"")</f>
        <v>34</v>
      </c>
      <c r="M2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5">
        <f>missionsDragonRelativeMetrics[[#This Row],[General Missions]]+missionsDragonRelativeMetrics[[#This Row],[Dedicated Missions]]</f>
        <v>34</v>
      </c>
    </row>
    <row r="29" spans="1:14">
      <c r="A29" s="449" t="s">
        <v>400</v>
      </c>
      <c r="B29" s="450">
        <v>8.5</v>
      </c>
      <c r="C29" s="450">
        <v>6</v>
      </c>
      <c r="E29" s="256" t="s">
        <v>400</v>
      </c>
      <c r="F29" s="290">
        <v>75</v>
      </c>
      <c r="G29" s="455">
        <f>missionsDragonRelativeMetrics[[#This Row],[Reward Multiplier]]*$C$5</f>
        <v>15000</v>
      </c>
      <c r="H29" s="455">
        <f>missionsDragonRelativeMetrics[[#This Row],[Reward Multiplier]]*$C$6</f>
        <v>22500</v>
      </c>
      <c r="I29" s="384">
        <f>missionsDragonRelativeMetrics[[#This Row],[Reward Multiplier]]*$C$7</f>
        <v>45000</v>
      </c>
      <c r="J29" s="453">
        <v>3</v>
      </c>
      <c r="K29" s="290">
        <v>6</v>
      </c>
      <c r="L29" s="454">
        <f>COUNTIFS(Table8[MIN TIER],"&lt;="&amp;missionsDragonRelativeMetrics[[#This Row],[Tier]],Table8[MAX TIER],"&gt;="&amp;missionsDragonRelativeMetrics[[#This Row],[Tier]],Table8[DRAGON],"="&amp;"")</f>
        <v>34</v>
      </c>
      <c r="M29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52">
        <f>missionsDragonRelativeMetrics[[#This Row],[General Missions]]+missionsDragonRelativeMetrics[[#This Row],[Dedicated Missions]]</f>
        <v>42</v>
      </c>
    </row>
    <row r="30" spans="1:14">
      <c r="A30" s="449" t="s">
        <v>401</v>
      </c>
      <c r="B30" s="450">
        <v>8.5</v>
      </c>
      <c r="C30" s="450">
        <v>6</v>
      </c>
      <c r="E30" s="381" t="s">
        <v>401</v>
      </c>
      <c r="F30" s="290">
        <v>75</v>
      </c>
      <c r="G30" s="455">
        <f>missionsDragonRelativeMetrics[[#This Row],[Reward Multiplier]]*$C$5</f>
        <v>15000</v>
      </c>
      <c r="H30" s="455">
        <f>missionsDragonRelativeMetrics[[#This Row],[Reward Multiplier]]*$C$6</f>
        <v>22500</v>
      </c>
      <c r="I30" s="384">
        <f>missionsDragonRelativeMetrics[[#This Row],[Reward Multiplier]]*$C$7</f>
        <v>45000</v>
      </c>
      <c r="J30" s="453">
        <v>3</v>
      </c>
      <c r="K30" s="290">
        <v>6</v>
      </c>
      <c r="L30" s="454">
        <f>COUNTIFS(Table8[MIN TIER],"&lt;="&amp;missionsDragonRelativeMetrics[[#This Row],[Tier]],Table8[MAX TIER],"&gt;="&amp;missionsDragonRelativeMetrics[[#This Row],[Tier]],Table8[DRAGON],"="&amp;"")</f>
        <v>34</v>
      </c>
      <c r="M30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52">
        <f>missionsDragonRelativeMetrics[[#This Row],[General Missions]]+missionsDragonRelativeMetrics[[#This Row],[Dedicated Missions]]</f>
        <v>42</v>
      </c>
    </row>
    <row r="31" spans="1:14">
      <c r="A31" s="449" t="s">
        <v>402</v>
      </c>
      <c r="B31" s="450">
        <v>8.5</v>
      </c>
      <c r="C31" s="450">
        <v>6</v>
      </c>
      <c r="E31" s="381" t="s">
        <v>402</v>
      </c>
      <c r="F31" s="290">
        <v>75</v>
      </c>
      <c r="G31" s="455">
        <f>missionsDragonRelativeMetrics[[#This Row],[Reward Multiplier]]*$C$5</f>
        <v>15000</v>
      </c>
      <c r="H31" s="455">
        <f>missionsDragonRelativeMetrics[[#This Row],[Reward Multiplier]]*$C$6</f>
        <v>22500</v>
      </c>
      <c r="I31" s="384">
        <f>missionsDragonRelativeMetrics[[#This Row],[Reward Multiplier]]*$C$7</f>
        <v>45000</v>
      </c>
      <c r="J31" s="453">
        <v>3</v>
      </c>
      <c r="K31" s="290">
        <v>6</v>
      </c>
      <c r="L31" s="454">
        <f>COUNTIFS(Table8[MIN TIER],"&lt;="&amp;missionsDragonRelativeMetrics[[#This Row],[Tier]],Table8[MAX TIER],"&gt;="&amp;missionsDragonRelativeMetrics[[#This Row],[Tier]],Table8[DRAGON],"="&amp;"")</f>
        <v>34</v>
      </c>
      <c r="M31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52">
        <f>missionsDragonRelativeMetrics[[#This Row],[General Missions]]+missionsDragonRelativeMetrics[[#This Row],[Dedicated Missions]]</f>
        <v>42</v>
      </c>
    </row>
    <row r="32" spans="1:14">
      <c r="A32" s="449" t="s">
        <v>403</v>
      </c>
      <c r="B32" s="450">
        <v>8.5</v>
      </c>
      <c r="C32" s="450">
        <v>6</v>
      </c>
      <c r="E32" s="381" t="s">
        <v>403</v>
      </c>
      <c r="F32" s="290">
        <v>75</v>
      </c>
      <c r="G32" s="455">
        <f>missionsDragonRelativeMetrics[[#This Row],[Reward Multiplier]]*$C$5</f>
        <v>15000</v>
      </c>
      <c r="H32" s="455">
        <f>missionsDragonRelativeMetrics[[#This Row],[Reward Multiplier]]*$C$6</f>
        <v>22500</v>
      </c>
      <c r="I32" s="384">
        <f>missionsDragonRelativeMetrics[[#This Row],[Reward Multiplier]]*$C$7</f>
        <v>45000</v>
      </c>
      <c r="J32" s="453">
        <v>3</v>
      </c>
      <c r="K32" s="290">
        <v>6</v>
      </c>
      <c r="L32" s="454">
        <f>COUNTIFS(Table8[MIN TIER],"&lt;="&amp;missionsDragonRelativeMetrics[[#This Row],[Tier]],Table8[MAX TIER],"&gt;="&amp;missionsDragonRelativeMetrics[[#This Row],[Tier]],Table8[DRAGON],"="&amp;"")</f>
        <v>34</v>
      </c>
      <c r="M32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52">
        <f>missionsDragonRelativeMetrics[[#This Row],[General Missions]]+missionsDragonRelativeMetrics[[#This Row],[Dedicated Missions]]</f>
        <v>42</v>
      </c>
    </row>
    <row r="33" spans="1:17">
      <c r="A33" s="256" t="s">
        <v>404</v>
      </c>
      <c r="B33" s="290">
        <v>8.5</v>
      </c>
      <c r="C33" s="290">
        <v>6</v>
      </c>
      <c r="E33" s="257" t="s">
        <v>404</v>
      </c>
      <c r="F33" s="290">
        <v>75</v>
      </c>
      <c r="G33" s="455">
        <f>missionsDragonRelativeMetrics[[#This Row],[Reward Multiplier]]*$C$5</f>
        <v>15000</v>
      </c>
      <c r="H33" s="455">
        <f>missionsDragonRelativeMetrics[[#This Row],[Reward Multiplier]]*$C$6</f>
        <v>22500</v>
      </c>
      <c r="I33" s="384">
        <f>missionsDragonRelativeMetrics[[#This Row],[Reward Multiplier]]*$C$7</f>
        <v>45000</v>
      </c>
      <c r="J33" s="453">
        <v>3</v>
      </c>
      <c r="K33" s="290">
        <v>6</v>
      </c>
      <c r="L33" s="454">
        <f>COUNTIFS(Table8[MIN TIER],"&lt;="&amp;missionsDragonRelativeMetrics[[#This Row],[Tier]],Table8[MAX TIER],"&gt;="&amp;missionsDragonRelativeMetrics[[#This Row],[Tier]],Table8[DRAGON],"="&amp;"")</f>
        <v>34</v>
      </c>
      <c r="M33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52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405</v>
      </c>
    </row>
    <row r="36" spans="1:17">
      <c r="D36" s="1"/>
    </row>
    <row r="37" spans="1:17">
      <c r="A37" s="296" t="s">
        <v>139</v>
      </c>
      <c r="B37" s="336" t="s">
        <v>138</v>
      </c>
      <c r="E37" s="336" t="s">
        <v>102</v>
      </c>
      <c r="F37" s="336" t="s">
        <v>91</v>
      </c>
      <c r="G37" s="336" t="s">
        <v>91</v>
      </c>
      <c r="H37" s="336" t="s">
        <v>91</v>
      </c>
      <c r="I37" s="336" t="s">
        <v>103</v>
      </c>
    </row>
    <row r="38" spans="1:17">
      <c r="A38" s="340" t="b">
        <v>1</v>
      </c>
      <c r="B38" s="339">
        <v>0.7</v>
      </c>
      <c r="E38" s="236" t="s">
        <v>400</v>
      </c>
      <c r="F38" s="338" t="s">
        <v>115</v>
      </c>
      <c r="G38" s="338" t="s">
        <v>116</v>
      </c>
      <c r="H38" s="338" t="s">
        <v>117</v>
      </c>
      <c r="I38" s="236" t="b">
        <v>0</v>
      </c>
    </row>
    <row r="39" spans="1:17">
      <c r="D39" s="336" t="s">
        <v>493</v>
      </c>
      <c r="E39" s="336" t="s">
        <v>104</v>
      </c>
      <c r="F39" s="336" t="s">
        <v>105</v>
      </c>
      <c r="G39" s="336" t="s">
        <v>105</v>
      </c>
      <c r="H39" s="336" t="s">
        <v>105</v>
      </c>
      <c r="I39" s="336" t="s">
        <v>106</v>
      </c>
    </row>
    <row r="40" spans="1:17">
      <c r="D40" s="337">
        <f>INDEX(Table1[Dragon Tier],MATCH(E38,Table1[Dragon],0))</f>
        <v>6</v>
      </c>
      <c r="E40" s="337">
        <f>INDEX(Table1[QuantityModifier],MATCH(E38,Table1[Dragon],0))</f>
        <v>8.5</v>
      </c>
      <c r="F40" s="339">
        <v>0.05</v>
      </c>
      <c r="G40" s="339">
        <v>0.1</v>
      </c>
      <c r="H40" s="339">
        <v>0.2</v>
      </c>
      <c r="I40" s="337">
        <f>IF(I38,B38,0)</f>
        <v>0</v>
      </c>
    </row>
    <row r="43" spans="1:17">
      <c r="E43" s="336" t="s">
        <v>107</v>
      </c>
      <c r="F43" s="337">
        <f>$E$40+F40</f>
        <v>8.5500000000000007</v>
      </c>
      <c r="G43" s="337">
        <f>$E$40+G40</f>
        <v>8.6</v>
      </c>
      <c r="H43" s="337">
        <f>$E$40+H40</f>
        <v>8.6999999999999993</v>
      </c>
      <c r="I43" t="s">
        <v>405</v>
      </c>
    </row>
    <row r="46" spans="1:17">
      <c r="G46" s="613" t="s">
        <v>135</v>
      </c>
      <c r="H46" s="613"/>
      <c r="I46" s="614" t="s">
        <v>136</v>
      </c>
      <c r="J46" s="615"/>
      <c r="K46" s="616" t="s">
        <v>137</v>
      </c>
      <c r="L46" s="617"/>
    </row>
    <row r="47" spans="1:17">
      <c r="B47" s="114" t="s">
        <v>530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5" t="s">
        <v>491</v>
      </c>
      <c r="O47" s="343" t="s">
        <v>492</v>
      </c>
      <c r="P47" s="382" t="s">
        <v>414</v>
      </c>
      <c r="Q47" s="114" t="s">
        <v>514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4">
        <v>3</v>
      </c>
      <c r="P48" s="383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4">
        <v>4</v>
      </c>
      <c r="P49" s="261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4">
        <v>7</v>
      </c>
      <c r="P50" s="261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4">
        <v>7</v>
      </c>
      <c r="P51" s="261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4">
        <v>7</v>
      </c>
      <c r="P52" s="261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4">
        <v>7</v>
      </c>
      <c r="P53" s="261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4">
        <v>7</v>
      </c>
      <c r="P54" s="261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4">
        <v>7</v>
      </c>
      <c r="P55" s="261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4">
        <v>3</v>
      </c>
      <c r="P56" s="261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4">
        <v>7</v>
      </c>
      <c r="P57" s="261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4">
        <v>3</v>
      </c>
      <c r="P58" s="261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4">
        <v>4</v>
      </c>
      <c r="P59" s="261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4">
        <v>7</v>
      </c>
      <c r="P60" s="261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4">
        <v>7</v>
      </c>
      <c r="P61" s="261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4">
        <v>7</v>
      </c>
      <c r="P62" s="261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4">
        <v>7</v>
      </c>
      <c r="P63" s="261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4">
        <v>7</v>
      </c>
      <c r="P64" s="261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4">
        <v>7</v>
      </c>
      <c r="P65" s="261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4">
        <v>7</v>
      </c>
      <c r="P66" s="261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4">
        <v>7</v>
      </c>
      <c r="P67" s="261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4">
        <v>7</v>
      </c>
      <c r="P68" s="261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4">
        <v>7</v>
      </c>
      <c r="P69" s="261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4">
        <v>3</v>
      </c>
      <c r="P70" s="261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4">
        <v>3</v>
      </c>
      <c r="P71" s="261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4">
        <v>3</v>
      </c>
      <c r="P72" s="261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4">
        <v>2</v>
      </c>
      <c r="P73" s="261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4">
        <v>2</v>
      </c>
      <c r="P74" s="261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4">
        <v>1</v>
      </c>
      <c r="P75" s="261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4">
        <v>1</v>
      </c>
      <c r="P76" s="261"/>
      <c r="Q76" t="b">
        <f t="shared" si="3"/>
        <v>0</v>
      </c>
    </row>
    <row r="77" spans="2:17">
      <c r="B77" s="102">
        <v>30</v>
      </c>
      <c r="C77" t="s">
        <v>0</v>
      </c>
      <c r="D77" t="s">
        <v>494</v>
      </c>
      <c r="E77" t="s">
        <v>132</v>
      </c>
      <c r="F77" s="342">
        <v>45</v>
      </c>
      <c r="G77" s="342">
        <v>60</v>
      </c>
      <c r="H77" s="341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1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1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5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495</v>
      </c>
      <c r="E78" t="s">
        <v>132</v>
      </c>
      <c r="F78" s="342">
        <v>2</v>
      </c>
      <c r="G78" s="342">
        <v>4</v>
      </c>
      <c r="H78" s="341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1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1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5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496</v>
      </c>
      <c r="E79" t="s">
        <v>132</v>
      </c>
      <c r="F79" s="342">
        <v>25</v>
      </c>
      <c r="G79" s="342">
        <v>30</v>
      </c>
      <c r="H79" s="341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1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1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5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497</v>
      </c>
      <c r="E80" t="s">
        <v>132</v>
      </c>
      <c r="F80" s="342">
        <v>3</v>
      </c>
      <c r="G80" s="342">
        <v>5</v>
      </c>
      <c r="H80" s="341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1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1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5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498</v>
      </c>
      <c r="E81" t="s">
        <v>132</v>
      </c>
      <c r="F81" s="342">
        <v>5</v>
      </c>
      <c r="G81" s="342">
        <v>10</v>
      </c>
      <c r="H81" s="341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1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1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5">
        <v>7</v>
      </c>
      <c r="P81" s="120"/>
      <c r="Q81" t="b">
        <f t="shared" si="7"/>
        <v>1</v>
      </c>
    </row>
    <row r="82" spans="2:17">
      <c r="B82" s="102">
        <v>35</v>
      </c>
      <c r="C82" t="s">
        <v>499</v>
      </c>
      <c r="D82" s="110" t="s">
        <v>151</v>
      </c>
      <c r="E82" t="s">
        <v>149</v>
      </c>
      <c r="F82" s="342">
        <v>350</v>
      </c>
      <c r="G82" s="342">
        <v>500</v>
      </c>
      <c r="H82" s="341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1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1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5">
        <v>3</v>
      </c>
      <c r="P82" s="120"/>
      <c r="Q82" t="b">
        <f t="shared" si="7"/>
        <v>0</v>
      </c>
    </row>
    <row r="83" spans="2:17">
      <c r="B83" s="102">
        <v>36</v>
      </c>
      <c r="C83" t="s">
        <v>500</v>
      </c>
      <c r="D83" s="110" t="s">
        <v>151</v>
      </c>
      <c r="E83" t="s">
        <v>149</v>
      </c>
      <c r="F83" s="342">
        <v>300</v>
      </c>
      <c r="G83" s="342">
        <v>400</v>
      </c>
      <c r="H83" s="341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1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1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5">
        <v>3</v>
      </c>
      <c r="P83" s="120"/>
      <c r="Q83" t="b">
        <f t="shared" si="7"/>
        <v>0</v>
      </c>
    </row>
    <row r="84" spans="2:17">
      <c r="B84" s="102">
        <v>37</v>
      </c>
      <c r="C84" t="s">
        <v>501</v>
      </c>
      <c r="D84" t="s">
        <v>154</v>
      </c>
      <c r="E84" t="s">
        <v>132</v>
      </c>
      <c r="F84" s="342">
        <v>13</v>
      </c>
      <c r="G84" s="342">
        <v>15</v>
      </c>
      <c r="H84" s="341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1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1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5">
        <v>7</v>
      </c>
      <c r="P84" s="120"/>
      <c r="Q84" t="b">
        <f t="shared" si="7"/>
        <v>1</v>
      </c>
    </row>
    <row r="85" spans="2:17">
      <c r="B85" s="102">
        <v>38</v>
      </c>
      <c r="C85" t="s">
        <v>502</v>
      </c>
      <c r="D85" t="s">
        <v>169</v>
      </c>
      <c r="E85" t="s">
        <v>132</v>
      </c>
      <c r="F85" s="342">
        <v>5</v>
      </c>
      <c r="G85" s="342">
        <v>10</v>
      </c>
      <c r="H85" s="341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1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1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5">
        <v>7</v>
      </c>
      <c r="P85" s="120"/>
      <c r="Q85" t="b">
        <f t="shared" si="7"/>
        <v>1</v>
      </c>
    </row>
    <row r="86" spans="2:17">
      <c r="B86" s="102">
        <v>39</v>
      </c>
      <c r="C86" t="s">
        <v>503</v>
      </c>
      <c r="D86" t="s">
        <v>5</v>
      </c>
      <c r="E86" t="s">
        <v>149</v>
      </c>
      <c r="F86" s="342">
        <v>10</v>
      </c>
      <c r="G86" s="342">
        <v>15</v>
      </c>
      <c r="H86" s="341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1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1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5">
        <v>7</v>
      </c>
      <c r="P86" s="120"/>
      <c r="Q86" t="b">
        <f t="shared" si="7"/>
        <v>1</v>
      </c>
    </row>
    <row r="87" spans="2:17">
      <c r="B87" s="102">
        <v>40</v>
      </c>
      <c r="C87" t="s">
        <v>504</v>
      </c>
      <c r="D87" t="s">
        <v>161</v>
      </c>
      <c r="E87" t="s">
        <v>149</v>
      </c>
      <c r="F87" s="342">
        <v>10</v>
      </c>
      <c r="G87" s="342">
        <v>15</v>
      </c>
      <c r="H87" s="341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1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1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5">
        <v>7</v>
      </c>
      <c r="P87" s="120"/>
      <c r="Q87" t="b">
        <f t="shared" si="7"/>
        <v>1</v>
      </c>
    </row>
    <row r="88" spans="2:17">
      <c r="B88" s="102">
        <v>41</v>
      </c>
      <c r="C88" t="s">
        <v>505</v>
      </c>
      <c r="D88" t="s">
        <v>155</v>
      </c>
      <c r="E88" t="s">
        <v>132</v>
      </c>
      <c r="F88" s="342">
        <v>30</v>
      </c>
      <c r="G88" s="342">
        <v>40</v>
      </c>
      <c r="H88" s="341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1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1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5">
        <v>7</v>
      </c>
      <c r="P88" s="120"/>
      <c r="Q88" t="b">
        <f t="shared" si="7"/>
        <v>1</v>
      </c>
    </row>
    <row r="89" spans="2:17">
      <c r="B89" s="102">
        <v>42</v>
      </c>
      <c r="C89" t="s">
        <v>506</v>
      </c>
      <c r="D89" t="s">
        <v>168</v>
      </c>
      <c r="E89" t="s">
        <v>149</v>
      </c>
      <c r="F89" s="342">
        <v>15</v>
      </c>
      <c r="G89" s="342">
        <v>20</v>
      </c>
      <c r="H89" s="341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1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1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5">
        <v>7</v>
      </c>
      <c r="P89" s="120"/>
      <c r="Q89" t="b">
        <f t="shared" si="7"/>
        <v>1</v>
      </c>
    </row>
    <row r="90" spans="2:17">
      <c r="B90" s="102">
        <v>43</v>
      </c>
      <c r="C90" t="s">
        <v>507</v>
      </c>
      <c r="D90" t="s">
        <v>494</v>
      </c>
      <c r="E90" t="s">
        <v>149</v>
      </c>
      <c r="F90" s="342">
        <v>30</v>
      </c>
      <c r="G90" s="342">
        <v>40</v>
      </c>
      <c r="H90" s="341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1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1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5">
        <v>7</v>
      </c>
      <c r="P90" s="120"/>
      <c r="Q90" t="b">
        <f t="shared" si="7"/>
        <v>1</v>
      </c>
    </row>
    <row r="91" spans="2:17">
      <c r="B91" s="102">
        <v>44</v>
      </c>
      <c r="C91" t="s">
        <v>508</v>
      </c>
      <c r="D91" t="s">
        <v>155</v>
      </c>
      <c r="E91" t="s">
        <v>132</v>
      </c>
      <c r="F91" s="342">
        <v>25</v>
      </c>
      <c r="G91" s="342">
        <v>32</v>
      </c>
      <c r="H91" s="341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1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1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5">
        <v>7</v>
      </c>
      <c r="P91" s="120"/>
      <c r="Q91" t="b">
        <f t="shared" si="7"/>
        <v>1</v>
      </c>
    </row>
    <row r="92" spans="2:17">
      <c r="B92" s="102">
        <v>45</v>
      </c>
      <c r="C92" t="s">
        <v>501</v>
      </c>
      <c r="D92" t="s">
        <v>156</v>
      </c>
      <c r="E92" t="s">
        <v>132</v>
      </c>
      <c r="F92" s="342">
        <v>20</v>
      </c>
      <c r="G92" s="342">
        <v>30</v>
      </c>
      <c r="H92" s="341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1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1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5">
        <v>7</v>
      </c>
      <c r="P92" s="120"/>
      <c r="Q92" t="b">
        <f t="shared" si="7"/>
        <v>1</v>
      </c>
    </row>
    <row r="93" spans="2:17">
      <c r="B93" s="102">
        <v>46</v>
      </c>
      <c r="C93" t="s">
        <v>510</v>
      </c>
      <c r="D93" t="s">
        <v>509</v>
      </c>
      <c r="E93" t="s">
        <v>132</v>
      </c>
      <c r="F93" s="342">
        <v>2</v>
      </c>
      <c r="G93" s="342">
        <v>3</v>
      </c>
      <c r="H93" s="341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1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1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5">
        <v>7</v>
      </c>
      <c r="P93" s="120"/>
      <c r="Q93" t="b">
        <f t="shared" si="7"/>
        <v>1</v>
      </c>
    </row>
    <row r="94" spans="2:17">
      <c r="B94" s="102">
        <v>47</v>
      </c>
      <c r="C94" t="s">
        <v>511</v>
      </c>
      <c r="D94" t="s">
        <v>155</v>
      </c>
      <c r="E94" t="s">
        <v>149</v>
      </c>
      <c r="F94" s="342">
        <v>30</v>
      </c>
      <c r="G94" s="342">
        <v>40</v>
      </c>
      <c r="H94" s="341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1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1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5">
        <v>7</v>
      </c>
      <c r="P94" s="120"/>
      <c r="Q94" t="b">
        <f t="shared" si="7"/>
        <v>1</v>
      </c>
    </row>
    <row r="95" spans="2:17">
      <c r="B95" s="102">
        <v>48</v>
      </c>
      <c r="C95" t="s">
        <v>512</v>
      </c>
      <c r="D95" t="s">
        <v>513</v>
      </c>
      <c r="E95" t="s">
        <v>149</v>
      </c>
      <c r="F95" s="342">
        <v>1</v>
      </c>
      <c r="G95" s="342">
        <v>1</v>
      </c>
      <c r="H95" s="341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1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1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5">
        <v>7</v>
      </c>
      <c r="P95" s="120"/>
      <c r="Q95" t="b">
        <f t="shared" si="7"/>
        <v>1</v>
      </c>
    </row>
    <row r="96" spans="2:17">
      <c r="B96" s="102">
        <v>49</v>
      </c>
      <c r="C96" s="261" t="s">
        <v>502</v>
      </c>
      <c r="D96" s="261" t="s">
        <v>517</v>
      </c>
      <c r="E96" s="261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1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1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1" t="str">
        <f>CONCATENATE(INDEX(missionsDragonRelativeMetrics[Hard Mission Reward],MATCH($E$38,missionsDragonRelativeMetrics[Dragon],0)), " coins")</f>
        <v>45000 coins</v>
      </c>
      <c r="N96" s="261">
        <v>1</v>
      </c>
      <c r="O96" s="344">
        <v>7</v>
      </c>
      <c r="P96" s="261"/>
      <c r="Q96" s="346" t="b">
        <f t="shared" si="7"/>
        <v>1</v>
      </c>
    </row>
    <row r="97" spans="2:17">
      <c r="B97" s="102">
        <v>50</v>
      </c>
      <c r="C97" s="261" t="s">
        <v>526</v>
      </c>
      <c r="D97" s="261" t="s">
        <v>146</v>
      </c>
      <c r="E97" s="261" t="s">
        <v>149</v>
      </c>
      <c r="F97" s="109">
        <v>3</v>
      </c>
      <c r="G97" s="109">
        <v>4</v>
      </c>
      <c r="H97" s="111" t="str">
        <f t="shared" si="8"/>
        <v>26 to 34</v>
      </c>
      <c r="I97" s="261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1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1" t="str">
        <f>CONCATENATE(INDEX(missionsDragonRelativeMetrics[Hard Mission Reward],MATCH($E$38,missionsDragonRelativeMetrics[Dragon],0)), " coins")</f>
        <v>45000 coins</v>
      </c>
      <c r="N97" s="261">
        <v>6</v>
      </c>
      <c r="O97" s="344">
        <v>6</v>
      </c>
      <c r="P97" s="261" t="s">
        <v>403</v>
      </c>
      <c r="Q97" s="346" t="b">
        <f t="shared" si="7"/>
        <v>0</v>
      </c>
    </row>
    <row r="98" spans="2:17">
      <c r="B98" s="102">
        <v>51</v>
      </c>
      <c r="C98" s="261" t="s">
        <v>527</v>
      </c>
      <c r="D98" s="261" t="s">
        <v>146</v>
      </c>
      <c r="E98" s="261" t="s">
        <v>132</v>
      </c>
      <c r="F98" s="109">
        <v>10</v>
      </c>
      <c r="G98" s="109">
        <v>20</v>
      </c>
      <c r="H98" s="111" t="str">
        <f t="shared" si="8"/>
        <v>86 to 171</v>
      </c>
      <c r="I98" s="261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1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1" t="str">
        <f>CONCATENATE(INDEX(missionsDragonRelativeMetrics[Hard Mission Reward],MATCH($E$38,missionsDragonRelativeMetrics[Dragon],0)), " coins")</f>
        <v>45000 coins</v>
      </c>
      <c r="N98" s="261">
        <v>6</v>
      </c>
      <c r="O98" s="344">
        <v>6</v>
      </c>
      <c r="P98" s="261" t="s">
        <v>401</v>
      </c>
      <c r="Q98" s="346" t="b">
        <f t="shared" si="7"/>
        <v>0</v>
      </c>
    </row>
    <row r="99" spans="2:17">
      <c r="B99" s="102">
        <v>52</v>
      </c>
      <c r="C99" s="261" t="s">
        <v>528</v>
      </c>
      <c r="D99" s="261" t="s">
        <v>146</v>
      </c>
      <c r="E99" s="261" t="s">
        <v>132</v>
      </c>
      <c r="F99" s="109">
        <v>10</v>
      </c>
      <c r="G99" s="109">
        <v>20</v>
      </c>
      <c r="H99" s="111" t="str">
        <f t="shared" si="8"/>
        <v>86 to 171</v>
      </c>
      <c r="I99" s="261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1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1" t="str">
        <f>CONCATENATE(INDEX(missionsDragonRelativeMetrics[Hard Mission Reward],MATCH($E$38,missionsDragonRelativeMetrics[Dragon],0)), " coins")</f>
        <v>45000 coins</v>
      </c>
      <c r="N99" s="261">
        <v>6</v>
      </c>
      <c r="O99" s="344">
        <v>6</v>
      </c>
      <c r="P99" s="261" t="s">
        <v>402</v>
      </c>
      <c r="Q99" s="346" t="b">
        <f t="shared" si="7"/>
        <v>0</v>
      </c>
    </row>
    <row r="100" spans="2:17">
      <c r="B100" s="102">
        <v>53</v>
      </c>
      <c r="C100" s="261" t="s">
        <v>529</v>
      </c>
      <c r="D100" s="261" t="s">
        <v>146</v>
      </c>
      <c r="E100" s="261" t="s">
        <v>132</v>
      </c>
      <c r="F100" s="109">
        <v>10</v>
      </c>
      <c r="G100" s="109">
        <v>20</v>
      </c>
      <c r="H100" s="111" t="str">
        <f t="shared" si="8"/>
        <v>86 to 171</v>
      </c>
      <c r="I100" s="261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1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1" t="str">
        <f>CONCATENATE(INDEX(missionsDragonRelativeMetrics[Hard Mission Reward],MATCH($E$38,missionsDragonRelativeMetrics[Dragon],0)), " coins")</f>
        <v>45000 coins</v>
      </c>
      <c r="N100" s="261">
        <v>6</v>
      </c>
      <c r="O100" s="344">
        <v>6</v>
      </c>
      <c r="P100" s="261" t="s">
        <v>400</v>
      </c>
      <c r="Q100" s="346" t="b">
        <f t="shared" si="7"/>
        <v>1</v>
      </c>
    </row>
    <row r="101" spans="2:17">
      <c r="B101" s="102">
        <v>54</v>
      </c>
      <c r="C101" s="261" t="s">
        <v>526</v>
      </c>
      <c r="D101" s="261" t="s">
        <v>5</v>
      </c>
      <c r="E101" s="261" t="s">
        <v>149</v>
      </c>
      <c r="F101" s="109">
        <v>3</v>
      </c>
      <c r="G101" s="109">
        <v>4</v>
      </c>
      <c r="H101" s="111" t="str">
        <f t="shared" si="8"/>
        <v>26 to 34</v>
      </c>
      <c r="I101" s="261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1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1" t="str">
        <f>CONCATENATE(INDEX(missionsDragonRelativeMetrics[Hard Mission Reward],MATCH($E$38,missionsDragonRelativeMetrics[Dragon],0)), " coins")</f>
        <v>45000 coins</v>
      </c>
      <c r="N101" s="261">
        <v>6</v>
      </c>
      <c r="O101" s="344">
        <v>6</v>
      </c>
      <c r="P101" s="261" t="s">
        <v>403</v>
      </c>
      <c r="Q101" s="346" t="b">
        <f t="shared" si="7"/>
        <v>0</v>
      </c>
    </row>
    <row r="102" spans="2:17">
      <c r="B102" s="102">
        <v>55</v>
      </c>
      <c r="C102" s="261" t="s">
        <v>527</v>
      </c>
      <c r="D102" s="261" t="s">
        <v>5</v>
      </c>
      <c r="E102" s="261" t="s">
        <v>132</v>
      </c>
      <c r="F102" s="109">
        <v>10</v>
      </c>
      <c r="G102" s="109">
        <v>12</v>
      </c>
      <c r="H102" s="111" t="str">
        <f t="shared" si="8"/>
        <v>86 to 103</v>
      </c>
      <c r="I102" s="261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1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1" t="str">
        <f>CONCATENATE(INDEX(missionsDragonRelativeMetrics[Hard Mission Reward],MATCH($E$38,missionsDragonRelativeMetrics[Dragon],0)), " coins")</f>
        <v>45000 coins</v>
      </c>
      <c r="N102" s="261">
        <v>6</v>
      </c>
      <c r="O102" s="344">
        <v>6</v>
      </c>
      <c r="P102" s="261" t="s">
        <v>401</v>
      </c>
      <c r="Q102" s="346" t="b">
        <f t="shared" si="7"/>
        <v>0</v>
      </c>
    </row>
    <row r="103" spans="2:17">
      <c r="B103" s="102">
        <v>56</v>
      </c>
      <c r="C103" s="261" t="s">
        <v>528</v>
      </c>
      <c r="D103" s="261" t="s">
        <v>5</v>
      </c>
      <c r="E103" s="261" t="s">
        <v>132</v>
      </c>
      <c r="F103" s="109">
        <v>10</v>
      </c>
      <c r="G103" s="109">
        <v>11</v>
      </c>
      <c r="H103" s="111" t="str">
        <f t="shared" si="8"/>
        <v>86 to 94</v>
      </c>
      <c r="I103" s="261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1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1" t="str">
        <f>CONCATENATE(INDEX(missionsDragonRelativeMetrics[Hard Mission Reward],MATCH($E$38,missionsDragonRelativeMetrics[Dragon],0)), " coins")</f>
        <v>45000 coins</v>
      </c>
      <c r="N103" s="261">
        <v>6</v>
      </c>
      <c r="O103" s="344">
        <v>6</v>
      </c>
      <c r="P103" s="261" t="s">
        <v>402</v>
      </c>
      <c r="Q103" s="346" t="b">
        <f t="shared" si="7"/>
        <v>0</v>
      </c>
    </row>
    <row r="104" spans="2:17">
      <c r="B104" s="102">
        <v>57</v>
      </c>
      <c r="C104" s="261" t="s">
        <v>529</v>
      </c>
      <c r="D104" s="261" t="s">
        <v>5</v>
      </c>
      <c r="E104" s="261" t="s">
        <v>132</v>
      </c>
      <c r="F104" s="109">
        <v>10</v>
      </c>
      <c r="G104" s="109">
        <v>11</v>
      </c>
      <c r="H104" s="111" t="str">
        <f t="shared" si="8"/>
        <v>86 to 94</v>
      </c>
      <c r="I104" s="261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1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1" t="str">
        <f>CONCATENATE(INDEX(missionsDragonRelativeMetrics[Hard Mission Reward],MATCH($E$38,missionsDragonRelativeMetrics[Dragon],0)), " coins")</f>
        <v>45000 coins</v>
      </c>
      <c r="N104" s="261">
        <v>6</v>
      </c>
      <c r="O104" s="344">
        <v>6</v>
      </c>
      <c r="P104" s="261" t="s">
        <v>400</v>
      </c>
      <c r="Q104" s="346" t="b">
        <f t="shared" si="7"/>
        <v>1</v>
      </c>
    </row>
    <row r="105" spans="2:17">
      <c r="B105" s="102">
        <v>58</v>
      </c>
      <c r="C105" s="261" t="s">
        <v>526</v>
      </c>
      <c r="D105" s="261" t="s">
        <v>154</v>
      </c>
      <c r="E105" s="261" t="s">
        <v>149</v>
      </c>
      <c r="F105" s="109">
        <v>4</v>
      </c>
      <c r="G105" s="109">
        <v>6</v>
      </c>
      <c r="H105" s="111" t="str">
        <f t="shared" si="8"/>
        <v>34 to 51</v>
      </c>
      <c r="I105" s="261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1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1" t="str">
        <f>CONCATENATE(INDEX(missionsDragonRelativeMetrics[Hard Mission Reward],MATCH($E$38,missionsDragonRelativeMetrics[Dragon],0)), " coins")</f>
        <v>45000 coins</v>
      </c>
      <c r="N105" s="261">
        <v>6</v>
      </c>
      <c r="O105" s="344">
        <v>6</v>
      </c>
      <c r="P105" s="261" t="s">
        <v>403</v>
      </c>
      <c r="Q105" s="346" t="b">
        <f t="shared" si="7"/>
        <v>0</v>
      </c>
    </row>
    <row r="106" spans="2:17">
      <c r="B106" s="102">
        <v>59</v>
      </c>
      <c r="C106" s="261" t="s">
        <v>527</v>
      </c>
      <c r="D106" s="261" t="s">
        <v>154</v>
      </c>
      <c r="E106" s="261" t="s">
        <v>132</v>
      </c>
      <c r="F106" s="109">
        <v>20</v>
      </c>
      <c r="G106" s="109">
        <v>30</v>
      </c>
      <c r="H106" s="111" t="str">
        <f t="shared" si="8"/>
        <v>171 to 257</v>
      </c>
      <c r="I106" s="261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1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1" t="str">
        <f>CONCATENATE(INDEX(missionsDragonRelativeMetrics[Hard Mission Reward],MATCH($E$38,missionsDragonRelativeMetrics[Dragon],0)), " coins")</f>
        <v>45000 coins</v>
      </c>
      <c r="N106" s="261">
        <v>6</v>
      </c>
      <c r="O106" s="344">
        <v>6</v>
      </c>
      <c r="P106" s="261" t="s">
        <v>401</v>
      </c>
      <c r="Q106" s="346" t="b">
        <f t="shared" si="7"/>
        <v>0</v>
      </c>
    </row>
    <row r="107" spans="2:17">
      <c r="B107" s="102">
        <v>60</v>
      </c>
      <c r="C107" s="261" t="s">
        <v>528</v>
      </c>
      <c r="D107" s="261" t="s">
        <v>154</v>
      </c>
      <c r="E107" s="261" t="s">
        <v>132</v>
      </c>
      <c r="F107" s="109">
        <v>45</v>
      </c>
      <c r="G107" s="109">
        <v>55</v>
      </c>
      <c r="H107" s="111" t="str">
        <f t="shared" si="8"/>
        <v>385 to 470</v>
      </c>
      <c r="I107" s="261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1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1" t="str">
        <f>CONCATENATE(INDEX(missionsDragonRelativeMetrics[Hard Mission Reward],MATCH($E$38,missionsDragonRelativeMetrics[Dragon],0)), " coins")</f>
        <v>45000 coins</v>
      </c>
      <c r="N107" s="261">
        <v>6</v>
      </c>
      <c r="O107" s="344">
        <v>6</v>
      </c>
      <c r="P107" s="261" t="s">
        <v>402</v>
      </c>
      <c r="Q107" s="346" t="b">
        <f t="shared" si="7"/>
        <v>0</v>
      </c>
    </row>
    <row r="108" spans="2:17">
      <c r="B108" s="102">
        <v>61</v>
      </c>
      <c r="C108" s="261" t="s">
        <v>529</v>
      </c>
      <c r="D108" s="261" t="s">
        <v>154</v>
      </c>
      <c r="E108" s="261" t="s">
        <v>132</v>
      </c>
      <c r="F108" s="109">
        <v>45</v>
      </c>
      <c r="G108" s="109">
        <v>55</v>
      </c>
      <c r="H108" s="111" t="str">
        <f t="shared" si="8"/>
        <v>385 to 470</v>
      </c>
      <c r="I108" s="261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1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1" t="str">
        <f>CONCATENATE(INDEX(missionsDragonRelativeMetrics[Hard Mission Reward],MATCH($E$38,missionsDragonRelativeMetrics[Dragon],0)), " coins")</f>
        <v>45000 coins</v>
      </c>
      <c r="N108" s="261">
        <v>6</v>
      </c>
      <c r="O108" s="344">
        <v>6</v>
      </c>
      <c r="P108" s="261" t="s">
        <v>400</v>
      </c>
      <c r="Q108" s="346" t="b">
        <f t="shared" si="7"/>
        <v>1</v>
      </c>
    </row>
    <row r="109" spans="2:17">
      <c r="B109" s="102">
        <v>62</v>
      </c>
      <c r="C109" s="261" t="s">
        <v>526</v>
      </c>
      <c r="D109" s="261" t="s">
        <v>155</v>
      </c>
      <c r="E109" s="261" t="s">
        <v>149</v>
      </c>
      <c r="F109" s="109">
        <v>4</v>
      </c>
      <c r="G109" s="109">
        <v>6</v>
      </c>
      <c r="H109" s="111" t="str">
        <f t="shared" si="8"/>
        <v>34 to 51</v>
      </c>
      <c r="I109" s="261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1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1" t="str">
        <f>CONCATENATE(INDEX(missionsDragonRelativeMetrics[Hard Mission Reward],MATCH($E$38,missionsDragonRelativeMetrics[Dragon],0)), " coins")</f>
        <v>45000 coins</v>
      </c>
      <c r="N109" s="261">
        <v>6</v>
      </c>
      <c r="O109" s="344">
        <v>6</v>
      </c>
      <c r="P109" s="261" t="s">
        <v>403</v>
      </c>
      <c r="Q109" s="346" t="b">
        <f t="shared" si="7"/>
        <v>0</v>
      </c>
    </row>
    <row r="110" spans="2:17">
      <c r="B110" s="102">
        <v>63</v>
      </c>
      <c r="C110" s="261" t="s">
        <v>527</v>
      </c>
      <c r="D110" s="261" t="s">
        <v>155</v>
      </c>
      <c r="E110" s="261" t="s">
        <v>132</v>
      </c>
      <c r="F110" s="109">
        <v>25</v>
      </c>
      <c r="G110" s="109">
        <v>35</v>
      </c>
      <c r="H110" s="111" t="str">
        <f t="shared" si="8"/>
        <v>214 to 299</v>
      </c>
      <c r="I110" s="261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1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1" t="str">
        <f>CONCATENATE(INDEX(missionsDragonRelativeMetrics[Hard Mission Reward],MATCH($E$38,missionsDragonRelativeMetrics[Dragon],0)), " coins")</f>
        <v>45000 coins</v>
      </c>
      <c r="N110" s="261">
        <v>6</v>
      </c>
      <c r="O110" s="344">
        <v>6</v>
      </c>
      <c r="P110" s="261" t="s">
        <v>401</v>
      </c>
      <c r="Q110" s="346" t="b">
        <f t="shared" si="7"/>
        <v>0</v>
      </c>
    </row>
    <row r="111" spans="2:17">
      <c r="B111" s="102">
        <v>64</v>
      </c>
      <c r="C111" s="261" t="s">
        <v>528</v>
      </c>
      <c r="D111" s="261" t="s">
        <v>155</v>
      </c>
      <c r="E111" s="261" t="s">
        <v>132</v>
      </c>
      <c r="F111" s="109">
        <v>40</v>
      </c>
      <c r="G111" s="109">
        <v>45</v>
      </c>
      <c r="H111" s="111" t="str">
        <f t="shared" si="8"/>
        <v>342 to 385</v>
      </c>
      <c r="I111" s="261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1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1" t="str">
        <f>CONCATENATE(INDEX(missionsDragonRelativeMetrics[Hard Mission Reward],MATCH($E$38,missionsDragonRelativeMetrics[Dragon],0)), " coins")</f>
        <v>45000 coins</v>
      </c>
      <c r="N111" s="261">
        <v>6</v>
      </c>
      <c r="O111" s="344">
        <v>6</v>
      </c>
      <c r="P111" s="261" t="s">
        <v>402</v>
      </c>
      <c r="Q111" s="346" t="b">
        <f t="shared" si="7"/>
        <v>0</v>
      </c>
    </row>
    <row r="112" spans="2:17">
      <c r="B112" s="102">
        <v>65</v>
      </c>
      <c r="C112" s="261" t="s">
        <v>529</v>
      </c>
      <c r="D112" s="261" t="s">
        <v>155</v>
      </c>
      <c r="E112" s="261" t="s">
        <v>132</v>
      </c>
      <c r="F112" s="109">
        <v>40</v>
      </c>
      <c r="G112" s="109">
        <v>45</v>
      </c>
      <c r="H112" s="111" t="str">
        <f t="shared" si="8"/>
        <v>342 to 385</v>
      </c>
      <c r="I112" s="261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1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1" t="str">
        <f>CONCATENATE(INDEX(missionsDragonRelativeMetrics[Hard Mission Reward],MATCH($E$38,missionsDragonRelativeMetrics[Dragon],0)), " coins")</f>
        <v>45000 coins</v>
      </c>
      <c r="N112" s="261">
        <v>6</v>
      </c>
      <c r="O112" s="344">
        <v>6</v>
      </c>
      <c r="P112" s="261" t="s">
        <v>400</v>
      </c>
      <c r="Q112" s="346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1" t="s">
        <v>526</v>
      </c>
      <c r="D113" s="261" t="s">
        <v>156</v>
      </c>
      <c r="E113" s="261" t="s">
        <v>149</v>
      </c>
      <c r="F113" s="109">
        <v>4</v>
      </c>
      <c r="G113" s="109">
        <v>6</v>
      </c>
      <c r="H113" s="111" t="str">
        <f t="shared" si="8"/>
        <v>34 to 51</v>
      </c>
      <c r="I113" s="261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1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1" t="str">
        <f>CONCATENATE(INDEX(missionsDragonRelativeMetrics[Hard Mission Reward],MATCH($E$38,missionsDragonRelativeMetrics[Dragon],0)), " coins")</f>
        <v>45000 coins</v>
      </c>
      <c r="N113" s="261">
        <v>6</v>
      </c>
      <c r="O113" s="344">
        <v>6</v>
      </c>
      <c r="P113" s="261" t="s">
        <v>403</v>
      </c>
      <c r="Q113" s="346" t="b">
        <f t="shared" si="11"/>
        <v>0</v>
      </c>
    </row>
    <row r="114" spans="2:17">
      <c r="B114" s="102">
        <v>67</v>
      </c>
      <c r="C114" s="261" t="s">
        <v>527</v>
      </c>
      <c r="D114" s="261" t="s">
        <v>156</v>
      </c>
      <c r="E114" s="261" t="s">
        <v>132</v>
      </c>
      <c r="F114" s="109">
        <v>35</v>
      </c>
      <c r="G114" s="109">
        <v>45</v>
      </c>
      <c r="H114" s="111" t="str">
        <f t="shared" si="8"/>
        <v>299 to 385</v>
      </c>
      <c r="I114" s="261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1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1" t="str">
        <f>CONCATENATE(INDEX(missionsDragonRelativeMetrics[Hard Mission Reward],MATCH($E$38,missionsDragonRelativeMetrics[Dragon],0)), " coins")</f>
        <v>45000 coins</v>
      </c>
      <c r="N114" s="261">
        <v>6</v>
      </c>
      <c r="O114" s="344">
        <v>6</v>
      </c>
      <c r="P114" s="261" t="s">
        <v>401</v>
      </c>
      <c r="Q114" s="346" t="b">
        <f t="shared" si="11"/>
        <v>0</v>
      </c>
    </row>
    <row r="115" spans="2:17">
      <c r="B115" s="102">
        <v>68</v>
      </c>
      <c r="C115" s="261" t="s">
        <v>528</v>
      </c>
      <c r="D115" s="261" t="s">
        <v>156</v>
      </c>
      <c r="E115" s="261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1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1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1" t="str">
        <f>CONCATENATE(INDEX(missionsDragonRelativeMetrics[Hard Mission Reward],MATCH($E$38,missionsDragonRelativeMetrics[Dragon],0)), " coins")</f>
        <v>45000 coins</v>
      </c>
      <c r="N115" s="261">
        <v>6</v>
      </c>
      <c r="O115" s="344">
        <v>6</v>
      </c>
      <c r="P115" s="261" t="s">
        <v>402</v>
      </c>
      <c r="Q115" s="346" t="b">
        <f t="shared" si="11"/>
        <v>0</v>
      </c>
    </row>
    <row r="116" spans="2:17">
      <c r="B116" s="102">
        <v>69</v>
      </c>
      <c r="C116" s="261" t="s">
        <v>529</v>
      </c>
      <c r="D116" s="261" t="s">
        <v>156</v>
      </c>
      <c r="E116" s="261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1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1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1" t="str">
        <f>CONCATENATE(INDEX(missionsDragonRelativeMetrics[Hard Mission Reward],MATCH($E$38,missionsDragonRelativeMetrics[Dragon],0)), " coins")</f>
        <v>45000 coins</v>
      </c>
      <c r="N116" s="261">
        <v>6</v>
      </c>
      <c r="O116" s="344">
        <v>6</v>
      </c>
      <c r="P116" s="261" t="s">
        <v>400</v>
      </c>
      <c r="Q116" s="346" t="b">
        <f t="shared" si="11"/>
        <v>1</v>
      </c>
    </row>
    <row r="117" spans="2:17">
      <c r="B117" s="102">
        <v>70</v>
      </c>
      <c r="C117" s="261" t="s">
        <v>526</v>
      </c>
      <c r="D117" s="261" t="s">
        <v>162</v>
      </c>
      <c r="E117" s="261" t="s">
        <v>149</v>
      </c>
      <c r="F117" s="109">
        <v>3</v>
      </c>
      <c r="G117" s="109">
        <v>4</v>
      </c>
      <c r="H117" s="111" t="str">
        <f t="shared" si="8"/>
        <v>26 to 34</v>
      </c>
      <c r="I117" s="261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1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1" t="str">
        <f>CONCATENATE(INDEX(missionsDragonRelativeMetrics[Hard Mission Reward],MATCH($E$38,missionsDragonRelativeMetrics[Dragon],0)), " coins")</f>
        <v>45000 coins</v>
      </c>
      <c r="N117" s="261">
        <v>6</v>
      </c>
      <c r="O117" s="344">
        <v>6</v>
      </c>
      <c r="P117" s="261" t="s">
        <v>403</v>
      </c>
      <c r="Q117" s="346" t="b">
        <f t="shared" si="11"/>
        <v>0</v>
      </c>
    </row>
    <row r="118" spans="2:17">
      <c r="B118" s="102">
        <v>71</v>
      </c>
      <c r="C118" s="261" t="s">
        <v>527</v>
      </c>
      <c r="D118" s="261" t="s">
        <v>162</v>
      </c>
      <c r="E118" s="261" t="s">
        <v>132</v>
      </c>
      <c r="F118" s="109">
        <v>12</v>
      </c>
      <c r="G118" s="109">
        <v>15</v>
      </c>
      <c r="H118" s="111" t="str">
        <f t="shared" si="8"/>
        <v>103 to 128</v>
      </c>
      <c r="I118" s="261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1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1" t="str">
        <f>CONCATENATE(INDEX(missionsDragonRelativeMetrics[Hard Mission Reward],MATCH($E$38,missionsDragonRelativeMetrics[Dragon],0)), " coins")</f>
        <v>45000 coins</v>
      </c>
      <c r="N118" s="261">
        <v>6</v>
      </c>
      <c r="O118" s="344">
        <v>6</v>
      </c>
      <c r="P118" s="261" t="s">
        <v>401</v>
      </c>
      <c r="Q118" s="346" t="b">
        <f t="shared" si="11"/>
        <v>0</v>
      </c>
    </row>
    <row r="119" spans="2:17">
      <c r="B119" s="102">
        <v>72</v>
      </c>
      <c r="C119" s="261" t="s">
        <v>528</v>
      </c>
      <c r="D119" s="261" t="s">
        <v>162</v>
      </c>
      <c r="E119" s="261" t="s">
        <v>132</v>
      </c>
      <c r="F119" s="109">
        <v>12</v>
      </c>
      <c r="G119" s="109">
        <v>15</v>
      </c>
      <c r="H119" s="111" t="str">
        <f t="shared" si="8"/>
        <v>103 to 128</v>
      </c>
      <c r="I119" s="261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1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1" t="str">
        <f>CONCATENATE(INDEX(missionsDragonRelativeMetrics[Hard Mission Reward],MATCH($E$38,missionsDragonRelativeMetrics[Dragon],0)), " coins")</f>
        <v>45000 coins</v>
      </c>
      <c r="N119" s="261">
        <v>6</v>
      </c>
      <c r="O119" s="344">
        <v>6</v>
      </c>
      <c r="P119" s="261" t="s">
        <v>402</v>
      </c>
      <c r="Q119" s="346" t="b">
        <f t="shared" si="11"/>
        <v>0</v>
      </c>
    </row>
    <row r="120" spans="2:17">
      <c r="B120" s="102">
        <v>73</v>
      </c>
      <c r="C120" s="261" t="s">
        <v>529</v>
      </c>
      <c r="D120" s="261" t="s">
        <v>162</v>
      </c>
      <c r="E120" s="261" t="s">
        <v>132</v>
      </c>
      <c r="F120" s="109">
        <v>12</v>
      </c>
      <c r="G120" s="109">
        <v>15</v>
      </c>
      <c r="H120" s="111" t="str">
        <f t="shared" si="8"/>
        <v>103 to 128</v>
      </c>
      <c r="I120" s="261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1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1" t="str">
        <f>CONCATENATE(INDEX(missionsDragonRelativeMetrics[Hard Mission Reward],MATCH($E$38,missionsDragonRelativeMetrics[Dragon],0)), " coins")</f>
        <v>45000 coins</v>
      </c>
      <c r="N120" s="261">
        <v>6</v>
      </c>
      <c r="O120" s="344">
        <v>6</v>
      </c>
      <c r="P120" s="261" t="s">
        <v>400</v>
      </c>
      <c r="Q120" s="346" t="b">
        <f t="shared" si="11"/>
        <v>1</v>
      </c>
    </row>
    <row r="121" spans="2:17">
      <c r="B121" s="102">
        <v>74</v>
      </c>
      <c r="C121" s="261" t="s">
        <v>526</v>
      </c>
      <c r="D121" s="261" t="s">
        <v>496</v>
      </c>
      <c r="E121" s="261" t="s">
        <v>149</v>
      </c>
      <c r="F121" s="109">
        <v>4</v>
      </c>
      <c r="G121" s="109">
        <v>6</v>
      </c>
      <c r="H121" s="111" t="str">
        <f t="shared" si="8"/>
        <v>34 to 51</v>
      </c>
      <c r="I121" s="261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1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1" t="str">
        <f>CONCATENATE(INDEX(missionsDragonRelativeMetrics[Hard Mission Reward],MATCH($E$38,missionsDragonRelativeMetrics[Dragon],0)), " coins")</f>
        <v>45000 coins</v>
      </c>
      <c r="N121" s="261">
        <v>6</v>
      </c>
      <c r="O121" s="344">
        <v>6</v>
      </c>
      <c r="P121" s="261" t="s">
        <v>403</v>
      </c>
      <c r="Q121" s="346" t="b">
        <f t="shared" si="11"/>
        <v>0</v>
      </c>
    </row>
    <row r="122" spans="2:17">
      <c r="B122" s="102">
        <v>75</v>
      </c>
      <c r="C122" s="261" t="s">
        <v>527</v>
      </c>
      <c r="D122" s="261" t="s">
        <v>496</v>
      </c>
      <c r="E122" s="261" t="s">
        <v>132</v>
      </c>
      <c r="F122" s="109">
        <v>25</v>
      </c>
      <c r="G122" s="109">
        <v>30</v>
      </c>
      <c r="H122" s="111" t="str">
        <f t="shared" si="8"/>
        <v>214 to 257</v>
      </c>
      <c r="I122" s="261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1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1" t="str">
        <f>CONCATENATE(INDEX(missionsDragonRelativeMetrics[Hard Mission Reward],MATCH($E$38,missionsDragonRelativeMetrics[Dragon],0)), " coins")</f>
        <v>45000 coins</v>
      </c>
      <c r="N122" s="261">
        <v>6</v>
      </c>
      <c r="O122" s="344">
        <v>6</v>
      </c>
      <c r="P122" s="261" t="s">
        <v>401</v>
      </c>
      <c r="Q122" s="346" t="b">
        <f t="shared" si="11"/>
        <v>0</v>
      </c>
    </row>
    <row r="123" spans="2:17">
      <c r="B123" s="102">
        <v>76</v>
      </c>
      <c r="C123" s="261" t="s">
        <v>528</v>
      </c>
      <c r="D123" s="261" t="s">
        <v>496</v>
      </c>
      <c r="E123" s="261" t="s">
        <v>132</v>
      </c>
      <c r="F123" s="109">
        <v>25</v>
      </c>
      <c r="G123" s="109">
        <v>30</v>
      </c>
      <c r="H123" s="111" t="str">
        <f t="shared" si="8"/>
        <v>214 to 257</v>
      </c>
      <c r="I123" s="261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1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1" t="str">
        <f>CONCATENATE(INDEX(missionsDragonRelativeMetrics[Hard Mission Reward],MATCH($E$38,missionsDragonRelativeMetrics[Dragon],0)), " coins")</f>
        <v>45000 coins</v>
      </c>
      <c r="N123" s="261">
        <v>6</v>
      </c>
      <c r="O123" s="344">
        <v>6</v>
      </c>
      <c r="P123" s="261" t="s">
        <v>402</v>
      </c>
      <c r="Q123" s="346" t="b">
        <f t="shared" si="11"/>
        <v>0</v>
      </c>
    </row>
    <row r="124" spans="2:17">
      <c r="B124" s="102">
        <v>77</v>
      </c>
      <c r="C124" s="261" t="s">
        <v>529</v>
      </c>
      <c r="D124" s="261" t="s">
        <v>496</v>
      </c>
      <c r="E124" s="261" t="s">
        <v>132</v>
      </c>
      <c r="F124" s="109">
        <v>25</v>
      </c>
      <c r="G124" s="109">
        <v>30</v>
      </c>
      <c r="H124" s="111" t="str">
        <f t="shared" si="8"/>
        <v>214 to 257</v>
      </c>
      <c r="I124" s="261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1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1" t="str">
        <f>CONCATENATE(INDEX(missionsDragonRelativeMetrics[Hard Mission Reward],MATCH($E$38,missionsDragonRelativeMetrics[Dragon],0)), " coins")</f>
        <v>45000 coins</v>
      </c>
      <c r="N124" s="261">
        <v>6</v>
      </c>
      <c r="O124" s="344">
        <v>6</v>
      </c>
      <c r="P124" s="261" t="s">
        <v>400</v>
      </c>
      <c r="Q124" s="346" t="b">
        <f t="shared" si="11"/>
        <v>1</v>
      </c>
    </row>
    <row r="125" spans="2:17">
      <c r="B125" s="102">
        <v>78</v>
      </c>
      <c r="C125" s="261" t="s">
        <v>526</v>
      </c>
      <c r="D125" s="261" t="s">
        <v>168</v>
      </c>
      <c r="E125" s="261" t="s">
        <v>149</v>
      </c>
      <c r="F125" s="109">
        <v>3</v>
      </c>
      <c r="G125" s="109">
        <v>4</v>
      </c>
      <c r="H125" s="111" t="str">
        <f t="shared" si="8"/>
        <v>26 to 34</v>
      </c>
      <c r="I125" s="261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1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1" t="str">
        <f>CONCATENATE(INDEX(missionsDragonRelativeMetrics[Hard Mission Reward],MATCH($E$38,missionsDragonRelativeMetrics[Dragon],0)), " coins")</f>
        <v>45000 coins</v>
      </c>
      <c r="N125" s="261">
        <v>6</v>
      </c>
      <c r="O125" s="344">
        <v>6</v>
      </c>
      <c r="P125" s="261" t="s">
        <v>403</v>
      </c>
      <c r="Q125" s="346" t="b">
        <f t="shared" si="11"/>
        <v>0</v>
      </c>
    </row>
    <row r="126" spans="2:17">
      <c r="B126" s="102">
        <v>79</v>
      </c>
      <c r="C126" s="261" t="s">
        <v>527</v>
      </c>
      <c r="D126" s="261" t="s">
        <v>168</v>
      </c>
      <c r="E126" s="261" t="s">
        <v>149</v>
      </c>
      <c r="F126" s="109">
        <v>15</v>
      </c>
      <c r="G126" s="109">
        <v>20</v>
      </c>
      <c r="H126" s="111" t="str">
        <f t="shared" si="8"/>
        <v>128 to 171</v>
      </c>
      <c r="I126" s="261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1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1" t="str">
        <f>CONCATENATE(INDEX(missionsDragonRelativeMetrics[Hard Mission Reward],MATCH($E$38,missionsDragonRelativeMetrics[Dragon],0)), " coins")</f>
        <v>45000 coins</v>
      </c>
      <c r="N126" s="261">
        <v>6</v>
      </c>
      <c r="O126" s="344">
        <v>6</v>
      </c>
      <c r="P126" s="261" t="s">
        <v>401</v>
      </c>
      <c r="Q126" s="346" t="b">
        <f t="shared" si="11"/>
        <v>0</v>
      </c>
    </row>
    <row r="127" spans="2:17">
      <c r="B127" s="102">
        <v>80</v>
      </c>
      <c r="C127" s="261" t="s">
        <v>528</v>
      </c>
      <c r="D127" s="261" t="s">
        <v>168</v>
      </c>
      <c r="E127" s="261" t="s">
        <v>149</v>
      </c>
      <c r="F127" s="109">
        <v>15</v>
      </c>
      <c r="G127" s="109">
        <v>20</v>
      </c>
      <c r="H127" s="111" t="str">
        <f t="shared" si="8"/>
        <v>128 to 171</v>
      </c>
      <c r="I127" s="261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1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1" t="str">
        <f>CONCATENATE(INDEX(missionsDragonRelativeMetrics[Hard Mission Reward],MATCH($E$38,missionsDragonRelativeMetrics[Dragon],0)), " coins")</f>
        <v>45000 coins</v>
      </c>
      <c r="N127" s="261">
        <v>6</v>
      </c>
      <c r="O127" s="344">
        <v>6</v>
      </c>
      <c r="P127" s="261" t="s">
        <v>402</v>
      </c>
      <c r="Q127" s="346" t="b">
        <f t="shared" si="11"/>
        <v>0</v>
      </c>
    </row>
    <row r="128" spans="2:17">
      <c r="B128" s="102">
        <v>81</v>
      </c>
      <c r="C128" s="261" t="s">
        <v>529</v>
      </c>
      <c r="D128" s="261" t="s">
        <v>168</v>
      </c>
      <c r="E128" s="261" t="s">
        <v>149</v>
      </c>
      <c r="F128" s="109">
        <v>15</v>
      </c>
      <c r="G128" s="109">
        <v>20</v>
      </c>
      <c r="H128" s="111" t="str">
        <f t="shared" si="8"/>
        <v>128 to 171</v>
      </c>
      <c r="I128" s="261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1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1" t="str">
        <f>CONCATENATE(INDEX(missionsDragonRelativeMetrics[Hard Mission Reward],MATCH($E$38,missionsDragonRelativeMetrics[Dragon],0)), " coins")</f>
        <v>45000 coins</v>
      </c>
      <c r="N128" s="261">
        <v>6</v>
      </c>
      <c r="O128" s="344">
        <v>6</v>
      </c>
      <c r="P128" s="261" t="s">
        <v>400</v>
      </c>
      <c r="Q128" s="346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F32" sqref="F32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4" t="s">
        <v>453</v>
      </c>
      <c r="C1" s="286"/>
      <c r="D1" s="286"/>
      <c r="E1" s="286"/>
      <c r="F1" s="286"/>
      <c r="G1" s="286"/>
      <c r="H1" s="246"/>
    </row>
    <row r="2" spans="2:38">
      <c r="B2" s="244"/>
      <c r="C2" s="286"/>
      <c r="D2" s="286"/>
      <c r="E2" s="286"/>
      <c r="F2" s="286"/>
      <c r="G2" s="286"/>
      <c r="H2" s="246"/>
    </row>
    <row r="3" spans="2:38">
      <c r="B3" s="244" t="s">
        <v>441</v>
      </c>
      <c r="C3" s="286"/>
      <c r="D3" s="286"/>
      <c r="E3" s="286"/>
      <c r="F3" s="286"/>
      <c r="G3" s="286"/>
      <c r="H3" s="246"/>
    </row>
    <row r="4" spans="2:38">
      <c r="B4" s="244" t="s">
        <v>455</v>
      </c>
      <c r="C4" s="286"/>
      <c r="D4" s="286"/>
      <c r="E4" s="286"/>
      <c r="F4" s="286"/>
      <c r="G4" s="286"/>
      <c r="H4" s="246"/>
    </row>
    <row r="5" spans="2:38">
      <c r="B5" s="247"/>
      <c r="C5" s="248"/>
      <c r="D5" s="248"/>
      <c r="E5" s="248"/>
      <c r="F5" s="248"/>
      <c r="G5" s="248"/>
      <c r="H5" s="249"/>
    </row>
    <row r="7" spans="2:38">
      <c r="F7" s="278" t="s">
        <v>438</v>
      </c>
    </row>
    <row r="8" spans="2:38">
      <c r="F8" s="104" t="s">
        <v>439</v>
      </c>
    </row>
    <row r="9" spans="2:38">
      <c r="F9" s="285" t="s">
        <v>440</v>
      </c>
    </row>
    <row r="10" spans="2:38">
      <c r="F10" s="323" t="s">
        <v>481</v>
      </c>
    </row>
    <row r="11" spans="2:38">
      <c r="Z11" s="120"/>
    </row>
    <row r="12" spans="2:38">
      <c r="B12" s="621" t="s">
        <v>422</v>
      </c>
      <c r="C12" s="622"/>
      <c r="D12" s="623"/>
      <c r="J12" s="618" t="s">
        <v>477</v>
      </c>
      <c r="K12" s="619"/>
      <c r="L12" s="618" t="s">
        <v>478</v>
      </c>
      <c r="M12" s="619"/>
      <c r="N12" s="261"/>
      <c r="O12" s="261" t="s">
        <v>485</v>
      </c>
      <c r="P12" s="261"/>
      <c r="Q12" s="266"/>
      <c r="T12" s="624" t="s">
        <v>436</v>
      </c>
      <c r="U12" s="625"/>
      <c r="V12" s="626"/>
      <c r="W12" s="618" t="s">
        <v>442</v>
      </c>
      <c r="X12" s="619"/>
      <c r="Y12" s="618" t="s">
        <v>444</v>
      </c>
      <c r="Z12" s="619"/>
      <c r="AA12" s="618" t="s">
        <v>447</v>
      </c>
      <c r="AB12" s="619"/>
      <c r="AD12" s="618" t="s">
        <v>442</v>
      </c>
      <c r="AE12" s="619"/>
      <c r="AF12" s="618" t="s">
        <v>444</v>
      </c>
      <c r="AG12" s="619"/>
      <c r="AH12" s="618" t="s">
        <v>447</v>
      </c>
      <c r="AI12" s="619"/>
      <c r="AK12" s="618" t="s">
        <v>484</v>
      </c>
      <c r="AL12" s="619"/>
    </row>
    <row r="13" spans="2:38">
      <c r="B13" s="269" t="s">
        <v>408</v>
      </c>
      <c r="C13" s="270" t="s">
        <v>412</v>
      </c>
      <c r="D13" s="296" t="s">
        <v>413</v>
      </c>
      <c r="E13" s="299" t="s">
        <v>454</v>
      </c>
      <c r="G13" s="304" t="s">
        <v>414</v>
      </c>
      <c r="H13" s="277" t="s">
        <v>443</v>
      </c>
      <c r="I13" s="318" t="s">
        <v>483</v>
      </c>
      <c r="J13" s="277" t="s">
        <v>451</v>
      </c>
      <c r="K13" s="304" t="s">
        <v>452</v>
      </c>
      <c r="L13" s="328" t="s">
        <v>473</v>
      </c>
      <c r="M13" s="318" t="s">
        <v>474</v>
      </c>
      <c r="N13" s="313" t="s">
        <v>482</v>
      </c>
      <c r="O13" s="277" t="s">
        <v>425</v>
      </c>
      <c r="P13" s="275" t="s">
        <v>424</v>
      </c>
      <c r="Q13" s="275" t="s">
        <v>465</v>
      </c>
      <c r="R13" s="304" t="s">
        <v>464</v>
      </c>
      <c r="S13" s="313" t="s">
        <v>427</v>
      </c>
      <c r="T13" s="277" t="s">
        <v>433</v>
      </c>
      <c r="U13" s="275" t="s">
        <v>434</v>
      </c>
      <c r="V13" s="304" t="s">
        <v>435</v>
      </c>
      <c r="W13" s="277" t="s">
        <v>445</v>
      </c>
      <c r="X13" s="275" t="s">
        <v>446</v>
      </c>
      <c r="Y13" s="275" t="s">
        <v>415</v>
      </c>
      <c r="Z13" s="275" t="s">
        <v>416</v>
      </c>
      <c r="AA13" s="291" t="s">
        <v>448</v>
      </c>
      <c r="AB13" s="291" t="s">
        <v>449</v>
      </c>
      <c r="AC13" s="304" t="s">
        <v>450</v>
      </c>
      <c r="AD13" s="291" t="s">
        <v>466</v>
      </c>
      <c r="AE13" s="291" t="s">
        <v>467</v>
      </c>
      <c r="AF13" s="291" t="s">
        <v>468</v>
      </c>
      <c r="AG13" s="291" t="s">
        <v>469</v>
      </c>
      <c r="AH13" s="291" t="s">
        <v>470</v>
      </c>
      <c r="AI13" s="275" t="s">
        <v>471</v>
      </c>
      <c r="AJ13" s="294" t="s">
        <v>472</v>
      </c>
      <c r="AK13" s="275" t="s">
        <v>479</v>
      </c>
      <c r="AL13" s="275" t="s">
        <v>480</v>
      </c>
    </row>
    <row r="14" spans="2:38">
      <c r="B14" s="260">
        <v>1</v>
      </c>
      <c r="C14" s="280" t="s">
        <v>410</v>
      </c>
      <c r="D14" s="297">
        <v>100</v>
      </c>
      <c r="E14" s="300">
        <v>100</v>
      </c>
      <c r="G14" s="326" t="s">
        <v>92</v>
      </c>
      <c r="H14" s="330">
        <f>Table6[[#This Row],[TOTAL COINS]] +Table6[[#This Row],[COINS IN RUNS PER DAY]]</f>
        <v>29465</v>
      </c>
      <c r="I14" s="319">
        <f>Table6[[#This Row],[TOTAL COINS NEW]] + Table6[[#This Row],[COINS IN RUNS PER DAY]]</f>
        <v>29465</v>
      </c>
      <c r="J14" s="317">
        <f>Table6[[#This Row],[CHESTS COINS]] + Table6[[#This Row],[DAILY COINS]]+Table6[[#This Row],[LEAGUES COINS]]+Table6[[#This Row],[MISSIONS COINS]]</f>
        <v>4465</v>
      </c>
      <c r="K14" s="312">
        <f>Table6[[#This Row],[CHESTS GEMS]]+Table6[[#This Row],[DAILY GEMS]]+Table6[[#This Row],[LEAGUES GEMS]]</f>
        <v>3.9</v>
      </c>
      <c r="L14" s="329">
        <f>Table6[[#This Row],[CHESTS COINS NEW]] +Table6[[#This Row],[DAILY COINS NEW]] +Table6[[#This Row],[LEAGUES COINS NEW]] +Table6[[#This Row],[MISSIONS COINS NEW]]</f>
        <v>4465</v>
      </c>
      <c r="M14" s="319">
        <f>Table6[[#This Row],[CHESTS GEMS NEW]] +Table6[[#This Row],[DAILY GEMS NEW]] +Table6[[#This Row],[LEAGUES GEMS NEW]]</f>
        <v>3.9</v>
      </c>
      <c r="N14" s="324">
        <f>Table6[[#This Row],[COINS PER RUN]] *Table6[[#This Row],[RUNS PER DAY]]</f>
        <v>25000</v>
      </c>
      <c r="O14" s="310">
        <v>2</v>
      </c>
      <c r="P14" s="310">
        <v>2</v>
      </c>
      <c r="Q14" s="267">
        <v>2</v>
      </c>
      <c r="R14" s="308">
        <v>2</v>
      </c>
      <c r="S14" s="314">
        <v>1</v>
      </c>
      <c r="T14" s="334">
        <v>1.1000000000000001</v>
      </c>
      <c r="U14" s="322">
        <v>1.06</v>
      </c>
      <c r="V14" s="332">
        <v>1.03</v>
      </c>
      <c r="W14" s="292">
        <f>Table6[[#This Row],[CHEST REW. MOD.]]*($D$14+$D$15+$D$16)</f>
        <v>900</v>
      </c>
      <c r="X14" s="288">
        <f t="shared" ref="X14:X34" si="0">$D$17+$D$18</f>
        <v>3</v>
      </c>
      <c r="Y14" s="288">
        <f>ROUND((Table6[[#This Row],[DAILY REW. MOD.]]*($D$24+$D$26+$D$28))/7,0)</f>
        <v>500</v>
      </c>
      <c r="Z14" s="288">
        <f t="shared" ref="Z14:Z34" si="1">ROUND(($D$25+$D$27+$D$29)/7,1)</f>
        <v>0.9</v>
      </c>
      <c r="AA14" s="351">
        <f>ROUND((INDEX(Table12[AVG COINS],MATCH(Table6[[#This Row],[LEAGUE]],Table12[LEAGUE],0))) /$C$38,0)</f>
        <v>753</v>
      </c>
      <c r="AB14" s="351">
        <f>ROUND((INDEX(Table12[AVG GEMS],MATCH(Table6[[#This Row],[LEAGUE]],Table12[LEAGUE],0))) /$C$37,2)</f>
        <v>0</v>
      </c>
      <c r="AC1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3">
        <f>Table6[[#This Row],[CHEST REW. MOD. NEW]]*($D$14+$D$15+$D$16)</f>
        <v>900</v>
      </c>
      <c r="AE14" s="293">
        <f>$E$17+$E$18</f>
        <v>3</v>
      </c>
      <c r="AF14" s="293">
        <f>ROUND((Table6[[#This Row],[DAILY REW. MOD. NEW]]*($E$24+$E$26+$E$28))/7,0)</f>
        <v>500</v>
      </c>
      <c r="AG14" s="293">
        <f>ROUND(($E$25+$E$27+$E$29)/7,1)</f>
        <v>0.9</v>
      </c>
      <c r="AH14" s="293">
        <f>ROUND((INDEX(Table12[AVG COINS NEW],MATCH(Table6[[#This Row],[LEAGUE]],Table12[LEAGUE],0))) /$C$38,0)</f>
        <v>753</v>
      </c>
      <c r="AI14" s="293">
        <f>ROUND((INDEX(Table12[AVG GEMS NEW],MATCH(Table6[[#This Row],[LEAGUE]],Table12[LEAGUE],0))) / $C$38,2)</f>
        <v>0</v>
      </c>
      <c r="AJ1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1">
        <v>25000</v>
      </c>
      <c r="AL14" s="322">
        <v>1</v>
      </c>
    </row>
    <row r="15" spans="2:38">
      <c r="B15" s="258">
        <v>2</v>
      </c>
      <c r="C15" s="280" t="s">
        <v>410</v>
      </c>
      <c r="D15" s="298">
        <v>150</v>
      </c>
      <c r="E15" s="301">
        <v>150</v>
      </c>
      <c r="G15" s="325" t="s">
        <v>93</v>
      </c>
      <c r="H15" s="329">
        <f>Table6[[#This Row],[TOTAL COINS]] +Table6[[#This Row],[COINS IN RUNS PER DAY]]</f>
        <v>32734</v>
      </c>
      <c r="I15" s="319">
        <f>Table6[[#This Row],[TOTAL COINS NEW]] + Table6[[#This Row],[COINS IN RUNS PER DAY]]</f>
        <v>32734</v>
      </c>
      <c r="J15" s="317">
        <f>Table6[[#This Row],[CHESTS COINS]] + Table6[[#This Row],[DAILY COINS]]+Table6[[#This Row],[LEAGUES COINS]]+Table6[[#This Row],[MISSIONS COINS]]</f>
        <v>13734</v>
      </c>
      <c r="K15" s="312">
        <f>Table6[[#This Row],[CHESTS GEMS]]+Table6[[#This Row],[DAILY GEMS]]+Table6[[#This Row],[LEAGUES GEMS]]</f>
        <v>3.9</v>
      </c>
      <c r="L15" s="329">
        <f>Table6[[#This Row],[CHESTS COINS NEW]] +Table6[[#This Row],[DAILY COINS NEW]] +Table6[[#This Row],[LEAGUES COINS NEW]] +Table6[[#This Row],[MISSIONS COINS NEW]]</f>
        <v>13734</v>
      </c>
      <c r="M15" s="319">
        <f>Table6[[#This Row],[CHESTS GEMS NEW]] +Table6[[#This Row],[DAILY GEMS NEW]] +Table6[[#This Row],[LEAGUES GEMS NEW]]</f>
        <v>3.9</v>
      </c>
      <c r="N15" s="324">
        <f>Table6[[#This Row],[COINS PER RUN]] *Table6[[#This Row],[RUNS PER DAY]]</f>
        <v>19000</v>
      </c>
      <c r="O15" s="311">
        <v>6</v>
      </c>
      <c r="P15" s="311">
        <v>6</v>
      </c>
      <c r="Q15" s="268">
        <v>6</v>
      </c>
      <c r="R15" s="309">
        <v>6</v>
      </c>
      <c r="S15" s="315">
        <v>2</v>
      </c>
      <c r="T15" s="334">
        <v>1.54</v>
      </c>
      <c r="U15" s="322">
        <v>1.29</v>
      </c>
      <c r="V15" s="333">
        <v>1.1399999999999999</v>
      </c>
      <c r="W15" s="292">
        <f>Table6[[#This Row],[CHEST REW. MOD.]]*($D$14+$D$15+$D$16)</f>
        <v>2700</v>
      </c>
      <c r="X15" s="288">
        <f t="shared" si="0"/>
        <v>3</v>
      </c>
      <c r="Y15" s="288">
        <f>ROUND((Table6[[#This Row],[DAILY REW. MOD.]]*($D$24+$D$26+$D$28))/7,0)</f>
        <v>1500</v>
      </c>
      <c r="Z15" s="288">
        <f t="shared" si="1"/>
        <v>0.9</v>
      </c>
      <c r="AA15" s="351">
        <f>ROUND((INDEX(Table12[AVG COINS],MATCH(Table6[[#This Row],[LEAGUE]],Table12[LEAGUE],0))) /$C$38,0)</f>
        <v>1260</v>
      </c>
      <c r="AB15" s="351">
        <f>ROUND((INDEX(Table12[AVG GEMS],MATCH(Table6[[#This Row],[LEAGUE]],Table12[LEAGUE],0))) /$C$37,2)</f>
        <v>0</v>
      </c>
      <c r="AC1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3">
        <f>Table6[[#This Row],[CHEST REW. MOD. NEW]]*($D$14+$D$15+$D$16)</f>
        <v>2700</v>
      </c>
      <c r="AE15" s="293">
        <f t="shared" ref="AE15:AE34" si="2">$E$17+$E$18</f>
        <v>3</v>
      </c>
      <c r="AF15" s="293">
        <f>ROUND((Table6[[#This Row],[DAILY REW. MOD. NEW]]*($E$24+$E$26+$E$28))/7,0)</f>
        <v>1500</v>
      </c>
      <c r="AG15" s="293">
        <f t="shared" ref="AG15:AG34" si="3">ROUND(($E$25+$E$27+$E$29)/7,1)</f>
        <v>0.9</v>
      </c>
      <c r="AH15" s="293">
        <f>ROUND((INDEX(Table12[AVG COINS NEW],MATCH(Table6[[#This Row],[LEAGUE]],Table12[LEAGUE],0))) /$C$38,0)</f>
        <v>1260</v>
      </c>
      <c r="AI15" s="293">
        <f>ROUND((INDEX(Table12[AVG GEMS NEW],MATCH(Table6[[#This Row],[LEAGUE]],Table12[LEAGUE],0))) / $C$38,2)</f>
        <v>0</v>
      </c>
      <c r="AJ1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1">
        <v>19000</v>
      </c>
      <c r="AL15" s="322">
        <v>1</v>
      </c>
    </row>
    <row r="16" spans="2:38">
      <c r="B16" s="258">
        <v>3</v>
      </c>
      <c r="C16" s="280" t="s">
        <v>410</v>
      </c>
      <c r="D16" s="298">
        <v>200</v>
      </c>
      <c r="E16" s="301">
        <v>200</v>
      </c>
      <c r="G16" s="325" t="s">
        <v>94</v>
      </c>
      <c r="H16" s="329">
        <f>Table6[[#This Row],[TOTAL COINS]] +Table6[[#This Row],[COINS IN RUNS PER DAY]]</f>
        <v>49109</v>
      </c>
      <c r="I16" s="319">
        <f>Table6[[#This Row],[TOTAL COINS NEW]] + Table6[[#This Row],[COINS IN RUNS PER DAY]]</f>
        <v>49109</v>
      </c>
      <c r="J16" s="317">
        <f>Table6[[#This Row],[CHESTS COINS]] + Table6[[#This Row],[DAILY COINS]]+Table6[[#This Row],[LEAGUES COINS]]+Table6[[#This Row],[MISSIONS COINS]]</f>
        <v>30109</v>
      </c>
      <c r="K16" s="312">
        <f>Table6[[#This Row],[CHESTS GEMS]]+Table6[[#This Row],[DAILY GEMS]]+Table6[[#This Row],[LEAGUES GEMS]]</f>
        <v>3.9</v>
      </c>
      <c r="L16" s="329">
        <f>Table6[[#This Row],[CHESTS COINS NEW]] +Table6[[#This Row],[DAILY COINS NEW]] +Table6[[#This Row],[LEAGUES COINS NEW]] +Table6[[#This Row],[MISSIONS COINS NEW]]</f>
        <v>30109</v>
      </c>
      <c r="M16" s="319">
        <f>Table6[[#This Row],[CHESTS GEMS NEW]] +Table6[[#This Row],[DAILY GEMS NEW]] +Table6[[#This Row],[LEAGUES GEMS NEW]]</f>
        <v>3.9</v>
      </c>
      <c r="N16" s="324">
        <f>Table6[[#This Row],[COINS PER RUN]] *Table6[[#This Row],[RUNS PER DAY]]</f>
        <v>19000</v>
      </c>
      <c r="O16" s="311">
        <v>12</v>
      </c>
      <c r="P16" s="311">
        <v>10</v>
      </c>
      <c r="Q16" s="268">
        <v>12</v>
      </c>
      <c r="R16" s="309">
        <v>10</v>
      </c>
      <c r="S16" s="315">
        <v>3</v>
      </c>
      <c r="T16" s="334">
        <v>1.86</v>
      </c>
      <c r="U16" s="322">
        <v>1.54</v>
      </c>
      <c r="V16" s="333">
        <v>1.28</v>
      </c>
      <c r="W16" s="292">
        <f>Table6[[#This Row],[CHEST REW. MOD.]]*($D$14+$D$15+$D$16)</f>
        <v>5400</v>
      </c>
      <c r="X16" s="288">
        <f t="shared" si="0"/>
        <v>3</v>
      </c>
      <c r="Y16" s="288">
        <f>ROUND((Table6[[#This Row],[DAILY REW. MOD.]]*($D$24+$D$26+$D$28))/7,0)</f>
        <v>2500</v>
      </c>
      <c r="Z16" s="288">
        <f t="shared" si="1"/>
        <v>0.9</v>
      </c>
      <c r="AA16" s="351">
        <f>ROUND((INDEX(Table12[AVG COINS],MATCH(Table6[[#This Row],[LEAGUE]],Table12[LEAGUE],0))) /$C$38,0)</f>
        <v>2985</v>
      </c>
      <c r="AB16" s="351">
        <f>ROUND((INDEX(Table12[AVG GEMS],MATCH(Table6[[#This Row],[LEAGUE]],Table12[LEAGUE],0))) /$C$37,2)</f>
        <v>0</v>
      </c>
      <c r="AC1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3">
        <f>Table6[[#This Row],[CHEST REW. MOD. NEW]]*($D$14+$D$15+$D$16)</f>
        <v>5400</v>
      </c>
      <c r="AE16" s="293">
        <f t="shared" si="2"/>
        <v>3</v>
      </c>
      <c r="AF16" s="293">
        <f>ROUND((Table6[[#This Row],[DAILY REW. MOD. NEW]]*($E$24+$E$26+$E$28))/7,0)</f>
        <v>2500</v>
      </c>
      <c r="AG16" s="293">
        <f>ROUND(($E$25+$E$27+$E$29)/7,1)</f>
        <v>0.9</v>
      </c>
      <c r="AH16" s="293">
        <f>ROUND((INDEX(Table12[AVG COINS NEW],MATCH(Table6[[#This Row],[LEAGUE]],Table12[LEAGUE],0))) /$C$38,0)</f>
        <v>2985</v>
      </c>
      <c r="AI16" s="293">
        <f>ROUND((INDEX(Table12[AVG GEMS NEW],MATCH(Table6[[#This Row],[LEAGUE]],Table12[LEAGUE],0))) / $C$38,2)</f>
        <v>0</v>
      </c>
      <c r="AJ1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1">
        <v>19000</v>
      </c>
      <c r="AL16" s="322">
        <v>1</v>
      </c>
    </row>
    <row r="17" spans="2:38">
      <c r="B17" s="258">
        <v>4</v>
      </c>
      <c r="C17" s="280" t="s">
        <v>411</v>
      </c>
      <c r="D17" s="298">
        <v>1</v>
      </c>
      <c r="E17" s="301">
        <v>1</v>
      </c>
      <c r="G17" s="325" t="s">
        <v>95</v>
      </c>
      <c r="H17" s="329">
        <f>Table6[[#This Row],[TOTAL COINS]] +Table6[[#This Row],[COINS IN RUNS PER DAY]]</f>
        <v>77922</v>
      </c>
      <c r="I17" s="319">
        <f>Table6[[#This Row],[TOTAL COINS NEW]] + Table6[[#This Row],[COINS IN RUNS PER DAY]]</f>
        <v>77922</v>
      </c>
      <c r="J17" s="317">
        <f>Table6[[#This Row],[CHESTS COINS]] + Table6[[#This Row],[DAILY COINS]]+Table6[[#This Row],[LEAGUES COINS]]+Table6[[#This Row],[MISSIONS COINS]]</f>
        <v>44922</v>
      </c>
      <c r="K17" s="312">
        <f>Table6[[#This Row],[CHESTS GEMS]]+Table6[[#This Row],[DAILY GEMS]]+Table6[[#This Row],[LEAGUES GEMS]]</f>
        <v>3.9</v>
      </c>
      <c r="L17" s="329">
        <f>Table6[[#This Row],[CHESTS COINS NEW]] +Table6[[#This Row],[DAILY COINS NEW]] +Table6[[#This Row],[LEAGUES COINS NEW]] +Table6[[#This Row],[MISSIONS COINS NEW]]</f>
        <v>44922</v>
      </c>
      <c r="M17" s="319">
        <f>Table6[[#This Row],[CHESTS GEMS NEW]] +Table6[[#This Row],[DAILY GEMS NEW]] +Table6[[#This Row],[LEAGUES GEMS NEW]]</f>
        <v>3.9</v>
      </c>
      <c r="N17" s="324">
        <f>Table6[[#This Row],[COINS PER RUN]] *Table6[[#This Row],[RUNS PER DAY]]</f>
        <v>33000</v>
      </c>
      <c r="O17" s="311">
        <v>18</v>
      </c>
      <c r="P17" s="311">
        <v>15</v>
      </c>
      <c r="Q17" s="268">
        <v>18</v>
      </c>
      <c r="R17" s="309">
        <v>15</v>
      </c>
      <c r="S17" s="315">
        <v>4</v>
      </c>
      <c r="T17" s="334">
        <v>1.78</v>
      </c>
      <c r="U17" s="322">
        <v>1.53</v>
      </c>
      <c r="V17" s="333">
        <v>1.29</v>
      </c>
      <c r="W17" s="292">
        <f>Table6[[#This Row],[CHEST REW. MOD.]]*($D$14+$D$15+$D$16)</f>
        <v>8100</v>
      </c>
      <c r="X17" s="288">
        <f t="shared" si="0"/>
        <v>3</v>
      </c>
      <c r="Y17" s="288">
        <f>ROUND((Table6[[#This Row],[DAILY REW. MOD.]]*($D$24+$D$26+$D$28))/7,0)</f>
        <v>3750</v>
      </c>
      <c r="Z17" s="288">
        <f t="shared" si="1"/>
        <v>0.9</v>
      </c>
      <c r="AA17" s="351">
        <f>ROUND((INDEX(Table12[AVG COINS],MATCH(Table6[[#This Row],[LEAGUE]],Table12[LEAGUE],0))) /$C$38,0)</f>
        <v>4470</v>
      </c>
      <c r="AB17" s="351">
        <f>ROUND((INDEX(Table12[AVG GEMS],MATCH(Table6[[#This Row],[LEAGUE]],Table12[LEAGUE],0))) /$C$37,2)</f>
        <v>0</v>
      </c>
      <c r="AC1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3">
        <f>Table6[[#This Row],[CHEST REW. MOD. NEW]]*($D$14+$D$15+$D$16)</f>
        <v>8100</v>
      </c>
      <c r="AE17" s="293">
        <f t="shared" si="2"/>
        <v>3</v>
      </c>
      <c r="AF17" s="293">
        <f>ROUND((Table6[[#This Row],[DAILY REW. MOD. NEW]]*($E$24+$E$26+$E$28))/7,0)</f>
        <v>3750</v>
      </c>
      <c r="AG17" s="293">
        <f t="shared" si="3"/>
        <v>0.9</v>
      </c>
      <c r="AH17" s="293">
        <f>ROUND((INDEX(Table12[AVG COINS NEW],MATCH(Table6[[#This Row],[LEAGUE]],Table12[LEAGUE],0))) /$C$38,0)</f>
        <v>4470</v>
      </c>
      <c r="AI17" s="293">
        <f>ROUND((INDEX(Table12[AVG GEMS NEW],MATCH(Table6[[#This Row],[LEAGUE]],Table12[LEAGUE],0))) / $C$38,2)</f>
        <v>0</v>
      </c>
      <c r="AJ1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1">
        <v>33000</v>
      </c>
      <c r="AL17" s="322">
        <v>1</v>
      </c>
    </row>
    <row r="18" spans="2:38">
      <c r="B18" s="258">
        <v>5</v>
      </c>
      <c r="C18" s="280" t="s">
        <v>411</v>
      </c>
      <c r="D18" s="298">
        <v>2</v>
      </c>
      <c r="E18" s="301">
        <v>2</v>
      </c>
      <c r="G18" s="325" t="s">
        <v>96</v>
      </c>
      <c r="H18" s="329">
        <f>Table6[[#This Row],[TOTAL COINS]] +Table6[[#This Row],[COINS IN RUNS PER DAY]]</f>
        <v>112111</v>
      </c>
      <c r="I18" s="319">
        <f>Table6[[#This Row],[TOTAL COINS NEW]] + Table6[[#This Row],[COINS IN RUNS PER DAY]]</f>
        <v>112111</v>
      </c>
      <c r="J18" s="317">
        <f>Table6[[#This Row],[CHESTS COINS]] + Table6[[#This Row],[DAILY COINS]]+Table6[[#This Row],[LEAGUES COINS]]+Table6[[#This Row],[MISSIONS COINS]]</f>
        <v>63111</v>
      </c>
      <c r="K18" s="312">
        <f>Table6[[#This Row],[CHESTS GEMS]]+Table6[[#This Row],[DAILY GEMS]]+Table6[[#This Row],[LEAGUES GEMS]]</f>
        <v>3.9</v>
      </c>
      <c r="L18" s="329">
        <f>Table6[[#This Row],[CHESTS COINS NEW]] +Table6[[#This Row],[DAILY COINS NEW]] +Table6[[#This Row],[LEAGUES COINS NEW]] +Table6[[#This Row],[MISSIONS COINS NEW]]</f>
        <v>63111</v>
      </c>
      <c r="M18" s="319">
        <f>Table6[[#This Row],[CHESTS GEMS NEW]] +Table6[[#This Row],[DAILY GEMS NEW]] +Table6[[#This Row],[LEAGUES GEMS NEW]]</f>
        <v>3.9</v>
      </c>
      <c r="N18" s="324">
        <f>Table6[[#This Row],[COINS PER RUN]] *Table6[[#This Row],[RUNS PER DAY]]</f>
        <v>49000</v>
      </c>
      <c r="O18" s="311">
        <v>26</v>
      </c>
      <c r="P18" s="311">
        <v>20</v>
      </c>
      <c r="Q18" s="268">
        <v>26</v>
      </c>
      <c r="R18" s="309">
        <v>20</v>
      </c>
      <c r="S18" s="315">
        <v>5</v>
      </c>
      <c r="T18" s="334">
        <v>1.72</v>
      </c>
      <c r="U18" s="322">
        <v>1.5</v>
      </c>
      <c r="V18" s="333">
        <v>1.27</v>
      </c>
      <c r="W18" s="292">
        <f>Table6[[#This Row],[CHEST REW. MOD.]]*($D$14+$D$15+$D$16)</f>
        <v>11700</v>
      </c>
      <c r="X18" s="288">
        <f t="shared" si="0"/>
        <v>3</v>
      </c>
      <c r="Y18" s="288">
        <f>ROUND((Table6[[#This Row],[DAILY REW. MOD.]]*($D$24+$D$26+$D$28))/7,0)</f>
        <v>5000</v>
      </c>
      <c r="Z18" s="288">
        <f t="shared" si="1"/>
        <v>0.9</v>
      </c>
      <c r="AA18" s="351">
        <f>ROUND((INDEX(Table12[AVG COINS],MATCH(Table6[[#This Row],[LEAGUE]],Table12[LEAGUE],0))) /$C$38,0)</f>
        <v>5955</v>
      </c>
      <c r="AB18" s="351">
        <f>ROUND((INDEX(Table12[AVG GEMS],MATCH(Table6[[#This Row],[LEAGUE]],Table12[LEAGUE],0))) /$C$37,2)</f>
        <v>0</v>
      </c>
      <c r="AC1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3">
        <f>Table6[[#This Row],[CHEST REW. MOD. NEW]]*($D$14+$D$15+$D$16)</f>
        <v>11700</v>
      </c>
      <c r="AE18" s="293">
        <f t="shared" si="2"/>
        <v>3</v>
      </c>
      <c r="AF18" s="293">
        <f>ROUND((Table6[[#This Row],[DAILY REW. MOD. NEW]]*($E$24+$E$26+$E$28))/7,0)</f>
        <v>5000</v>
      </c>
      <c r="AG18" s="293">
        <f t="shared" si="3"/>
        <v>0.9</v>
      </c>
      <c r="AH18" s="293">
        <f>ROUND((INDEX(Table12[AVG COINS NEW],MATCH(Table6[[#This Row],[LEAGUE]],Table12[LEAGUE],0))) /$C$38,0)</f>
        <v>5955</v>
      </c>
      <c r="AI18" s="293">
        <f>ROUND((INDEX(Table12[AVG GEMS NEW],MATCH(Table6[[#This Row],[LEAGUE]],Table12[LEAGUE],0))) / $C$38,2)</f>
        <v>0</v>
      </c>
      <c r="AJ1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1">
        <v>49000</v>
      </c>
      <c r="AL18" s="322">
        <v>1</v>
      </c>
    </row>
    <row r="19" spans="2:38">
      <c r="G19" s="325" t="s">
        <v>97</v>
      </c>
      <c r="H19" s="329">
        <f>Table6[[#This Row],[TOTAL COINS]] +Table6[[#This Row],[COINS IN RUNS PER DAY]]</f>
        <v>140210</v>
      </c>
      <c r="I19" s="319">
        <f>Table6[[#This Row],[TOTAL COINS NEW]] + Table6[[#This Row],[COINS IN RUNS PER DAY]]</f>
        <v>140210</v>
      </c>
      <c r="J19" s="317">
        <f>Table6[[#This Row],[CHESTS COINS]] + Table6[[#This Row],[DAILY COINS]]+Table6[[#This Row],[LEAGUES COINS]]+Table6[[#This Row],[MISSIONS COINS]]</f>
        <v>83210</v>
      </c>
      <c r="K19" s="312">
        <f>Table6[[#This Row],[CHESTS GEMS]]+Table6[[#This Row],[DAILY GEMS]]+Table6[[#This Row],[LEAGUES GEMS]]</f>
        <v>3.9</v>
      </c>
      <c r="L19" s="329">
        <f>Table6[[#This Row],[CHESTS COINS NEW]] +Table6[[#This Row],[DAILY COINS NEW]] +Table6[[#This Row],[LEAGUES COINS NEW]] +Table6[[#This Row],[MISSIONS COINS NEW]]</f>
        <v>83210</v>
      </c>
      <c r="M19" s="319">
        <f>Table6[[#This Row],[CHESTS GEMS NEW]] +Table6[[#This Row],[DAILY GEMS NEW]] +Table6[[#This Row],[LEAGUES GEMS NEW]]</f>
        <v>3.9</v>
      </c>
      <c r="N19" s="324">
        <f>Table6[[#This Row],[COINS PER RUN]] *Table6[[#This Row],[RUNS PER DAY]]</f>
        <v>57000</v>
      </c>
      <c r="O19" s="311">
        <v>35</v>
      </c>
      <c r="P19" s="311">
        <v>20</v>
      </c>
      <c r="Q19" s="268">
        <v>35</v>
      </c>
      <c r="R19" s="309">
        <v>20</v>
      </c>
      <c r="S19" s="315">
        <v>6</v>
      </c>
      <c r="T19" s="334">
        <v>1.74</v>
      </c>
      <c r="U19" s="322">
        <v>1.52</v>
      </c>
      <c r="V19" s="333">
        <v>1.28</v>
      </c>
      <c r="W19" s="292">
        <f>Table6[[#This Row],[CHEST REW. MOD.]]*($D$14+$D$15+$D$16)</f>
        <v>15750</v>
      </c>
      <c r="X19" s="288">
        <f t="shared" si="0"/>
        <v>3</v>
      </c>
      <c r="Y19" s="288">
        <f>ROUND((Table6[[#This Row],[DAILY REW. MOD.]]*($D$24+$D$26+$D$28))/7,0)</f>
        <v>5000</v>
      </c>
      <c r="Z19" s="288">
        <f t="shared" si="1"/>
        <v>0.9</v>
      </c>
      <c r="AA19" s="351">
        <f>ROUND((INDEX(Table12[AVG COINS],MATCH(Table6[[#This Row],[LEAGUE]],Table12[LEAGUE],0))) /$C$38,0)</f>
        <v>7440</v>
      </c>
      <c r="AB19" s="351">
        <f>ROUND((INDEX(Table12[AVG GEMS],MATCH(Table6[[#This Row],[LEAGUE]],Table12[LEAGUE],0))) /$C$37,2)</f>
        <v>0</v>
      </c>
      <c r="AC1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3">
        <f>Table6[[#This Row],[CHEST REW. MOD. NEW]]*($D$14+$D$15+$D$16)</f>
        <v>15750</v>
      </c>
      <c r="AE19" s="293">
        <f t="shared" si="2"/>
        <v>3</v>
      </c>
      <c r="AF19" s="293">
        <f>ROUND((Table6[[#This Row],[DAILY REW. MOD. NEW]]*($E$24+$E$26+$E$28))/7,0)</f>
        <v>5000</v>
      </c>
      <c r="AG19" s="293">
        <f t="shared" si="3"/>
        <v>0.9</v>
      </c>
      <c r="AH19" s="293">
        <f>ROUND((INDEX(Table12[AVG COINS NEW],MATCH(Table6[[#This Row],[LEAGUE]],Table12[LEAGUE],0))) /$C$38,0)</f>
        <v>7440</v>
      </c>
      <c r="AI19" s="293">
        <f>ROUND((INDEX(Table12[AVG GEMS NEW],MATCH(Table6[[#This Row],[LEAGUE]],Table12[LEAGUE],0))) / $C$38,2)</f>
        <v>0</v>
      </c>
      <c r="AJ1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1">
        <v>57000</v>
      </c>
      <c r="AL19" s="322">
        <v>1</v>
      </c>
    </row>
    <row r="20" spans="2:38">
      <c r="G20" s="325" t="s">
        <v>98</v>
      </c>
      <c r="H20" s="329">
        <f>Table6[[#This Row],[TOTAL COINS]] +Table6[[#This Row],[COINS IN RUNS PER DAY]]</f>
        <v>179470</v>
      </c>
      <c r="I20" s="319">
        <f>Table6[[#This Row],[TOTAL COINS NEW]] + Table6[[#This Row],[COINS IN RUNS PER DAY]]</f>
        <v>179470</v>
      </c>
      <c r="J20" s="317">
        <f>Table6[[#This Row],[CHESTS COINS]] + Table6[[#This Row],[DAILY COINS]]+Table6[[#This Row],[LEAGUES COINS]]+Table6[[#This Row],[MISSIONS COINS]]</f>
        <v>107470</v>
      </c>
      <c r="K20" s="312">
        <f>Table6[[#This Row],[CHESTS GEMS]]+Table6[[#This Row],[DAILY GEMS]]+Table6[[#This Row],[LEAGUES GEMS]]</f>
        <v>3.9</v>
      </c>
      <c r="L20" s="329">
        <f>Table6[[#This Row],[CHESTS COINS NEW]] +Table6[[#This Row],[DAILY COINS NEW]] +Table6[[#This Row],[LEAGUES COINS NEW]] +Table6[[#This Row],[MISSIONS COINS NEW]]</f>
        <v>107470</v>
      </c>
      <c r="M20" s="319">
        <f>Table6[[#This Row],[CHESTS GEMS NEW]] +Table6[[#This Row],[DAILY GEMS NEW]] +Table6[[#This Row],[LEAGUES GEMS NEW]]</f>
        <v>3.9</v>
      </c>
      <c r="N20" s="324">
        <f>Table6[[#This Row],[COINS PER RUN]] *Table6[[#This Row],[RUNS PER DAY]]</f>
        <v>72000</v>
      </c>
      <c r="O20" s="311">
        <v>45</v>
      </c>
      <c r="P20" s="311">
        <v>25</v>
      </c>
      <c r="Q20" s="268">
        <v>45</v>
      </c>
      <c r="R20" s="309">
        <v>25</v>
      </c>
      <c r="S20" s="315">
        <v>7</v>
      </c>
      <c r="T20" s="334">
        <v>1.78</v>
      </c>
      <c r="U20" s="322">
        <v>1.55</v>
      </c>
      <c r="V20" s="333">
        <v>1.3</v>
      </c>
      <c r="W20" s="292">
        <f>Table6[[#This Row],[CHEST REW. MOD.]]*($D$14+$D$15+$D$16)</f>
        <v>20250</v>
      </c>
      <c r="X20" s="288">
        <f t="shared" si="0"/>
        <v>3</v>
      </c>
      <c r="Y20" s="288">
        <f>ROUND((Table6[[#This Row],[DAILY REW. MOD.]]*($D$24+$D$26+$D$28))/7,0)</f>
        <v>6250</v>
      </c>
      <c r="Z20" s="288">
        <f t="shared" si="1"/>
        <v>0.9</v>
      </c>
      <c r="AA20" s="351">
        <f>ROUND((INDEX(Table12[AVG COINS],MATCH(Table6[[#This Row],[LEAGUE]],Table12[LEAGUE],0))) /$C$38,0)</f>
        <v>8925</v>
      </c>
      <c r="AB20" s="351">
        <f>ROUND((INDEX(Table12[AVG GEMS],MATCH(Table6[[#This Row],[LEAGUE]],Table12[LEAGUE],0))) /$C$37,2)</f>
        <v>0</v>
      </c>
      <c r="AC2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3">
        <f>Table6[[#This Row],[CHEST REW. MOD. NEW]]*($D$14+$D$15+$D$16)</f>
        <v>20250</v>
      </c>
      <c r="AE20" s="293">
        <f t="shared" si="2"/>
        <v>3</v>
      </c>
      <c r="AF20" s="293">
        <f>ROUND((Table6[[#This Row],[DAILY REW. MOD. NEW]]*($E$24+$E$26+$E$28))/7,0)</f>
        <v>6250</v>
      </c>
      <c r="AG20" s="293">
        <f t="shared" si="3"/>
        <v>0.9</v>
      </c>
      <c r="AH20" s="293">
        <f>ROUND((INDEX(Table12[AVG COINS NEW],MATCH(Table6[[#This Row],[LEAGUE]],Table12[LEAGUE],0))) /$C$38,0)</f>
        <v>8925</v>
      </c>
      <c r="AI20" s="293">
        <f>ROUND((INDEX(Table12[AVG GEMS NEW],MATCH(Table6[[#This Row],[LEAGUE]],Table12[LEAGUE],0))) / $C$38,2)</f>
        <v>0</v>
      </c>
      <c r="AJ2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1">
        <v>72000</v>
      </c>
      <c r="AL20" s="322">
        <v>1</v>
      </c>
    </row>
    <row r="21" spans="2:38">
      <c r="G21" s="325" t="s">
        <v>99</v>
      </c>
      <c r="H21" s="329">
        <f>Table6[[#This Row],[TOTAL COINS]] +Table6[[#This Row],[COINS IN RUNS PER DAY]]</f>
        <v>187954</v>
      </c>
      <c r="I21" s="319">
        <f>Table6[[#This Row],[TOTAL COINS NEW]] + Table6[[#This Row],[COINS IN RUNS PER DAY]]</f>
        <v>187954</v>
      </c>
      <c r="J21" s="317">
        <f>Table6[[#This Row],[CHESTS COINS]] + Table6[[#This Row],[DAILY COINS]]+Table6[[#This Row],[LEAGUES COINS]]+Table6[[#This Row],[MISSIONS COINS]]</f>
        <v>122954</v>
      </c>
      <c r="K21" s="312">
        <f>Table6[[#This Row],[CHESTS GEMS]]+Table6[[#This Row],[DAILY GEMS]]+Table6[[#This Row],[LEAGUES GEMS]]</f>
        <v>3.9299999999999997</v>
      </c>
      <c r="L21" s="329">
        <f>Table6[[#This Row],[CHESTS COINS NEW]] +Table6[[#This Row],[DAILY COINS NEW]] +Table6[[#This Row],[LEAGUES COINS NEW]] +Table6[[#This Row],[MISSIONS COINS NEW]]</f>
        <v>122954</v>
      </c>
      <c r="M21" s="319">
        <f>Table6[[#This Row],[CHESTS GEMS NEW]] +Table6[[#This Row],[DAILY GEMS NEW]] +Table6[[#This Row],[LEAGUES GEMS NEW]]</f>
        <v>4.0999999999999996</v>
      </c>
      <c r="N21" s="324">
        <f>Table6[[#This Row],[COINS PER RUN]] *Table6[[#This Row],[RUNS PER DAY]]</f>
        <v>65000</v>
      </c>
      <c r="O21" s="311">
        <v>56</v>
      </c>
      <c r="P21" s="311">
        <v>30</v>
      </c>
      <c r="Q21" s="268">
        <v>56</v>
      </c>
      <c r="R21" s="309">
        <v>30</v>
      </c>
      <c r="S21" s="315">
        <v>8</v>
      </c>
      <c r="T21" s="334">
        <v>1.5</v>
      </c>
      <c r="U21" s="322">
        <v>1.36</v>
      </c>
      <c r="V21" s="333">
        <v>1.21</v>
      </c>
      <c r="W21" s="292">
        <f>Table6[[#This Row],[CHEST REW. MOD.]]*($D$14+$D$15+$D$16)</f>
        <v>25200</v>
      </c>
      <c r="X21" s="288">
        <f t="shared" si="0"/>
        <v>3</v>
      </c>
      <c r="Y21" s="288">
        <f>ROUND((Table6[[#This Row],[DAILY REW. MOD.]]*($D$24+$D$26+$D$28))/7,0)</f>
        <v>7500</v>
      </c>
      <c r="Z21" s="288">
        <f t="shared" si="1"/>
        <v>0.9</v>
      </c>
      <c r="AA21" s="351">
        <f>ROUND((INDEX(Table12[AVG COINS],MATCH(Table6[[#This Row],[LEAGUE]],Table12[LEAGUE],0))) /$C$38,0)</f>
        <v>9950</v>
      </c>
      <c r="AB21" s="351">
        <f>ROUND((INDEX(Table12[AVG GEMS],MATCH(Table6[[#This Row],[LEAGUE]],Table12[LEAGUE],0))) /$C$37,2)</f>
        <v>0.03</v>
      </c>
      <c r="AC2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3">
        <f>Table6[[#This Row],[CHEST REW. MOD. NEW]]*($D$14+$D$15+$D$16)</f>
        <v>25200</v>
      </c>
      <c r="AE21" s="293">
        <f t="shared" si="2"/>
        <v>3</v>
      </c>
      <c r="AF21" s="293">
        <f>ROUND((Table6[[#This Row],[DAILY REW. MOD. NEW]]*($E$24+$E$26+$E$28))/7,0)</f>
        <v>7500</v>
      </c>
      <c r="AG21" s="293">
        <f t="shared" si="3"/>
        <v>0.9</v>
      </c>
      <c r="AH21" s="293">
        <f>ROUND((INDEX(Table12[AVG COINS NEW],MATCH(Table6[[#This Row],[LEAGUE]],Table12[LEAGUE],0))) /$C$38,0)</f>
        <v>9950</v>
      </c>
      <c r="AI21" s="293">
        <f>ROUND((INDEX(Table12[AVG GEMS NEW],MATCH(Table6[[#This Row],[LEAGUE]],Table12[LEAGUE],0))) / $C$38,2)</f>
        <v>0.2</v>
      </c>
      <c r="AJ2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1">
        <v>65000</v>
      </c>
      <c r="AL21" s="322">
        <v>1</v>
      </c>
    </row>
    <row r="22" spans="2:38">
      <c r="B22" s="620" t="s">
        <v>423</v>
      </c>
      <c r="C22" s="620"/>
      <c r="D22" s="620"/>
      <c r="G22" s="325" t="s">
        <v>143</v>
      </c>
      <c r="H22" s="329">
        <f>Table6[[#This Row],[TOTAL COINS]] +Table6[[#This Row],[COINS IN RUNS PER DAY]]</f>
        <v>221829</v>
      </c>
      <c r="I22" s="319">
        <f>Table6[[#This Row],[TOTAL COINS NEW]] + Table6[[#This Row],[COINS IN RUNS PER DAY]]</f>
        <v>221829</v>
      </c>
      <c r="J22" s="317">
        <f>Table6[[#This Row],[CHESTS COINS]] + Table6[[#This Row],[DAILY COINS]]+Table6[[#This Row],[LEAGUES COINS]]+Table6[[#This Row],[MISSIONS COINS]]</f>
        <v>140829</v>
      </c>
      <c r="K22" s="312">
        <f>Table6[[#This Row],[CHESTS GEMS]]+Table6[[#This Row],[DAILY GEMS]]+Table6[[#This Row],[LEAGUES GEMS]]</f>
        <v>3.9299999999999997</v>
      </c>
      <c r="L22" s="329">
        <f>Table6[[#This Row],[CHESTS COINS NEW]] +Table6[[#This Row],[DAILY COINS NEW]] +Table6[[#This Row],[LEAGUES COINS NEW]] +Table6[[#This Row],[MISSIONS COINS NEW]]</f>
        <v>140829</v>
      </c>
      <c r="M22" s="319">
        <f>Table6[[#This Row],[CHESTS GEMS NEW]] +Table6[[#This Row],[DAILY GEMS NEW]] +Table6[[#This Row],[LEAGUES GEMS NEW]]</f>
        <v>4.0999999999999996</v>
      </c>
      <c r="N22" s="324">
        <f>Table6[[#This Row],[COINS PER RUN]] *Table6[[#This Row],[RUNS PER DAY]]</f>
        <v>81000</v>
      </c>
      <c r="O22" s="311">
        <v>62</v>
      </c>
      <c r="P22" s="311">
        <v>30</v>
      </c>
      <c r="Q22" s="268">
        <v>62</v>
      </c>
      <c r="R22" s="309">
        <v>30</v>
      </c>
      <c r="S22" s="315">
        <v>9</v>
      </c>
      <c r="T22" s="334">
        <v>1.63</v>
      </c>
      <c r="U22" s="322">
        <v>1.45</v>
      </c>
      <c r="V22" s="333">
        <v>1.26</v>
      </c>
      <c r="W22" s="292">
        <f>Table6[[#This Row],[CHEST REW. MOD.]]*($D$14+$D$15+$D$16)</f>
        <v>27900</v>
      </c>
      <c r="X22" s="288">
        <f t="shared" si="0"/>
        <v>3</v>
      </c>
      <c r="Y22" s="288">
        <f>ROUND((Table6[[#This Row],[DAILY REW. MOD.]]*($D$24+$D$26+$D$28))/7,0)</f>
        <v>7500</v>
      </c>
      <c r="Z22" s="288">
        <f t="shared" si="1"/>
        <v>0.9</v>
      </c>
      <c r="AA22" s="351">
        <f>ROUND((INDEX(Table12[AVG COINS],MATCH(Table6[[#This Row],[LEAGUE]],Table12[LEAGUE],0))) /$C$38,0)</f>
        <v>11375</v>
      </c>
      <c r="AB22" s="351">
        <f>ROUND((INDEX(Table12[AVG GEMS],MATCH(Table6[[#This Row],[LEAGUE]],Table12[LEAGUE],0))) /$C$37,2)</f>
        <v>0.03</v>
      </c>
      <c r="AC2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3">
        <f>Table6[[#This Row],[CHEST REW. MOD. NEW]]*($D$14+$D$15+$D$16)</f>
        <v>27900</v>
      </c>
      <c r="AE22" s="293">
        <f t="shared" si="2"/>
        <v>3</v>
      </c>
      <c r="AF22" s="293">
        <f>ROUND((Table6[[#This Row],[DAILY REW. MOD. NEW]]*($E$24+$E$26+$E$28))/7,0)</f>
        <v>7500</v>
      </c>
      <c r="AG22" s="293">
        <f t="shared" si="3"/>
        <v>0.9</v>
      </c>
      <c r="AH22" s="293">
        <f>ROUND((INDEX(Table12[AVG COINS NEW],MATCH(Table6[[#This Row],[LEAGUE]],Table12[LEAGUE],0))) /$C$38,0)</f>
        <v>11375</v>
      </c>
      <c r="AI22" s="293">
        <f>ROUND((INDEX(Table12[AVG GEMS NEW],MATCH(Table6[[#This Row],[LEAGUE]],Table12[LEAGUE],0))) / $C$38,2)</f>
        <v>0.2</v>
      </c>
      <c r="AJ2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1">
        <v>81000</v>
      </c>
      <c r="AL22" s="322">
        <v>1</v>
      </c>
    </row>
    <row r="23" spans="2:38">
      <c r="B23" s="271" t="s">
        <v>421</v>
      </c>
      <c r="C23" s="271" t="s">
        <v>412</v>
      </c>
      <c r="D23" s="302" t="s">
        <v>413</v>
      </c>
      <c r="E23" s="349" t="s">
        <v>454</v>
      </c>
      <c r="G23" s="325" t="s">
        <v>100</v>
      </c>
      <c r="H23" s="329">
        <f>Table6[[#This Row],[TOTAL COINS]] +Table6[[#This Row],[COINS IN RUNS PER DAY]]</f>
        <v>226760</v>
      </c>
      <c r="I23" s="319">
        <f>Table6[[#This Row],[TOTAL COINS NEW]] + Table6[[#This Row],[COINS IN RUNS PER DAY]]</f>
        <v>226760</v>
      </c>
      <c r="J23" s="317">
        <f>Table6[[#This Row],[CHESTS COINS]] + Table6[[#This Row],[DAILY COINS]]+Table6[[#This Row],[LEAGUES COINS]]+Table6[[#This Row],[MISSIONS COINS]]</f>
        <v>148760</v>
      </c>
      <c r="K23" s="312">
        <f>Table6[[#This Row],[CHESTS GEMS]]+Table6[[#This Row],[DAILY GEMS]]+Table6[[#This Row],[LEAGUES GEMS]]</f>
        <v>3.9299999999999997</v>
      </c>
      <c r="L23" s="329">
        <f>Table6[[#This Row],[CHESTS COINS NEW]] +Table6[[#This Row],[DAILY COINS NEW]] +Table6[[#This Row],[LEAGUES COINS NEW]] +Table6[[#This Row],[MISSIONS COINS NEW]]</f>
        <v>148760</v>
      </c>
      <c r="M23" s="319">
        <f>Table6[[#This Row],[CHESTS GEMS NEW]] +Table6[[#This Row],[DAILY GEMS NEW]] +Table6[[#This Row],[LEAGUES GEMS NEW]]</f>
        <v>4.0999999999999996</v>
      </c>
      <c r="N23" s="324">
        <f>Table6[[#This Row],[COINS PER RUN]] *Table6[[#This Row],[RUNS PER DAY]]</f>
        <v>78000</v>
      </c>
      <c r="O23" s="311">
        <v>65</v>
      </c>
      <c r="P23" s="311">
        <v>35</v>
      </c>
      <c r="Q23" s="268">
        <v>65</v>
      </c>
      <c r="R23" s="309">
        <v>35</v>
      </c>
      <c r="S23" s="315">
        <v>9</v>
      </c>
      <c r="T23" s="334">
        <v>1.66</v>
      </c>
      <c r="U23" s="322">
        <v>1.47</v>
      </c>
      <c r="V23" s="333">
        <v>1.26</v>
      </c>
      <c r="W23" s="292">
        <f>Table6[[#This Row],[CHEST REW. MOD.]]*($D$14+$D$15+$D$16)</f>
        <v>29250</v>
      </c>
      <c r="X23" s="288">
        <f t="shared" si="0"/>
        <v>3</v>
      </c>
      <c r="Y23" s="288">
        <f>ROUND((Table6[[#This Row],[DAILY REW. MOD.]]*($D$24+$D$26+$D$28))/7,0)</f>
        <v>8750</v>
      </c>
      <c r="Z23" s="288">
        <f t="shared" si="1"/>
        <v>0.9</v>
      </c>
      <c r="AA23" s="351">
        <f>ROUND((INDEX(Table12[AVG COINS],MATCH(Table6[[#This Row],[LEAGUE]],Table12[LEAGUE],0))) /$C$38,0)</f>
        <v>11375</v>
      </c>
      <c r="AB23" s="351">
        <f>ROUND((INDEX(Table12[AVG GEMS],MATCH(Table6[[#This Row],[LEAGUE]],Table12[LEAGUE],0))) /$C$37,2)</f>
        <v>0.03</v>
      </c>
      <c r="AC2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3">
        <f>Table6[[#This Row],[CHEST REW. MOD. NEW]]*($D$14+$D$15+$D$16)</f>
        <v>29250</v>
      </c>
      <c r="AE23" s="293">
        <f t="shared" si="2"/>
        <v>3</v>
      </c>
      <c r="AF23" s="293">
        <f>ROUND((Table6[[#This Row],[DAILY REW. MOD. NEW]]*($E$24+$E$26+$E$28))/7,0)</f>
        <v>8750</v>
      </c>
      <c r="AG23" s="293">
        <f t="shared" si="3"/>
        <v>0.9</v>
      </c>
      <c r="AH23" s="293">
        <f>ROUND((INDEX(Table12[AVG COINS NEW],MATCH(Table6[[#This Row],[LEAGUE]],Table12[LEAGUE],0))) /$C$38,0)</f>
        <v>11375</v>
      </c>
      <c r="AI23" s="293">
        <f>ROUND((INDEX(Table12[AVG GEMS NEW],MATCH(Table6[[#This Row],[LEAGUE]],Table12[LEAGUE],0))) / $C$38,2)</f>
        <v>0.2</v>
      </c>
      <c r="AJ2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1">
        <v>78000</v>
      </c>
      <c r="AL23" s="322">
        <v>1</v>
      </c>
    </row>
    <row r="24" spans="2:38">
      <c r="B24" s="260">
        <v>1</v>
      </c>
      <c r="C24" s="279" t="s">
        <v>417</v>
      </c>
      <c r="D24" s="298">
        <v>250</v>
      </c>
      <c r="E24" s="353">
        <v>250</v>
      </c>
      <c r="G24" s="325" t="s">
        <v>101</v>
      </c>
      <c r="H24" s="329">
        <f>Table6[[#This Row],[TOTAL COINS]] +Table6[[#This Row],[COINS IN RUNS PER DAY]]</f>
        <v>243035</v>
      </c>
      <c r="I24" s="319">
        <f>Table6[[#This Row],[TOTAL COINS NEW]] + Table6[[#This Row],[COINS IN RUNS PER DAY]]</f>
        <v>243035</v>
      </c>
      <c r="J24" s="317">
        <f>Table6[[#This Row],[CHESTS COINS]] + Table6[[#This Row],[DAILY COINS]]+Table6[[#This Row],[LEAGUES COINS]]+Table6[[#This Row],[MISSIONS COINS]]</f>
        <v>156035</v>
      </c>
      <c r="K24" s="312">
        <f>Table6[[#This Row],[CHESTS GEMS]]+Table6[[#This Row],[DAILY GEMS]]+Table6[[#This Row],[LEAGUES GEMS]]</f>
        <v>3.96</v>
      </c>
      <c r="L24" s="329">
        <f>Table6[[#This Row],[CHESTS COINS NEW]] +Table6[[#This Row],[DAILY COINS NEW]] +Table6[[#This Row],[LEAGUES COINS NEW]] +Table6[[#This Row],[MISSIONS COINS NEW]]</f>
        <v>156035</v>
      </c>
      <c r="M24" s="319">
        <f>Table6[[#This Row],[CHESTS GEMS NEW]] +Table6[[#This Row],[DAILY GEMS NEW]] +Table6[[#This Row],[LEAGUES GEMS NEW]]</f>
        <v>4.3</v>
      </c>
      <c r="N24" s="324">
        <f>Table6[[#This Row],[COINS PER RUN]] *Table6[[#This Row],[RUNS PER DAY]]</f>
        <v>87000</v>
      </c>
      <c r="O24" s="311">
        <v>70</v>
      </c>
      <c r="P24" s="311">
        <v>35</v>
      </c>
      <c r="Q24" s="268">
        <v>70</v>
      </c>
      <c r="R24" s="309">
        <v>35</v>
      </c>
      <c r="S24" s="315">
        <v>10</v>
      </c>
      <c r="T24" s="334">
        <v>1.57</v>
      </c>
      <c r="U24" s="322">
        <v>1.4</v>
      </c>
      <c r="V24" s="333">
        <v>1.24</v>
      </c>
      <c r="W24" s="292">
        <f>Table6[[#This Row],[CHEST REW. MOD.]]*($D$14+$D$15+$D$16)</f>
        <v>31500</v>
      </c>
      <c r="X24" s="288">
        <f t="shared" si="0"/>
        <v>3</v>
      </c>
      <c r="Y24" s="288">
        <f>ROUND((Table6[[#This Row],[DAILY REW. MOD.]]*($D$24+$D$26+$D$28))/7,0)</f>
        <v>8750</v>
      </c>
      <c r="Z24" s="288">
        <f t="shared" si="1"/>
        <v>0.9</v>
      </c>
      <c r="AA24" s="351">
        <f>ROUND((INDEX(Table12[AVG COINS],MATCH(Table6[[#This Row],[LEAGUE]],Table12[LEAGUE],0))) /$C$38,0)</f>
        <v>12325</v>
      </c>
      <c r="AB24" s="351">
        <f>ROUND((INDEX(Table12[AVG GEMS],MATCH(Table6[[#This Row],[LEAGUE]],Table12[LEAGUE],0))) /$C$37,2)</f>
        <v>0.06</v>
      </c>
      <c r="AC2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3">
        <f>Table6[[#This Row],[CHEST REW. MOD. NEW]]*($D$14+$D$15+$D$16)</f>
        <v>31500</v>
      </c>
      <c r="AE24" s="293">
        <f t="shared" si="2"/>
        <v>3</v>
      </c>
      <c r="AF24" s="293">
        <f>ROUND((Table6[[#This Row],[DAILY REW. MOD. NEW]]*($E$24+$E$26+$E$28))/7,0)</f>
        <v>8750</v>
      </c>
      <c r="AG24" s="293">
        <f t="shared" si="3"/>
        <v>0.9</v>
      </c>
      <c r="AH24" s="293">
        <f>ROUND((INDEX(Table12[AVG COINS NEW],MATCH(Table6[[#This Row],[LEAGUE]],Table12[LEAGUE],0))) /$C$38,0)</f>
        <v>12325</v>
      </c>
      <c r="AI24" s="293">
        <f>ROUND((INDEX(Table12[AVG GEMS NEW],MATCH(Table6[[#This Row],[LEAGUE]],Table12[LEAGUE],0))) / $C$38,2)</f>
        <v>0.4</v>
      </c>
      <c r="AJ2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1">
        <v>87000</v>
      </c>
      <c r="AL24" s="322">
        <v>1</v>
      </c>
    </row>
    <row r="25" spans="2:38">
      <c r="B25" s="258">
        <v>2</v>
      </c>
      <c r="C25" s="279" t="s">
        <v>418</v>
      </c>
      <c r="D25" s="298">
        <v>1</v>
      </c>
      <c r="E25" s="354">
        <v>1</v>
      </c>
      <c r="G25" s="325" t="s">
        <v>144</v>
      </c>
      <c r="H25" s="329">
        <f>Table6[[#This Row],[TOTAL COINS]] +Table6[[#This Row],[COINS IN RUNS PER DAY]]</f>
        <v>233315</v>
      </c>
      <c r="I25" s="319">
        <f>Table6[[#This Row],[TOTAL COINS NEW]] + Table6[[#This Row],[COINS IN RUNS PER DAY]]</f>
        <v>233315</v>
      </c>
      <c r="J25" s="317">
        <f>Table6[[#This Row],[CHESTS COINS]] + Table6[[#This Row],[DAILY COINS]]+Table6[[#This Row],[LEAGUES COINS]]+Table6[[#This Row],[MISSIONS COINS]]</f>
        <v>148315</v>
      </c>
      <c r="K25" s="312">
        <f>Table6[[#This Row],[CHESTS GEMS]]+Table6[[#This Row],[DAILY GEMS]]+Table6[[#This Row],[LEAGUES GEMS]]</f>
        <v>3.96</v>
      </c>
      <c r="L25" s="329">
        <f>Table6[[#This Row],[CHESTS COINS NEW]] +Table6[[#This Row],[DAILY COINS NEW]] +Table6[[#This Row],[LEAGUES COINS NEW]] +Table6[[#This Row],[MISSIONS COINS NEW]]</f>
        <v>148315</v>
      </c>
      <c r="M25" s="319">
        <f>Table6[[#This Row],[CHESTS GEMS NEW]] +Table6[[#This Row],[DAILY GEMS NEW]] +Table6[[#This Row],[LEAGUES GEMS NEW]]</f>
        <v>4.3</v>
      </c>
      <c r="N25" s="324">
        <f>Table6[[#This Row],[COINS PER RUN]] *Table6[[#This Row],[RUNS PER DAY]]</f>
        <v>85000</v>
      </c>
      <c r="O25" s="311">
        <v>70</v>
      </c>
      <c r="P25" s="311">
        <v>38</v>
      </c>
      <c r="Q25" s="268">
        <v>70</v>
      </c>
      <c r="R25" s="309">
        <v>38</v>
      </c>
      <c r="S25" s="315">
        <v>10</v>
      </c>
      <c r="T25" s="334">
        <v>1.37</v>
      </c>
      <c r="U25" s="322">
        <v>1.27</v>
      </c>
      <c r="V25" s="333">
        <v>1.17</v>
      </c>
      <c r="W25" s="292">
        <f>Table6[[#This Row],[CHEST REW. MOD.]]*($D$14+$D$15+$D$16)</f>
        <v>31500</v>
      </c>
      <c r="X25" s="288">
        <f t="shared" si="0"/>
        <v>3</v>
      </c>
      <c r="Y25" s="288">
        <f>ROUND((Table6[[#This Row],[DAILY REW. MOD.]]*($D$24+$D$26+$D$28))/7,0)</f>
        <v>9500</v>
      </c>
      <c r="Z25" s="288">
        <f t="shared" si="1"/>
        <v>0.9</v>
      </c>
      <c r="AA25" s="351">
        <f>ROUND((INDEX(Table12[AVG COINS],MATCH(Table6[[#This Row],[LEAGUE]],Table12[LEAGUE],0))) /$C$38,0)</f>
        <v>12325</v>
      </c>
      <c r="AB25" s="351">
        <f>ROUND((INDEX(Table12[AVG GEMS],MATCH(Table6[[#This Row],[LEAGUE]],Table12[LEAGUE],0))) /$C$37,2)</f>
        <v>0.06</v>
      </c>
      <c r="AC2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3">
        <f>Table6[[#This Row],[CHEST REW. MOD. NEW]]*($D$14+$D$15+$D$16)</f>
        <v>31500</v>
      </c>
      <c r="AE25" s="293">
        <f t="shared" si="2"/>
        <v>3</v>
      </c>
      <c r="AF25" s="293">
        <f>ROUND((Table6[[#This Row],[DAILY REW. MOD. NEW]]*($E$24+$E$26+$E$28))/7,0)</f>
        <v>9500</v>
      </c>
      <c r="AG25" s="293">
        <f t="shared" si="3"/>
        <v>0.9</v>
      </c>
      <c r="AH25" s="293">
        <f>ROUND((INDEX(Table12[AVG COINS NEW],MATCH(Table6[[#This Row],[LEAGUE]],Table12[LEAGUE],0))) /$C$38,0)</f>
        <v>12325</v>
      </c>
      <c r="AI25" s="293">
        <f>ROUND((INDEX(Table12[AVG GEMS NEW],MATCH(Table6[[#This Row],[LEAGUE]],Table12[LEAGUE],0))) / $C$38,2)</f>
        <v>0.4</v>
      </c>
      <c r="AJ2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1">
        <v>85000</v>
      </c>
      <c r="AL25" s="322">
        <v>1</v>
      </c>
    </row>
    <row r="26" spans="2:38">
      <c r="B26" s="258">
        <v>3</v>
      </c>
      <c r="C26" s="279" t="s">
        <v>417</v>
      </c>
      <c r="D26" s="298">
        <v>500</v>
      </c>
      <c r="E26" s="354">
        <v>500</v>
      </c>
      <c r="G26" s="327" t="s">
        <v>217</v>
      </c>
      <c r="H26" s="329">
        <f>Table6[[#This Row],[TOTAL COINS]] +Table6[[#This Row],[COINS IN RUNS PER DAY]]</f>
        <v>277865</v>
      </c>
      <c r="I26" s="319">
        <f>Table6[[#This Row],[TOTAL COINS NEW]] + Table6[[#This Row],[COINS IN RUNS PER DAY]]</f>
        <v>277865</v>
      </c>
      <c r="J26" s="317">
        <f>Table6[[#This Row],[CHESTS COINS]] + Table6[[#This Row],[DAILY COINS]]+Table6[[#This Row],[LEAGUES COINS]]+Table6[[#This Row],[MISSIONS COINS]]</f>
        <v>152865</v>
      </c>
      <c r="K26" s="312">
        <f>Table6[[#This Row],[CHESTS GEMS]]+Table6[[#This Row],[DAILY GEMS]]+Table6[[#This Row],[LEAGUES GEMS]]</f>
        <v>3.96</v>
      </c>
      <c r="L26" s="329">
        <f>Table6[[#This Row],[CHESTS COINS NEW]] +Table6[[#This Row],[DAILY COINS NEW]] +Table6[[#This Row],[LEAGUES COINS NEW]] +Table6[[#This Row],[MISSIONS COINS NEW]]</f>
        <v>152865</v>
      </c>
      <c r="M26" s="319">
        <f>Table6[[#This Row],[CHESTS GEMS NEW]] +Table6[[#This Row],[DAILY GEMS NEW]] +Table6[[#This Row],[LEAGUES GEMS NEW]]</f>
        <v>4.3</v>
      </c>
      <c r="N26" s="324">
        <f>Table6[[#This Row],[COINS PER RUN]] *Table6[[#This Row],[RUNS PER DAY]]</f>
        <v>125000</v>
      </c>
      <c r="O26" s="311">
        <v>70</v>
      </c>
      <c r="P26" s="311">
        <v>38</v>
      </c>
      <c r="Q26" s="268">
        <v>70</v>
      </c>
      <c r="R26" s="309">
        <v>38</v>
      </c>
      <c r="S26" s="315">
        <v>10</v>
      </c>
      <c r="T26" s="334">
        <v>1.47</v>
      </c>
      <c r="U26" s="322">
        <v>1.34</v>
      </c>
      <c r="V26" s="333">
        <v>1.21</v>
      </c>
      <c r="W26" s="292">
        <f>Table6[[#This Row],[CHEST REW. MOD.]]*($D$14+$D$15+$D$16)</f>
        <v>31500</v>
      </c>
      <c r="X26" s="288">
        <f t="shared" si="0"/>
        <v>3</v>
      </c>
      <c r="Y26" s="288">
        <f>ROUND((Table6[[#This Row],[DAILY REW. MOD.]]*($D$24+$D$26+$D$28))/7,0)</f>
        <v>9500</v>
      </c>
      <c r="Z26" s="288">
        <f t="shared" si="1"/>
        <v>0.9</v>
      </c>
      <c r="AA26" s="351">
        <f>ROUND((INDEX(Table12[AVG COINS],MATCH(Table6[[#This Row],[LEAGUE]],Table12[LEAGUE],0))) /$C$38,0)</f>
        <v>12325</v>
      </c>
      <c r="AB26" s="351">
        <f>ROUND((INDEX(Table12[AVG GEMS],MATCH(Table6[[#This Row],[LEAGUE]],Table12[LEAGUE],0))) /$C$37,2)</f>
        <v>0.06</v>
      </c>
      <c r="AC2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3">
        <f>Table6[[#This Row],[CHEST REW. MOD. NEW]]*($D$14+$D$15+$D$16)</f>
        <v>31500</v>
      </c>
      <c r="AE26" s="293">
        <f t="shared" si="2"/>
        <v>3</v>
      </c>
      <c r="AF26" s="293">
        <f>ROUND((Table6[[#This Row],[DAILY REW. MOD. NEW]]*($E$24+$E$26+$E$28))/7,0)</f>
        <v>9500</v>
      </c>
      <c r="AG26" s="293">
        <f t="shared" si="3"/>
        <v>0.9</v>
      </c>
      <c r="AH26" s="293">
        <f>ROUND((INDEX(Table12[AVG COINS NEW],MATCH(Table6[[#This Row],[LEAGUE]],Table12[LEAGUE],0))) /$C$38,0)</f>
        <v>12325</v>
      </c>
      <c r="AI26" s="293">
        <f>ROUND((INDEX(Table12[AVG GEMS NEW],MATCH(Table6[[#This Row],[LEAGUE]],Table12[LEAGUE],0))) / $C$38,2)</f>
        <v>0.4</v>
      </c>
      <c r="AJ2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1">
        <v>125000</v>
      </c>
      <c r="AL26" s="322">
        <v>1</v>
      </c>
    </row>
    <row r="27" spans="2:38">
      <c r="B27" s="258">
        <v>4</v>
      </c>
      <c r="C27" s="279" t="s">
        <v>418</v>
      </c>
      <c r="D27" s="298">
        <v>2</v>
      </c>
      <c r="E27" s="354">
        <v>2</v>
      </c>
      <c r="G27" s="325" t="s">
        <v>519</v>
      </c>
      <c r="H27" s="329">
        <f>Table6[[#This Row],[TOTAL COINS]] +Table6[[#This Row],[COINS IN RUNS PER DAY]]</f>
        <v>260325</v>
      </c>
      <c r="I27" s="319">
        <f>Table6[[#This Row],[TOTAL COINS NEW]] + Table6[[#This Row],[COINS IN RUNS PER DAY]]</f>
        <v>260325</v>
      </c>
      <c r="J27" s="317">
        <f>Table6[[#This Row],[CHESTS COINS]] + Table6[[#This Row],[DAILY COINS]]+Table6[[#This Row],[LEAGUES COINS]]+Table6[[#This Row],[MISSIONS COINS]]</f>
        <v>130325</v>
      </c>
      <c r="K27" s="312">
        <f>Table6[[#This Row],[CHESTS GEMS]]+Table6[[#This Row],[DAILY GEMS]]+Table6[[#This Row],[LEAGUES GEMS]]</f>
        <v>3.96</v>
      </c>
      <c r="L27" s="329">
        <f>Table6[[#This Row],[CHESTS COINS NEW]] +Table6[[#This Row],[DAILY COINS NEW]] +Table6[[#This Row],[LEAGUES COINS NEW]] +Table6[[#This Row],[MISSIONS COINS NEW]]</f>
        <v>130325</v>
      </c>
      <c r="M27" s="319">
        <f>Table6[[#This Row],[CHESTS GEMS NEW]] +Table6[[#This Row],[DAILY GEMS NEW]] +Table6[[#This Row],[LEAGUES GEMS NEW]]</f>
        <v>4.3</v>
      </c>
      <c r="N27" s="324">
        <f>Table6[[#This Row],[COINS PER RUN]] *Table6[[#This Row],[RUNS PER DAY]]</f>
        <v>130000</v>
      </c>
      <c r="O27" s="311">
        <v>70</v>
      </c>
      <c r="P27" s="311">
        <v>38</v>
      </c>
      <c r="Q27" s="268">
        <v>70</v>
      </c>
      <c r="R27" s="309">
        <v>38</v>
      </c>
      <c r="S27" s="315">
        <v>10</v>
      </c>
      <c r="T27" s="334">
        <v>1</v>
      </c>
      <c r="U27" s="322">
        <v>1</v>
      </c>
      <c r="V27" s="333">
        <v>1</v>
      </c>
      <c r="W27" s="292">
        <f>Table6[[#This Row],[CHEST REW. MOD.]]*($D$14+$D$15+$D$16)</f>
        <v>31500</v>
      </c>
      <c r="X27" s="288">
        <f t="shared" si="0"/>
        <v>3</v>
      </c>
      <c r="Y27" s="288">
        <f>ROUND((Table6[[#This Row],[DAILY REW. MOD.]]*($D$24+$D$26+$D$28))/7,0)</f>
        <v>9500</v>
      </c>
      <c r="Z27" s="288">
        <f t="shared" si="1"/>
        <v>0.9</v>
      </c>
      <c r="AA27" s="351">
        <f>ROUND((INDEX(Table12[AVG COINS],MATCH(Table6[[#This Row],[LEAGUE]],Table12[LEAGUE],0))) /$C$38,0)</f>
        <v>12325</v>
      </c>
      <c r="AB27" s="351">
        <f>ROUND((INDEX(Table12[AVG GEMS],MATCH(Table6[[#This Row],[LEAGUE]],Table12[LEAGUE],0))) /$C$37,2)</f>
        <v>0.06</v>
      </c>
      <c r="AC2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3">
        <f>Table6[[#This Row],[CHEST REW. MOD. NEW]]*($D$14+$D$15+$D$16)</f>
        <v>31500</v>
      </c>
      <c r="AE27" s="293">
        <f t="shared" si="2"/>
        <v>3</v>
      </c>
      <c r="AF27" s="293">
        <f>ROUND((Table6[[#This Row],[DAILY REW. MOD. NEW]]*($E$24+$E$26+$E$28))/7,0)</f>
        <v>9500</v>
      </c>
      <c r="AG27" s="293">
        <f t="shared" si="3"/>
        <v>0.9</v>
      </c>
      <c r="AH27" s="293">
        <f>ROUND((INDEX(Table12[AVG COINS NEW],MATCH(Table6[[#This Row],[LEAGUE]],Table12[LEAGUE],0))) /$C$38,0)</f>
        <v>12325</v>
      </c>
      <c r="AI27" s="293">
        <f>ROUND((INDEX(Table12[AVG GEMS NEW],MATCH(Table6[[#This Row],[LEAGUE]],Table12[LEAGUE],0))) / $C$38,2)</f>
        <v>0.4</v>
      </c>
      <c r="AJ2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1">
        <v>130000</v>
      </c>
      <c r="AL27" s="322">
        <v>1</v>
      </c>
    </row>
    <row r="28" spans="2:38">
      <c r="B28" s="258">
        <v>5</v>
      </c>
      <c r="C28" s="279" t="s">
        <v>417</v>
      </c>
      <c r="D28" s="298">
        <v>1000</v>
      </c>
      <c r="E28" s="354">
        <v>1000</v>
      </c>
      <c r="G28" s="325" t="s">
        <v>769</v>
      </c>
      <c r="H28" s="329">
        <f>Table6[[#This Row],[TOTAL COINS]] +Table6[[#This Row],[COINS IN RUNS PER DAY]]</f>
        <v>260325</v>
      </c>
      <c r="I28" s="319">
        <f>Table6[[#This Row],[TOTAL COINS NEW]] + Table6[[#This Row],[COINS IN RUNS PER DAY]]</f>
        <v>260325</v>
      </c>
      <c r="J28" s="317">
        <f>Table6[[#This Row],[CHESTS COINS]] + Table6[[#This Row],[DAILY COINS]]+Table6[[#This Row],[LEAGUES COINS]]+Table6[[#This Row],[MISSIONS COINS]]</f>
        <v>130325</v>
      </c>
      <c r="K28" s="312">
        <f>Table6[[#This Row],[CHESTS GEMS]]+Table6[[#This Row],[DAILY GEMS]]+Table6[[#This Row],[LEAGUES GEMS]]</f>
        <v>3.96</v>
      </c>
      <c r="L28" s="329">
        <f>Table6[[#This Row],[CHESTS COINS NEW]] +Table6[[#This Row],[DAILY COINS NEW]] +Table6[[#This Row],[LEAGUES COINS NEW]] +Table6[[#This Row],[MISSIONS COINS NEW]]</f>
        <v>130325</v>
      </c>
      <c r="M28" s="319">
        <f>Table6[[#This Row],[CHESTS GEMS NEW]] +Table6[[#This Row],[DAILY GEMS NEW]] +Table6[[#This Row],[LEAGUES GEMS NEW]]</f>
        <v>4.3</v>
      </c>
      <c r="N28" s="324">
        <f>Table6[[#This Row],[COINS PER RUN]] *Table6[[#This Row],[RUNS PER DAY]]</f>
        <v>130000</v>
      </c>
      <c r="O28" s="311">
        <v>70</v>
      </c>
      <c r="P28" s="311">
        <v>38</v>
      </c>
      <c r="Q28" s="268">
        <v>70</v>
      </c>
      <c r="R28" s="309">
        <v>38</v>
      </c>
      <c r="S28" s="315">
        <v>10</v>
      </c>
      <c r="T28" s="334">
        <v>1</v>
      </c>
      <c r="U28" s="322">
        <v>1</v>
      </c>
      <c r="V28" s="333">
        <v>1</v>
      </c>
      <c r="W28" s="292">
        <f>Table6[[#This Row],[CHEST REW. MOD.]]*($D$14+$D$15+$D$16)</f>
        <v>31500</v>
      </c>
      <c r="X28" s="288">
        <f t="shared" si="0"/>
        <v>3</v>
      </c>
      <c r="Y28" s="288">
        <f>ROUND((Table6[[#This Row],[DAILY REW. MOD.]]*($D$24+$D$26+$D$28))/7,0)</f>
        <v>9500</v>
      </c>
      <c r="Z28" s="288">
        <f t="shared" si="1"/>
        <v>0.9</v>
      </c>
      <c r="AA28" s="351">
        <f>ROUND((INDEX(Table12[AVG COINS],MATCH(Table6[[#This Row],[LEAGUE]],Table12[LEAGUE],0))) /$C$38,0)</f>
        <v>12325</v>
      </c>
      <c r="AB28" s="351">
        <f>ROUND((INDEX(Table12[AVG GEMS],MATCH(Table6[[#This Row],[LEAGUE]],Table12[LEAGUE],0))) /$C$37,2)</f>
        <v>0.06</v>
      </c>
      <c r="AC2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3">
        <f>Table6[[#This Row],[CHEST REW. MOD. NEW]]*($D$14+$D$15+$D$16)</f>
        <v>31500</v>
      </c>
      <c r="AE28" s="293">
        <f t="shared" si="2"/>
        <v>3</v>
      </c>
      <c r="AF28" s="293">
        <f>ROUND((Table6[[#This Row],[DAILY REW. MOD. NEW]]*($E$24+$E$26+$E$28))/7,0)</f>
        <v>9500</v>
      </c>
      <c r="AG28" s="293">
        <f t="shared" si="3"/>
        <v>0.9</v>
      </c>
      <c r="AH28" s="293">
        <f>ROUND((INDEX(Table12[AVG COINS NEW],MATCH(Table6[[#This Row],[LEAGUE]],Table12[LEAGUE],0))) /$C$38,0)</f>
        <v>12325</v>
      </c>
      <c r="AI28" s="293">
        <f>ROUND((INDEX(Table12[AVG GEMS NEW],MATCH(Table6[[#This Row],[LEAGUE]],Table12[LEAGUE],0))) / $C$38,2)</f>
        <v>0.4</v>
      </c>
      <c r="AJ2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1">
        <v>130000</v>
      </c>
      <c r="AL28" s="322">
        <v>1</v>
      </c>
    </row>
    <row r="29" spans="2:38">
      <c r="B29" s="258">
        <v>6</v>
      </c>
      <c r="C29" s="279" t="s">
        <v>418</v>
      </c>
      <c r="D29" s="298">
        <v>3</v>
      </c>
      <c r="E29" s="354">
        <v>3</v>
      </c>
      <c r="G29" s="325" t="s">
        <v>770</v>
      </c>
      <c r="H29" s="329">
        <f>Table6[[#This Row],[TOTAL COINS]] +Table6[[#This Row],[COINS IN RUNS PER DAY]]</f>
        <v>260325</v>
      </c>
      <c r="I29" s="319">
        <f>Table6[[#This Row],[TOTAL COINS NEW]] + Table6[[#This Row],[COINS IN RUNS PER DAY]]</f>
        <v>260325</v>
      </c>
      <c r="J29" s="317">
        <f>Table6[[#This Row],[CHESTS COINS]] + Table6[[#This Row],[DAILY COINS]]+Table6[[#This Row],[LEAGUES COINS]]+Table6[[#This Row],[MISSIONS COINS]]</f>
        <v>130325</v>
      </c>
      <c r="K29" s="312">
        <f>Table6[[#This Row],[CHESTS GEMS]]+Table6[[#This Row],[DAILY GEMS]]+Table6[[#This Row],[LEAGUES GEMS]]</f>
        <v>3.96</v>
      </c>
      <c r="L29" s="329">
        <f>Table6[[#This Row],[CHESTS COINS NEW]] +Table6[[#This Row],[DAILY COINS NEW]] +Table6[[#This Row],[LEAGUES COINS NEW]] +Table6[[#This Row],[MISSIONS COINS NEW]]</f>
        <v>130325</v>
      </c>
      <c r="M29" s="319">
        <f>Table6[[#This Row],[CHESTS GEMS NEW]] +Table6[[#This Row],[DAILY GEMS NEW]] +Table6[[#This Row],[LEAGUES GEMS NEW]]</f>
        <v>4.3</v>
      </c>
      <c r="N29" s="324">
        <f>Table6[[#This Row],[COINS PER RUN]] *Table6[[#This Row],[RUNS PER DAY]]</f>
        <v>130000</v>
      </c>
      <c r="O29" s="311">
        <v>70</v>
      </c>
      <c r="P29" s="456">
        <v>38</v>
      </c>
      <c r="Q29" s="268">
        <v>70</v>
      </c>
      <c r="R29" s="309">
        <v>38</v>
      </c>
      <c r="S29" s="315">
        <v>10</v>
      </c>
      <c r="T29" s="457">
        <v>1</v>
      </c>
      <c r="U29" s="322">
        <v>1</v>
      </c>
      <c r="V29" s="333">
        <v>1</v>
      </c>
      <c r="W29" s="292">
        <f>Table6[[#This Row],[CHEST REW. MOD.]]*($D$14+$D$15+$D$16)</f>
        <v>31500</v>
      </c>
      <c r="X29" s="288">
        <f t="shared" si="0"/>
        <v>3</v>
      </c>
      <c r="Y29" s="288">
        <f>ROUND((Table6[[#This Row],[DAILY REW. MOD.]]*($D$24+$D$26+$D$28))/7,0)</f>
        <v>9500</v>
      </c>
      <c r="Z29" s="288">
        <f t="shared" si="1"/>
        <v>0.9</v>
      </c>
      <c r="AA29" s="351">
        <f>ROUND((INDEX(Table12[AVG COINS],MATCH(Table6[[#This Row],[LEAGUE]],Table12[LEAGUE],0))) /$C$38,0)</f>
        <v>12325</v>
      </c>
      <c r="AB29" s="351">
        <f>ROUND((INDEX(Table12[AVG GEMS],MATCH(Table6[[#This Row],[LEAGUE]],Table12[LEAGUE],0))) /$C$37,2)</f>
        <v>0.06</v>
      </c>
      <c r="AC2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3">
        <f>Table6[[#This Row],[CHEST REW. MOD. NEW]]*($D$14+$D$15+$D$16)</f>
        <v>31500</v>
      </c>
      <c r="AE29" s="293">
        <f t="shared" si="2"/>
        <v>3</v>
      </c>
      <c r="AF29" s="293">
        <f>ROUND((Table6[[#This Row],[DAILY REW. MOD. NEW]]*($E$24+$E$26+$E$28))/7,0)</f>
        <v>9500</v>
      </c>
      <c r="AG29" s="293">
        <f t="shared" si="3"/>
        <v>0.9</v>
      </c>
      <c r="AH29" s="293">
        <f>ROUND((INDEX(Table12[AVG COINS NEW],MATCH(Table6[[#This Row],[LEAGUE]],Table12[LEAGUE],0))) /$C$38,0)</f>
        <v>12325</v>
      </c>
      <c r="AI29" s="293">
        <f>ROUND((INDEX(Table12[AVG GEMS NEW],MATCH(Table6[[#This Row],[LEAGUE]],Table12[LEAGUE],0))) / $C$38,2)</f>
        <v>0.4</v>
      </c>
      <c r="AJ2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1">
        <v>130000</v>
      </c>
      <c r="AL29" s="322">
        <v>1</v>
      </c>
    </row>
    <row r="30" spans="2:38">
      <c r="B30" s="258">
        <v>7</v>
      </c>
      <c r="C30" s="279" t="s">
        <v>419</v>
      </c>
      <c r="D30" s="298">
        <v>1</v>
      </c>
      <c r="E30" s="354">
        <v>1</v>
      </c>
      <c r="G30" s="325" t="s">
        <v>400</v>
      </c>
      <c r="H30" s="482">
        <f>Table6[[#This Row],[TOTAL COINS]] +Table6[[#This Row],[COINS IN RUNS PER DAY]]</f>
        <v>138575</v>
      </c>
      <c r="I30" s="319">
        <f>Table6[[#This Row],[TOTAL COINS NEW]] + Table6[[#This Row],[COINS IN RUNS PER DAY]]</f>
        <v>138575</v>
      </c>
      <c r="J30" s="458">
        <f>Table6[[#This Row],[CHESTS COINS]] + Table6[[#This Row],[DAILY COINS]]+Table6[[#This Row],[LEAGUES COINS]]+Table6[[#This Row],[MISSIONS COINS]]</f>
        <v>138575</v>
      </c>
      <c r="K30" s="312">
        <f>Table6[[#This Row],[CHESTS GEMS]]+Table6[[#This Row],[DAILY GEMS]]+Table6[[#This Row],[LEAGUES GEMS]]</f>
        <v>3.96</v>
      </c>
      <c r="L30" s="329">
        <f>Table6[[#This Row],[CHESTS COINS NEW]] +Table6[[#This Row],[DAILY COINS NEW]] +Table6[[#This Row],[LEAGUES COINS NEW]] +Table6[[#This Row],[MISSIONS COINS NEW]]</f>
        <v>138575</v>
      </c>
      <c r="M30" s="319">
        <f>Table6[[#This Row],[CHESTS GEMS NEW]] +Table6[[#This Row],[DAILY GEMS NEW]] +Table6[[#This Row],[LEAGUES GEMS NEW]]</f>
        <v>4.3</v>
      </c>
      <c r="N30" s="324">
        <f>Table6[[#This Row],[COINS PER RUN]] *Table6[[#This Row],[RUNS PER DAY]]</f>
        <v>0</v>
      </c>
      <c r="O30" s="311">
        <v>75</v>
      </c>
      <c r="P30" s="311">
        <v>40</v>
      </c>
      <c r="Q30" s="268">
        <v>75</v>
      </c>
      <c r="R30" s="309">
        <v>40</v>
      </c>
      <c r="S30" s="315">
        <v>10</v>
      </c>
      <c r="T30" s="334">
        <v>1</v>
      </c>
      <c r="U30" s="322">
        <v>1</v>
      </c>
      <c r="V30" s="333">
        <v>1</v>
      </c>
      <c r="W30" s="292">
        <f>Table6[[#This Row],[CHEST REW. MOD.]]*($D$14+$D$15+$D$16)</f>
        <v>33750</v>
      </c>
      <c r="X30" s="293">
        <f t="shared" si="0"/>
        <v>3</v>
      </c>
      <c r="Y30" s="293">
        <f>ROUND((Table6[[#This Row],[DAILY REW. MOD.]]*($D$24+$D$26+$D$28))/7,0)</f>
        <v>10000</v>
      </c>
      <c r="Z30" s="293">
        <f t="shared" si="1"/>
        <v>0.9</v>
      </c>
      <c r="AA30" s="293">
        <f>ROUND((INDEX(Table12[AVG COINS],MATCH(Table6[[#This Row],[LEAGUE]],Table12[LEAGUE],0))) /$C$38,0)</f>
        <v>12325</v>
      </c>
      <c r="AB30" s="293">
        <f>ROUND((INDEX(Table12[AVG GEMS],MATCH(Table6[[#This Row],[LEAGUE]],Table12[LEAGUE],0))) /$C$37,2)</f>
        <v>0.06</v>
      </c>
      <c r="AC3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3">
        <f>Table6[[#This Row],[CHEST REW. MOD. NEW]]*($D$14+$D$15+$D$16)</f>
        <v>33750</v>
      </c>
      <c r="AE30" s="293">
        <f t="shared" si="2"/>
        <v>3</v>
      </c>
      <c r="AF30" s="293">
        <f>ROUND((Table6[[#This Row],[DAILY REW. MOD. NEW]]*($E$24+$E$26+$E$28))/7,0)</f>
        <v>10000</v>
      </c>
      <c r="AG30" s="293">
        <f t="shared" si="3"/>
        <v>0.9</v>
      </c>
      <c r="AH30" s="293">
        <f>ROUND((INDEX(Table12[AVG COINS NEW],MATCH(Table6[[#This Row],[LEAGUE]],Table12[LEAGUE],0))) /$C$38,0)</f>
        <v>12325</v>
      </c>
      <c r="AI30" s="293">
        <f>ROUND((INDEX(Table12[AVG GEMS NEW],MATCH(Table6[[#This Row],[LEAGUE]],Table12[LEAGUE],0))) / $C$38,2)</f>
        <v>0.4</v>
      </c>
      <c r="AJ3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1">
        <v>1</v>
      </c>
      <c r="AL30" s="322">
        <v>0</v>
      </c>
    </row>
    <row r="31" spans="2:38">
      <c r="B31" s="258">
        <v>14</v>
      </c>
      <c r="C31" s="281" t="s">
        <v>420</v>
      </c>
      <c r="D31" s="303">
        <v>1</v>
      </c>
      <c r="E31" s="354">
        <v>1</v>
      </c>
      <c r="G31" s="325" t="s">
        <v>401</v>
      </c>
      <c r="H31" s="482">
        <f>Table6[[#This Row],[TOTAL COINS]] +Table6[[#This Row],[COINS IN RUNS PER DAY]]</f>
        <v>138575</v>
      </c>
      <c r="I31" s="319">
        <f>Table6[[#This Row],[TOTAL COINS NEW]] + Table6[[#This Row],[COINS IN RUNS PER DAY]]</f>
        <v>138575</v>
      </c>
      <c r="J31" s="458">
        <f>Table6[[#This Row],[CHESTS COINS]] + Table6[[#This Row],[DAILY COINS]]+Table6[[#This Row],[LEAGUES COINS]]+Table6[[#This Row],[MISSIONS COINS]]</f>
        <v>138575</v>
      </c>
      <c r="K31" s="312">
        <f>Table6[[#This Row],[CHESTS GEMS]]+Table6[[#This Row],[DAILY GEMS]]+Table6[[#This Row],[LEAGUES GEMS]]</f>
        <v>3.96</v>
      </c>
      <c r="L31" s="329">
        <f>Table6[[#This Row],[CHESTS COINS NEW]] +Table6[[#This Row],[DAILY COINS NEW]] +Table6[[#This Row],[LEAGUES COINS NEW]] +Table6[[#This Row],[MISSIONS COINS NEW]]</f>
        <v>138575</v>
      </c>
      <c r="M31" s="319">
        <f>Table6[[#This Row],[CHESTS GEMS NEW]] +Table6[[#This Row],[DAILY GEMS NEW]] +Table6[[#This Row],[LEAGUES GEMS NEW]]</f>
        <v>4.3</v>
      </c>
      <c r="N31" s="324">
        <f>Table6[[#This Row],[COINS PER RUN]] *Table6[[#This Row],[RUNS PER DAY]]</f>
        <v>0</v>
      </c>
      <c r="O31" s="311">
        <v>75</v>
      </c>
      <c r="P31" s="311">
        <v>40</v>
      </c>
      <c r="Q31" s="268">
        <v>75</v>
      </c>
      <c r="R31" s="309">
        <v>40</v>
      </c>
      <c r="S31" s="315">
        <v>10</v>
      </c>
      <c r="T31" s="334">
        <v>1</v>
      </c>
      <c r="U31" s="322">
        <v>1</v>
      </c>
      <c r="V31" s="333">
        <v>1</v>
      </c>
      <c r="W31" s="292">
        <f>Table6[[#This Row],[CHEST REW. MOD.]]*($D$14+$D$15+$D$16)</f>
        <v>33750</v>
      </c>
      <c r="X31" s="293">
        <f t="shared" si="0"/>
        <v>3</v>
      </c>
      <c r="Y31" s="293">
        <f>ROUND((Table6[[#This Row],[DAILY REW. MOD.]]*($D$24+$D$26+$D$28))/7,0)</f>
        <v>10000</v>
      </c>
      <c r="Z31" s="293">
        <f t="shared" si="1"/>
        <v>0.9</v>
      </c>
      <c r="AA31" s="293">
        <f>ROUND((INDEX(Table12[AVG COINS],MATCH(Table6[[#This Row],[LEAGUE]],Table12[LEAGUE],0))) /$C$38,0)</f>
        <v>12325</v>
      </c>
      <c r="AB31" s="293">
        <f>ROUND((INDEX(Table12[AVG GEMS],MATCH(Table6[[#This Row],[LEAGUE]],Table12[LEAGUE],0))) /$C$37,2)</f>
        <v>0.06</v>
      </c>
      <c r="AC3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3">
        <f>Table6[[#This Row],[CHEST REW. MOD. NEW]]*($D$14+$D$15+$D$16)</f>
        <v>33750</v>
      </c>
      <c r="AE31" s="293">
        <f t="shared" si="2"/>
        <v>3</v>
      </c>
      <c r="AF31" s="293">
        <f>ROUND((Table6[[#This Row],[DAILY REW. MOD. NEW]]*($E$24+$E$26+$E$28))/7,0)</f>
        <v>10000</v>
      </c>
      <c r="AG31" s="293">
        <f t="shared" si="3"/>
        <v>0.9</v>
      </c>
      <c r="AH31" s="293">
        <f>ROUND((INDEX(Table12[AVG COINS NEW],MATCH(Table6[[#This Row],[LEAGUE]],Table12[LEAGUE],0))) /$C$38,0)</f>
        <v>12325</v>
      </c>
      <c r="AI31" s="293">
        <f>ROUND((INDEX(Table12[AVG GEMS NEW],MATCH(Table6[[#This Row],[LEAGUE]],Table12[LEAGUE],0))) / $C$38,2)</f>
        <v>0.4</v>
      </c>
      <c r="AJ3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1">
        <v>1</v>
      </c>
      <c r="AL31" s="322">
        <v>0</v>
      </c>
    </row>
    <row r="32" spans="2:38">
      <c r="G32" s="325" t="s">
        <v>402</v>
      </c>
      <c r="H32" s="482">
        <f>Table6[[#This Row],[TOTAL COINS]] +Table6[[#This Row],[COINS IN RUNS PER DAY]]</f>
        <v>138575</v>
      </c>
      <c r="I32" s="319">
        <f>Table6[[#This Row],[TOTAL COINS NEW]] + Table6[[#This Row],[COINS IN RUNS PER DAY]]</f>
        <v>138575</v>
      </c>
      <c r="J32" s="458">
        <f>Table6[[#This Row],[CHESTS COINS]] + Table6[[#This Row],[DAILY COINS]]+Table6[[#This Row],[LEAGUES COINS]]+Table6[[#This Row],[MISSIONS COINS]]</f>
        <v>138575</v>
      </c>
      <c r="K32" s="312">
        <f>Table6[[#This Row],[CHESTS GEMS]]+Table6[[#This Row],[DAILY GEMS]]+Table6[[#This Row],[LEAGUES GEMS]]</f>
        <v>3.96</v>
      </c>
      <c r="L32" s="329">
        <f>Table6[[#This Row],[CHESTS COINS NEW]] +Table6[[#This Row],[DAILY COINS NEW]] +Table6[[#This Row],[LEAGUES COINS NEW]] +Table6[[#This Row],[MISSIONS COINS NEW]]</f>
        <v>138575</v>
      </c>
      <c r="M32" s="319">
        <f>Table6[[#This Row],[CHESTS GEMS NEW]] +Table6[[#This Row],[DAILY GEMS NEW]] +Table6[[#This Row],[LEAGUES GEMS NEW]]</f>
        <v>4.3</v>
      </c>
      <c r="N32" s="324">
        <f>Table6[[#This Row],[COINS PER RUN]] *Table6[[#This Row],[RUNS PER DAY]]</f>
        <v>0</v>
      </c>
      <c r="O32" s="311">
        <v>75</v>
      </c>
      <c r="P32" s="311">
        <v>40</v>
      </c>
      <c r="Q32" s="268">
        <v>75</v>
      </c>
      <c r="R32" s="309">
        <v>40</v>
      </c>
      <c r="S32" s="315">
        <v>10</v>
      </c>
      <c r="T32" s="334">
        <v>1</v>
      </c>
      <c r="U32" s="322">
        <v>1</v>
      </c>
      <c r="V32" s="333">
        <v>1</v>
      </c>
      <c r="W32" s="292">
        <f>Table6[[#This Row],[CHEST REW. MOD.]]*($D$14+$D$15+$D$16)</f>
        <v>33750</v>
      </c>
      <c r="X32" s="293">
        <f t="shared" si="0"/>
        <v>3</v>
      </c>
      <c r="Y32" s="293">
        <f>ROUND((Table6[[#This Row],[DAILY REW. MOD.]]*($D$24+$D$26+$D$28))/7,0)</f>
        <v>10000</v>
      </c>
      <c r="Z32" s="293">
        <f t="shared" si="1"/>
        <v>0.9</v>
      </c>
      <c r="AA32" s="293">
        <f>ROUND((INDEX(Table12[AVG COINS],MATCH(Table6[[#This Row],[LEAGUE]],Table12[LEAGUE],0))) /$C$38,0)</f>
        <v>12325</v>
      </c>
      <c r="AB32" s="293">
        <f>ROUND((INDEX(Table12[AVG GEMS],MATCH(Table6[[#This Row],[LEAGUE]],Table12[LEAGUE],0))) /$C$37,2)</f>
        <v>0.06</v>
      </c>
      <c r="AC3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3">
        <f>Table6[[#This Row],[CHEST REW. MOD. NEW]]*($D$14+$D$15+$D$16)</f>
        <v>33750</v>
      </c>
      <c r="AE32" s="293">
        <f t="shared" si="2"/>
        <v>3</v>
      </c>
      <c r="AF32" s="293">
        <f>ROUND((Table6[[#This Row],[DAILY REW. MOD. NEW]]*($E$24+$E$26+$E$28))/7,0)</f>
        <v>10000</v>
      </c>
      <c r="AG32" s="293">
        <f t="shared" si="3"/>
        <v>0.9</v>
      </c>
      <c r="AH32" s="293">
        <f>ROUND((INDEX(Table12[AVG COINS NEW],MATCH(Table6[[#This Row],[LEAGUE]],Table12[LEAGUE],0))) /$C$38,0)</f>
        <v>12325</v>
      </c>
      <c r="AI32" s="293">
        <f>ROUND((INDEX(Table12[AVG GEMS NEW],MATCH(Table6[[#This Row],[LEAGUE]],Table12[LEAGUE],0))) / $C$38,2)</f>
        <v>0.4</v>
      </c>
      <c r="AJ3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1">
        <v>1</v>
      </c>
      <c r="AL32" s="322">
        <v>0</v>
      </c>
    </row>
    <row r="33" spans="2:38">
      <c r="G33" s="325" t="s">
        <v>403</v>
      </c>
      <c r="H33" s="482">
        <f>Table6[[#This Row],[TOTAL COINS]] +Table6[[#This Row],[COINS IN RUNS PER DAY]]</f>
        <v>138575</v>
      </c>
      <c r="I33" s="319">
        <f>Table6[[#This Row],[TOTAL COINS NEW]] + Table6[[#This Row],[COINS IN RUNS PER DAY]]</f>
        <v>138575</v>
      </c>
      <c r="J33" s="458">
        <f>Table6[[#This Row],[CHESTS COINS]] + Table6[[#This Row],[DAILY COINS]]+Table6[[#This Row],[LEAGUES COINS]]+Table6[[#This Row],[MISSIONS COINS]]</f>
        <v>138575</v>
      </c>
      <c r="K33" s="312">
        <f>Table6[[#This Row],[CHESTS GEMS]]+Table6[[#This Row],[DAILY GEMS]]+Table6[[#This Row],[LEAGUES GEMS]]</f>
        <v>3.96</v>
      </c>
      <c r="L33" s="329">
        <f>Table6[[#This Row],[CHESTS COINS NEW]] +Table6[[#This Row],[DAILY COINS NEW]] +Table6[[#This Row],[LEAGUES COINS NEW]] +Table6[[#This Row],[MISSIONS COINS NEW]]</f>
        <v>138575</v>
      </c>
      <c r="M33" s="319">
        <f>Table6[[#This Row],[CHESTS GEMS NEW]] +Table6[[#This Row],[DAILY GEMS NEW]] +Table6[[#This Row],[LEAGUES GEMS NEW]]</f>
        <v>4.3</v>
      </c>
      <c r="N33" s="324">
        <f>Table6[[#This Row],[COINS PER RUN]] *Table6[[#This Row],[RUNS PER DAY]]</f>
        <v>0</v>
      </c>
      <c r="O33" s="311">
        <v>75</v>
      </c>
      <c r="P33" s="311">
        <v>40</v>
      </c>
      <c r="Q33" s="268">
        <v>75</v>
      </c>
      <c r="R33" s="309">
        <v>40</v>
      </c>
      <c r="S33" s="315">
        <v>10</v>
      </c>
      <c r="T33" s="334">
        <v>1</v>
      </c>
      <c r="U33" s="322">
        <v>1</v>
      </c>
      <c r="V33" s="333">
        <v>1</v>
      </c>
      <c r="W33" s="292">
        <f>Table6[[#This Row],[CHEST REW. MOD.]]*($D$14+$D$15+$D$16)</f>
        <v>33750</v>
      </c>
      <c r="X33" s="293">
        <f t="shared" si="0"/>
        <v>3</v>
      </c>
      <c r="Y33" s="293">
        <f>ROUND((Table6[[#This Row],[DAILY REW. MOD.]]*($D$24+$D$26+$D$28))/7,0)</f>
        <v>10000</v>
      </c>
      <c r="Z33" s="293">
        <f t="shared" si="1"/>
        <v>0.9</v>
      </c>
      <c r="AA33" s="293">
        <f>ROUND((INDEX(Table12[AVG COINS],MATCH(Table6[[#This Row],[LEAGUE]],Table12[LEAGUE],0))) /$C$38,0)</f>
        <v>12325</v>
      </c>
      <c r="AB33" s="293">
        <f>ROUND((INDEX(Table12[AVG GEMS],MATCH(Table6[[#This Row],[LEAGUE]],Table12[LEAGUE],0))) /$C$37,2)</f>
        <v>0.06</v>
      </c>
      <c r="AC3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3">
        <f>Table6[[#This Row],[CHEST REW. MOD. NEW]]*($D$14+$D$15+$D$16)</f>
        <v>33750</v>
      </c>
      <c r="AE33" s="293">
        <f t="shared" si="2"/>
        <v>3</v>
      </c>
      <c r="AF33" s="293">
        <f>ROUND((Table6[[#This Row],[DAILY REW. MOD. NEW]]*($E$24+$E$26+$E$28))/7,0)</f>
        <v>10000</v>
      </c>
      <c r="AG33" s="293">
        <f t="shared" si="3"/>
        <v>0.9</v>
      </c>
      <c r="AH33" s="293">
        <f>ROUND((INDEX(Table12[AVG COINS NEW],MATCH(Table6[[#This Row],[LEAGUE]],Table12[LEAGUE],0))) /$C$38,0)</f>
        <v>12325</v>
      </c>
      <c r="AI33" s="293">
        <f>ROUND((INDEX(Table12[AVG GEMS NEW],MATCH(Table6[[#This Row],[LEAGUE]],Table12[LEAGUE],0))) / $C$38,2)</f>
        <v>0.4</v>
      </c>
      <c r="AJ3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1">
        <v>1</v>
      </c>
      <c r="AL33" s="322">
        <v>0</v>
      </c>
    </row>
    <row r="34" spans="2:38">
      <c r="G34" s="325" t="s">
        <v>404</v>
      </c>
      <c r="H34" s="329">
        <f>Table6[[#This Row],[TOTAL COINS]] +Table6[[#This Row],[COINS IN RUNS PER DAY]]</f>
        <v>138575</v>
      </c>
      <c r="I34" s="319">
        <f>Table6[[#This Row],[TOTAL COINS NEW]] + Table6[[#This Row],[COINS IN RUNS PER DAY]]</f>
        <v>138575</v>
      </c>
      <c r="J34" s="317">
        <f>Table6[[#This Row],[CHESTS COINS]] + Table6[[#This Row],[DAILY COINS]]+Table6[[#This Row],[LEAGUES COINS]]+Table6[[#This Row],[MISSIONS COINS]]</f>
        <v>138575</v>
      </c>
      <c r="K34" s="312">
        <f>Table6[[#This Row],[CHESTS GEMS]]+Table6[[#This Row],[DAILY GEMS]]+Table6[[#This Row],[LEAGUES GEMS]]</f>
        <v>3.96</v>
      </c>
      <c r="L34" s="329">
        <f>Table6[[#This Row],[CHESTS COINS NEW]] +Table6[[#This Row],[DAILY COINS NEW]] +Table6[[#This Row],[LEAGUES COINS NEW]] +Table6[[#This Row],[MISSIONS COINS NEW]]</f>
        <v>138575</v>
      </c>
      <c r="M34" s="319">
        <f>Table6[[#This Row],[CHESTS GEMS NEW]] +Table6[[#This Row],[DAILY GEMS NEW]] +Table6[[#This Row],[LEAGUES GEMS NEW]]</f>
        <v>4.3</v>
      </c>
      <c r="N34" s="324">
        <f>Table6[[#This Row],[COINS PER RUN]] *Table6[[#This Row],[RUNS PER DAY]]</f>
        <v>0</v>
      </c>
      <c r="O34" s="311">
        <v>75</v>
      </c>
      <c r="P34" s="311">
        <v>40</v>
      </c>
      <c r="Q34" s="268">
        <v>75</v>
      </c>
      <c r="R34" s="309">
        <v>40</v>
      </c>
      <c r="S34" s="315">
        <v>10</v>
      </c>
      <c r="T34" s="334">
        <v>1</v>
      </c>
      <c r="U34" s="322">
        <v>1</v>
      </c>
      <c r="V34" s="333">
        <v>1</v>
      </c>
      <c r="W34" s="292">
        <f>Table6[[#This Row],[CHEST REW. MOD.]]*($D$14+$D$15+$D$16)</f>
        <v>33750</v>
      </c>
      <c r="X34" s="288">
        <f t="shared" si="0"/>
        <v>3</v>
      </c>
      <c r="Y34" s="288">
        <f>ROUND((Table6[[#This Row],[DAILY REW. MOD.]]*($D$24+$D$26+$D$28))/7,0)</f>
        <v>10000</v>
      </c>
      <c r="Z34" s="288">
        <f t="shared" si="1"/>
        <v>0.9</v>
      </c>
      <c r="AA34" s="351">
        <f>ROUND((INDEX(Table12[AVG COINS],MATCH(Table6[[#This Row],[LEAGUE]],Table12[LEAGUE],0))) /$C$38,0)</f>
        <v>12325</v>
      </c>
      <c r="AB34" s="351">
        <f>ROUND((INDEX(Table12[AVG GEMS],MATCH(Table6[[#This Row],[LEAGUE]],Table12[LEAGUE],0))) /$C$37,2)</f>
        <v>0.06</v>
      </c>
      <c r="AC3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3">
        <f>Table6[[#This Row],[CHEST REW. MOD. NEW]]*($D$14+$D$15+$D$16)</f>
        <v>33750</v>
      </c>
      <c r="AE34" s="293">
        <f t="shared" si="2"/>
        <v>3</v>
      </c>
      <c r="AF34" s="293">
        <f>ROUND((Table6[[#This Row],[DAILY REW. MOD. NEW]]*($E$24+$E$26+$E$28))/7,0)</f>
        <v>10000</v>
      </c>
      <c r="AG34" s="293">
        <f t="shared" si="3"/>
        <v>0.9</v>
      </c>
      <c r="AH34" s="293">
        <f>ROUND((INDEX(Table12[AVG COINS NEW],MATCH(Table6[[#This Row],[LEAGUE]],Table12[LEAGUE],0))) /$C$38,0)</f>
        <v>12325</v>
      </c>
      <c r="AI34" s="293">
        <f>ROUND((INDEX(Table12[AVG GEMS NEW],MATCH(Table6[[#This Row],[LEAGUE]],Table12[LEAGUE],0))) / $C$38,2)</f>
        <v>0.4</v>
      </c>
      <c r="AJ3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1">
        <v>1</v>
      </c>
      <c r="AL34" s="322">
        <v>0</v>
      </c>
    </row>
    <row r="35" spans="2:38">
      <c r="H35" t="s">
        <v>405</v>
      </c>
      <c r="W35" t="s">
        <v>320</v>
      </c>
    </row>
    <row r="36" spans="2:38">
      <c r="B36" s="147" t="s">
        <v>432</v>
      </c>
    </row>
    <row r="37" spans="2:38">
      <c r="B37" s="271" t="s">
        <v>409</v>
      </c>
      <c r="C37" s="259">
        <v>7</v>
      </c>
      <c r="D37" t="s">
        <v>426</v>
      </c>
    </row>
    <row r="38" spans="2:38">
      <c r="B38" s="320" t="s">
        <v>476</v>
      </c>
      <c r="C38" s="259">
        <v>1</v>
      </c>
      <c r="D38" t="s">
        <v>426</v>
      </c>
    </row>
    <row r="40" spans="2:38">
      <c r="B40" s="272" t="s">
        <v>427</v>
      </c>
      <c r="C40" s="273" t="s">
        <v>428</v>
      </c>
      <c r="D40" s="274" t="s">
        <v>429</v>
      </c>
      <c r="E40" s="350" t="s">
        <v>456</v>
      </c>
      <c r="F40" s="272" t="s">
        <v>457</v>
      </c>
    </row>
    <row r="41" spans="2:38">
      <c r="B41" s="262">
        <v>1</v>
      </c>
      <c r="C41" s="287">
        <f>ROUND(SUM(F62:F66)/100,0)</f>
        <v>753</v>
      </c>
      <c r="D41" s="288">
        <v>0</v>
      </c>
      <c r="E41" s="287">
        <f>ROUND(SUM(J62:J66)/100,0)</f>
        <v>753</v>
      </c>
      <c r="F41" s="285">
        <v>0</v>
      </c>
    </row>
    <row r="42" spans="2:38">
      <c r="B42" s="263">
        <v>2</v>
      </c>
      <c r="C42" s="287">
        <f>ROUND(SUM(F67:F71)/100,0)</f>
        <v>1260</v>
      </c>
      <c r="D42" s="288">
        <v>0</v>
      </c>
      <c r="E42" s="287">
        <f>ROUND(SUM(J67:J71)/100,0)</f>
        <v>1260</v>
      </c>
      <c r="F42" s="285">
        <v>0</v>
      </c>
    </row>
    <row r="43" spans="2:38">
      <c r="B43" s="264">
        <v>3</v>
      </c>
      <c r="C43" s="287">
        <f>ROUND(SUM(F72:F75)/100,0)</f>
        <v>2985</v>
      </c>
      <c r="D43" s="288">
        <v>0</v>
      </c>
      <c r="E43" s="287">
        <f>ROUND(SUM(J72:J75)/100,0)</f>
        <v>2985</v>
      </c>
      <c r="F43" s="285">
        <v>0</v>
      </c>
    </row>
    <row r="44" spans="2:38">
      <c r="B44" s="263">
        <v>4</v>
      </c>
      <c r="C44" s="287">
        <f>ROUND(SUM(F77:F80)/100,0)</f>
        <v>4470</v>
      </c>
      <c r="D44" s="288">
        <v>0</v>
      </c>
      <c r="E44" s="287">
        <f>ROUND(SUM(J77:J80)/100,0)</f>
        <v>4470</v>
      </c>
      <c r="F44" s="285">
        <v>0</v>
      </c>
    </row>
    <row r="45" spans="2:38">
      <c r="B45" s="264">
        <v>5</v>
      </c>
      <c r="C45" s="287">
        <f>ROUND(SUM(F82:F85)/100,0)</f>
        <v>5955</v>
      </c>
      <c r="D45" s="288">
        <v>0</v>
      </c>
      <c r="E45" s="287">
        <f>ROUND(SUM(J82:J85)/100,0)</f>
        <v>5955</v>
      </c>
      <c r="F45" s="285">
        <v>0</v>
      </c>
    </row>
    <row r="46" spans="2:38">
      <c r="B46" s="263">
        <v>6</v>
      </c>
      <c r="C46" s="287">
        <f>ROUND(SUM(F87:F90)/100,0)</f>
        <v>7440</v>
      </c>
      <c r="D46" s="288">
        <v>0</v>
      </c>
      <c r="E46" s="287">
        <f>ROUND(SUM(J87:J90)/100,0)</f>
        <v>7440</v>
      </c>
      <c r="F46" s="285">
        <v>0</v>
      </c>
    </row>
    <row r="47" spans="2:38">
      <c r="B47" s="264">
        <v>7</v>
      </c>
      <c r="C47" s="287">
        <f>ROUND(SUM(F92:F95)/100,0)</f>
        <v>8925</v>
      </c>
      <c r="D47" s="288">
        <v>0</v>
      </c>
      <c r="E47" s="287">
        <f>ROUND(SUM(J92:J95)/100,0)</f>
        <v>8925</v>
      </c>
      <c r="F47" s="285">
        <v>0</v>
      </c>
    </row>
    <row r="48" spans="2:38">
      <c r="B48" s="263">
        <v>8</v>
      </c>
      <c r="C48" s="287">
        <f>ROUND(SUM(F97:F99)/100,0)</f>
        <v>9950</v>
      </c>
      <c r="D48" s="288">
        <f>ROUND(F100/100,2)</f>
        <v>0.2</v>
      </c>
      <c r="E48" s="287">
        <f>ROUND(SUM(J97:J99)/100,0)</f>
        <v>9950</v>
      </c>
      <c r="F48" s="288">
        <f>ROUND(J100/100,2)</f>
        <v>0.2</v>
      </c>
    </row>
    <row r="49" spans="2:10">
      <c r="B49" s="264">
        <v>9</v>
      </c>
      <c r="C49" s="287">
        <f>ROUND(SUM(F102:F104)/100,0)</f>
        <v>11375</v>
      </c>
      <c r="D49" s="288">
        <f>ROUND(F105/100,2)</f>
        <v>0.2</v>
      </c>
      <c r="E49" s="287">
        <f>ROUND(SUM(J102:J104)/100,0)</f>
        <v>11375</v>
      </c>
      <c r="F49" s="288">
        <f>ROUND(J105/100,2)</f>
        <v>0.2</v>
      </c>
    </row>
    <row r="50" spans="2:10">
      <c r="B50" s="265">
        <v>10</v>
      </c>
      <c r="C50" s="287">
        <f>ROUND(SUM(F107:F109)/100,0)</f>
        <v>12325</v>
      </c>
      <c r="D50" s="288">
        <f>ROUND(F110/100,2)</f>
        <v>0.4</v>
      </c>
      <c r="E50" s="287">
        <f>ROUND(SUM(J107:J109)/100,0)</f>
        <v>12325</v>
      </c>
      <c r="F50" s="288">
        <f>ROUND(J110/100,2)</f>
        <v>0.4</v>
      </c>
    </row>
    <row r="60" spans="2:10">
      <c r="B60" s="627" t="s">
        <v>437</v>
      </c>
      <c r="C60" s="627"/>
      <c r="D60" s="627"/>
      <c r="E60" s="627"/>
      <c r="F60" s="627"/>
    </row>
    <row r="61" spans="2:10">
      <c r="B61" s="275" t="s">
        <v>427</v>
      </c>
      <c r="C61" s="275" t="s">
        <v>412</v>
      </c>
      <c r="D61" s="275" t="s">
        <v>413</v>
      </c>
      <c r="E61" s="275" t="s">
        <v>430</v>
      </c>
      <c r="F61" s="276" t="s">
        <v>431</v>
      </c>
      <c r="G61" s="276" t="s">
        <v>475</v>
      </c>
      <c r="H61" s="275" t="s">
        <v>454</v>
      </c>
      <c r="I61" s="275" t="s">
        <v>458</v>
      </c>
      <c r="J61" s="275" t="s">
        <v>459</v>
      </c>
    </row>
    <row r="62" spans="2:10">
      <c r="B62" s="282">
        <v>1</v>
      </c>
      <c r="C62" s="282" t="s">
        <v>417</v>
      </c>
      <c r="D62" s="282">
        <v>400</v>
      </c>
      <c r="E62" s="282">
        <v>100</v>
      </c>
      <c r="F62" s="305">
        <f>Table13[[#This Row],[AMOUNT]]*(Table13[[#This Row],[TARGET]]-E63)</f>
        <v>12000</v>
      </c>
      <c r="G62" s="282" t="s">
        <v>417</v>
      </c>
      <c r="H62" s="306">
        <v>400</v>
      </c>
      <c r="I62" s="306">
        <v>100</v>
      </c>
      <c r="J62" s="305">
        <f>Table13[[#This Row],[AMOUNT NEW]]*(Table13[[#This Row],[TARGET NEW]]-I63)</f>
        <v>12000</v>
      </c>
    </row>
    <row r="63" spans="2:10">
      <c r="B63" s="283">
        <v>1</v>
      </c>
      <c r="C63" s="283" t="s">
        <v>417</v>
      </c>
      <c r="D63" s="283">
        <v>800</v>
      </c>
      <c r="E63" s="283">
        <v>70</v>
      </c>
      <c r="F63" s="305">
        <f>Table13[[#This Row],[AMOUNT]]*(Table13[[#This Row],[TARGET]]-E64)</f>
        <v>32000</v>
      </c>
      <c r="G63" s="283" t="s">
        <v>417</v>
      </c>
      <c r="H63" s="307">
        <v>800</v>
      </c>
      <c r="I63" s="307">
        <v>70</v>
      </c>
      <c r="J63" s="305">
        <f>Table13[[#This Row],[AMOUNT NEW]]*(Table13[[#This Row],[TARGET NEW]]-I64)</f>
        <v>32000</v>
      </c>
    </row>
    <row r="64" spans="2:10">
      <c r="B64" s="283">
        <v>1</v>
      </c>
      <c r="C64" s="283" t="s">
        <v>417</v>
      </c>
      <c r="D64" s="283">
        <v>1000</v>
      </c>
      <c r="E64" s="283">
        <v>30</v>
      </c>
      <c r="F64" s="305">
        <f>Table13[[#This Row],[AMOUNT]]*(Table13[[#This Row],[TARGET]]-E65)</f>
        <v>25000</v>
      </c>
      <c r="G64" s="283" t="s">
        <v>417</v>
      </c>
      <c r="H64" s="307">
        <v>1000</v>
      </c>
      <c r="I64" s="307">
        <v>30</v>
      </c>
      <c r="J64" s="305">
        <f>Table13[[#This Row],[AMOUNT NEW]]*(Table13[[#This Row],[TARGET NEW]]-I65)</f>
        <v>25000</v>
      </c>
    </row>
    <row r="65" spans="2:10">
      <c r="B65" s="283">
        <v>1</v>
      </c>
      <c r="C65" s="283" t="s">
        <v>417</v>
      </c>
      <c r="D65" s="283">
        <v>1200</v>
      </c>
      <c r="E65" s="283">
        <v>5</v>
      </c>
      <c r="F65" s="305">
        <f>Table13[[#This Row],[AMOUNT]]*(Table13[[#This Row],[TARGET]]-E66)</f>
        <v>4800</v>
      </c>
      <c r="G65" s="283" t="s">
        <v>417</v>
      </c>
      <c r="H65" s="307">
        <v>1200</v>
      </c>
      <c r="I65" s="307">
        <v>5</v>
      </c>
      <c r="J65" s="305">
        <f>Table13[[#This Row],[AMOUNT NEW]]*(Table13[[#This Row],[TARGET NEW]]-I66)</f>
        <v>4800</v>
      </c>
    </row>
    <row r="66" spans="2:10">
      <c r="B66" s="283">
        <v>1</v>
      </c>
      <c r="C66" s="283" t="s">
        <v>417</v>
      </c>
      <c r="D66" s="283">
        <v>1500</v>
      </c>
      <c r="E66" s="283">
        <v>1</v>
      </c>
      <c r="F66" s="305">
        <f>Table13[[#This Row],[AMOUNT]]</f>
        <v>1500</v>
      </c>
      <c r="G66" s="283" t="s">
        <v>417</v>
      </c>
      <c r="H66" s="307">
        <v>1500</v>
      </c>
      <c r="I66" s="307">
        <v>1</v>
      </c>
      <c r="J66" s="305">
        <f>Table13[[#This Row],[AMOUNT NEW]]</f>
        <v>1500</v>
      </c>
    </row>
    <row r="67" spans="2:10">
      <c r="B67" s="283">
        <v>2</v>
      </c>
      <c r="C67" s="283" t="s">
        <v>417</v>
      </c>
      <c r="D67" s="283">
        <v>1000</v>
      </c>
      <c r="E67" s="283">
        <v>100</v>
      </c>
      <c r="F67" s="305">
        <f>Table13[[#This Row],[AMOUNT]]*(Table13[[#This Row],[TARGET]]-E68)</f>
        <v>30000</v>
      </c>
      <c r="G67" s="283" t="s">
        <v>417</v>
      </c>
      <c r="H67" s="307">
        <v>1000</v>
      </c>
      <c r="I67" s="307">
        <v>100</v>
      </c>
      <c r="J67" s="305">
        <f>Table13[[#This Row],[AMOUNT NEW]]*(Table13[[#This Row],[TARGET NEW]]-I68)</f>
        <v>30000</v>
      </c>
    </row>
    <row r="68" spans="2:10">
      <c r="B68" s="283">
        <v>2</v>
      </c>
      <c r="C68" s="283" t="s">
        <v>417</v>
      </c>
      <c r="D68" s="283">
        <v>1200</v>
      </c>
      <c r="E68" s="283">
        <v>70</v>
      </c>
      <c r="F68" s="305">
        <f>Table13[[#This Row],[AMOUNT]]*(Table13[[#This Row],[TARGET]]-E69)</f>
        <v>48000</v>
      </c>
      <c r="G68" s="283" t="s">
        <v>417</v>
      </c>
      <c r="H68" s="307">
        <v>1200</v>
      </c>
      <c r="I68" s="307">
        <v>70</v>
      </c>
      <c r="J68" s="305">
        <f>Table13[[#This Row],[AMOUNT NEW]]*(Table13[[#This Row],[TARGET NEW]]-I69)</f>
        <v>48000</v>
      </c>
    </row>
    <row r="69" spans="2:10">
      <c r="B69" s="283">
        <v>2</v>
      </c>
      <c r="C69" s="283" t="s">
        <v>417</v>
      </c>
      <c r="D69" s="283">
        <v>1500</v>
      </c>
      <c r="E69" s="283">
        <v>30</v>
      </c>
      <c r="F69" s="305">
        <f>Table13[[#This Row],[AMOUNT]]*(Table13[[#This Row],[TARGET]]-E70)</f>
        <v>37500</v>
      </c>
      <c r="G69" s="283" t="s">
        <v>417</v>
      </c>
      <c r="H69" s="307">
        <v>1500</v>
      </c>
      <c r="I69" s="307">
        <v>30</v>
      </c>
      <c r="J69" s="305">
        <f>Table13[[#This Row],[AMOUNT NEW]]*(Table13[[#This Row],[TARGET NEW]]-I70)</f>
        <v>37500</v>
      </c>
    </row>
    <row r="70" spans="2:10">
      <c r="B70" s="283">
        <v>2</v>
      </c>
      <c r="C70" s="283" t="s">
        <v>417</v>
      </c>
      <c r="D70" s="283">
        <v>2000</v>
      </c>
      <c r="E70" s="283">
        <v>5</v>
      </c>
      <c r="F70" s="305">
        <f>Table13[[#This Row],[AMOUNT]]*(Table13[[#This Row],[TARGET]]-E71)</f>
        <v>8000</v>
      </c>
      <c r="G70" s="283" t="s">
        <v>417</v>
      </c>
      <c r="H70" s="307">
        <v>2000</v>
      </c>
      <c r="I70" s="307">
        <v>5</v>
      </c>
      <c r="J70" s="305">
        <f>Table13[[#This Row],[AMOUNT NEW]]*(Table13[[#This Row],[TARGET NEW]]-I71)</f>
        <v>8000</v>
      </c>
    </row>
    <row r="71" spans="2:10">
      <c r="B71" s="283">
        <v>2</v>
      </c>
      <c r="C71" s="283" t="s">
        <v>417</v>
      </c>
      <c r="D71" s="283">
        <v>2500</v>
      </c>
      <c r="E71" s="283">
        <v>1</v>
      </c>
      <c r="F71" s="305">
        <f>Table13[[#This Row],[AMOUNT]]</f>
        <v>2500</v>
      </c>
      <c r="G71" s="283" t="s">
        <v>417</v>
      </c>
      <c r="H71" s="307">
        <v>2500</v>
      </c>
      <c r="I71" s="307">
        <v>1</v>
      </c>
      <c r="J71" s="305">
        <f>Table13[[#This Row],[AMOUNT NEW]]</f>
        <v>2500</v>
      </c>
    </row>
    <row r="72" spans="2:10">
      <c r="B72" s="283">
        <v>3</v>
      </c>
      <c r="C72" s="283" t="s">
        <v>417</v>
      </c>
      <c r="D72" s="283">
        <v>2500</v>
      </c>
      <c r="E72" s="283">
        <v>100</v>
      </c>
      <c r="F72" s="305">
        <f>Table13[[#This Row],[AMOUNT]]*(Table13[[#This Row],[TARGET]]-E73)</f>
        <v>75000</v>
      </c>
      <c r="G72" s="283" t="s">
        <v>417</v>
      </c>
      <c r="H72" s="307">
        <v>2500</v>
      </c>
      <c r="I72" s="307">
        <v>100</v>
      </c>
      <c r="J72" s="305">
        <f>Table13[[#This Row],[AMOUNT NEW]]*(Table13[[#This Row],[TARGET NEW]]-I73)</f>
        <v>75000</v>
      </c>
    </row>
    <row r="73" spans="2:10">
      <c r="B73" s="283">
        <v>3</v>
      </c>
      <c r="C73" s="283" t="s">
        <v>417</v>
      </c>
      <c r="D73" s="283">
        <v>3000</v>
      </c>
      <c r="E73" s="283">
        <v>70</v>
      </c>
      <c r="F73" s="305">
        <f>Table13[[#This Row],[AMOUNT]]*(Table13[[#This Row],[TARGET]]-E74)</f>
        <v>120000</v>
      </c>
      <c r="G73" s="283" t="s">
        <v>417</v>
      </c>
      <c r="H73" s="307">
        <v>3000</v>
      </c>
      <c r="I73" s="307">
        <v>70</v>
      </c>
      <c r="J73" s="305">
        <f>Table13[[#This Row],[AMOUNT NEW]]*(Table13[[#This Row],[TARGET NEW]]-I74)</f>
        <v>120000</v>
      </c>
    </row>
    <row r="74" spans="2:10">
      <c r="B74" s="283">
        <v>3</v>
      </c>
      <c r="C74" s="283" t="s">
        <v>417</v>
      </c>
      <c r="D74" s="283">
        <v>3500</v>
      </c>
      <c r="E74" s="283">
        <v>30</v>
      </c>
      <c r="F74" s="305">
        <f>Table13[[#This Row],[AMOUNT]]*(Table13[[#This Row],[TARGET]]-E75)</f>
        <v>87500</v>
      </c>
      <c r="G74" s="283" t="s">
        <v>417</v>
      </c>
      <c r="H74" s="307">
        <v>3500</v>
      </c>
      <c r="I74" s="307">
        <v>30</v>
      </c>
      <c r="J74" s="305">
        <f>Table13[[#This Row],[AMOUNT NEW]]*(Table13[[#This Row],[TARGET NEW]]-I75)</f>
        <v>87500</v>
      </c>
    </row>
    <row r="75" spans="2:10">
      <c r="B75" s="283">
        <v>3</v>
      </c>
      <c r="C75" s="283" t="s">
        <v>417</v>
      </c>
      <c r="D75" s="283">
        <v>4000</v>
      </c>
      <c r="E75" s="283">
        <v>5</v>
      </c>
      <c r="F75" s="305">
        <f>Table13[[#This Row],[AMOUNT]]*(Table13[[#This Row],[TARGET]]-E76)</f>
        <v>16000</v>
      </c>
      <c r="G75" s="283" t="s">
        <v>417</v>
      </c>
      <c r="H75" s="307">
        <v>4000</v>
      </c>
      <c r="I75" s="307">
        <v>5</v>
      </c>
      <c r="J75" s="305">
        <f>Table13[[#This Row],[AMOUNT NEW]]*(Table13[[#This Row],[TARGET NEW]]-I76)</f>
        <v>16000</v>
      </c>
    </row>
    <row r="76" spans="2:10">
      <c r="B76" s="283">
        <v>3</v>
      </c>
      <c r="C76" s="283" t="s">
        <v>420</v>
      </c>
      <c r="D76" s="283" t="s">
        <v>228</v>
      </c>
      <c r="E76" s="283">
        <v>1</v>
      </c>
      <c r="F76" s="305">
        <v>0</v>
      </c>
      <c r="G76" s="283" t="s">
        <v>420</v>
      </c>
      <c r="H76" s="307" t="s">
        <v>228</v>
      </c>
      <c r="I76" s="307">
        <v>1</v>
      </c>
      <c r="J76" s="305"/>
    </row>
    <row r="77" spans="2:10">
      <c r="B77" s="283">
        <v>4</v>
      </c>
      <c r="C77" s="283" t="s">
        <v>417</v>
      </c>
      <c r="D77" s="283">
        <v>4000</v>
      </c>
      <c r="E77" s="283">
        <v>100</v>
      </c>
      <c r="F77" s="305">
        <f>Table13[[#This Row],[AMOUNT]]*(Table13[[#This Row],[TARGET]]-E78)</f>
        <v>120000</v>
      </c>
      <c r="G77" s="283" t="s">
        <v>417</v>
      </c>
      <c r="H77" s="307">
        <v>4000</v>
      </c>
      <c r="I77" s="307">
        <v>100</v>
      </c>
      <c r="J77" s="305">
        <f>Table13[[#This Row],[AMOUNT NEW]]*(Table13[[#This Row],[TARGET NEW]]-I78)</f>
        <v>120000</v>
      </c>
    </row>
    <row r="78" spans="2:10">
      <c r="B78" s="283">
        <v>4</v>
      </c>
      <c r="C78" s="283" t="s">
        <v>417</v>
      </c>
      <c r="D78" s="283">
        <v>4500</v>
      </c>
      <c r="E78" s="283">
        <v>70</v>
      </c>
      <c r="F78" s="305">
        <f>Table13[[#This Row],[AMOUNT]]*(Table13[[#This Row],[TARGET]]-E79)</f>
        <v>180000</v>
      </c>
      <c r="G78" s="283" t="s">
        <v>417</v>
      </c>
      <c r="H78" s="307">
        <v>4500</v>
      </c>
      <c r="I78" s="307">
        <v>70</v>
      </c>
      <c r="J78" s="305">
        <f>Table13[[#This Row],[AMOUNT NEW]]*(Table13[[#This Row],[TARGET NEW]]-I79)</f>
        <v>180000</v>
      </c>
    </row>
    <row r="79" spans="2:10">
      <c r="B79" s="283">
        <v>4</v>
      </c>
      <c r="C79" s="283" t="s">
        <v>417</v>
      </c>
      <c r="D79" s="283">
        <v>5000</v>
      </c>
      <c r="E79" s="283">
        <v>30</v>
      </c>
      <c r="F79" s="305">
        <f>Table13[[#This Row],[AMOUNT]]*(Table13[[#This Row],[TARGET]]-E80)</f>
        <v>125000</v>
      </c>
      <c r="G79" s="283" t="s">
        <v>417</v>
      </c>
      <c r="H79" s="307">
        <v>5000</v>
      </c>
      <c r="I79" s="307">
        <v>30</v>
      </c>
      <c r="J79" s="305">
        <f>Table13[[#This Row],[AMOUNT NEW]]*(Table13[[#This Row],[TARGET NEW]]-I80)</f>
        <v>125000</v>
      </c>
    </row>
    <row r="80" spans="2:10">
      <c r="B80" s="283">
        <v>4</v>
      </c>
      <c r="C80" s="283" t="s">
        <v>417</v>
      </c>
      <c r="D80" s="283">
        <v>5500</v>
      </c>
      <c r="E80" s="283">
        <v>5</v>
      </c>
      <c r="F80" s="305">
        <f>Table13[[#This Row],[AMOUNT]]*(Table13[[#This Row],[TARGET]]-E81)</f>
        <v>22000</v>
      </c>
      <c r="G80" s="283" t="s">
        <v>417</v>
      </c>
      <c r="H80" s="307">
        <v>5500</v>
      </c>
      <c r="I80" s="307">
        <v>5</v>
      </c>
      <c r="J80" s="305">
        <f>Table13[[#This Row],[AMOUNT NEW]]*(Table13[[#This Row],[TARGET NEW]]-I81)</f>
        <v>22000</v>
      </c>
    </row>
    <row r="81" spans="2:10">
      <c r="B81" s="283">
        <v>4</v>
      </c>
      <c r="C81" s="283" t="s">
        <v>420</v>
      </c>
      <c r="D81" s="283" t="s">
        <v>228</v>
      </c>
      <c r="E81" s="283">
        <v>1</v>
      </c>
      <c r="F81" s="305">
        <v>0</v>
      </c>
      <c r="G81" s="283" t="s">
        <v>420</v>
      </c>
      <c r="H81" s="307" t="s">
        <v>228</v>
      </c>
      <c r="I81" s="307">
        <v>1</v>
      </c>
      <c r="J81" s="305"/>
    </row>
    <row r="82" spans="2:10">
      <c r="B82" s="283">
        <v>5</v>
      </c>
      <c r="C82" s="283" t="s">
        <v>417</v>
      </c>
      <c r="D82" s="283">
        <v>5500</v>
      </c>
      <c r="E82" s="283">
        <v>100</v>
      </c>
      <c r="F82" s="305">
        <f>Table13[[#This Row],[AMOUNT]]*(Table13[[#This Row],[TARGET]]-E83)</f>
        <v>165000</v>
      </c>
      <c r="G82" s="283" t="s">
        <v>417</v>
      </c>
      <c r="H82" s="307">
        <v>5500</v>
      </c>
      <c r="I82" s="307">
        <v>100</v>
      </c>
      <c r="J82" s="305">
        <f>Table13[[#This Row],[AMOUNT NEW]]*(Table13[[#This Row],[TARGET NEW]]-I83)</f>
        <v>165000</v>
      </c>
    </row>
    <row r="83" spans="2:10">
      <c r="B83" s="283">
        <v>5</v>
      </c>
      <c r="C83" s="283" t="s">
        <v>417</v>
      </c>
      <c r="D83" s="283">
        <v>6000</v>
      </c>
      <c r="E83" s="283">
        <v>70</v>
      </c>
      <c r="F83" s="305">
        <f>Table13[[#This Row],[AMOUNT]]*(Table13[[#This Row],[TARGET]]-E84)</f>
        <v>240000</v>
      </c>
      <c r="G83" s="283" t="s">
        <v>417</v>
      </c>
      <c r="H83" s="307">
        <v>6000</v>
      </c>
      <c r="I83" s="307">
        <v>70</v>
      </c>
      <c r="J83" s="305">
        <f>Table13[[#This Row],[AMOUNT NEW]]*(Table13[[#This Row],[TARGET NEW]]-I84)</f>
        <v>240000</v>
      </c>
    </row>
    <row r="84" spans="2:10">
      <c r="B84" s="283">
        <v>5</v>
      </c>
      <c r="C84" s="283" t="s">
        <v>417</v>
      </c>
      <c r="D84" s="283">
        <v>6500</v>
      </c>
      <c r="E84" s="283">
        <v>30</v>
      </c>
      <c r="F84" s="305">
        <f>Table13[[#This Row],[AMOUNT]]*(Table13[[#This Row],[TARGET]]-E85)</f>
        <v>162500</v>
      </c>
      <c r="G84" s="283" t="s">
        <v>417</v>
      </c>
      <c r="H84" s="307">
        <v>6500</v>
      </c>
      <c r="I84" s="307">
        <v>30</v>
      </c>
      <c r="J84" s="305">
        <f>Table13[[#This Row],[AMOUNT NEW]]*(Table13[[#This Row],[TARGET NEW]]-I85)</f>
        <v>162500</v>
      </c>
    </row>
    <row r="85" spans="2:10">
      <c r="B85" s="283">
        <v>5</v>
      </c>
      <c r="C85" s="283" t="s">
        <v>417</v>
      </c>
      <c r="D85" s="283">
        <v>7000</v>
      </c>
      <c r="E85" s="283">
        <v>5</v>
      </c>
      <c r="F85" s="305">
        <f>Table13[[#This Row],[AMOUNT]]*(Table13[[#This Row],[TARGET]]-E86)</f>
        <v>28000</v>
      </c>
      <c r="G85" s="283" t="s">
        <v>417</v>
      </c>
      <c r="H85" s="307">
        <v>7000</v>
      </c>
      <c r="I85" s="307">
        <v>5</v>
      </c>
      <c r="J85" s="305">
        <f>Table13[[#This Row],[AMOUNT NEW]]*(Table13[[#This Row],[TARGET NEW]]-I86)</f>
        <v>28000</v>
      </c>
    </row>
    <row r="86" spans="2:10">
      <c r="B86" s="283">
        <v>5</v>
      </c>
      <c r="C86" s="283" t="s">
        <v>420</v>
      </c>
      <c r="D86" s="283" t="s">
        <v>228</v>
      </c>
      <c r="E86" s="283">
        <v>1</v>
      </c>
      <c r="F86" s="305">
        <v>0</v>
      </c>
      <c r="G86" s="283" t="s">
        <v>420</v>
      </c>
      <c r="H86" s="307" t="s">
        <v>228</v>
      </c>
      <c r="I86" s="307">
        <v>1</v>
      </c>
      <c r="J86" s="305"/>
    </row>
    <row r="87" spans="2:10">
      <c r="B87" s="283">
        <v>6</v>
      </c>
      <c r="C87" s="283" t="s">
        <v>417</v>
      </c>
      <c r="D87" s="283">
        <v>7000</v>
      </c>
      <c r="E87" s="283">
        <v>100</v>
      </c>
      <c r="F87" s="305">
        <f>Table13[[#This Row],[AMOUNT]]*(Table13[[#This Row],[TARGET]]-E88)</f>
        <v>210000</v>
      </c>
      <c r="G87" s="283" t="s">
        <v>417</v>
      </c>
      <c r="H87" s="307">
        <v>7000</v>
      </c>
      <c r="I87" s="307">
        <v>100</v>
      </c>
      <c r="J87" s="305">
        <f>Table13[[#This Row],[AMOUNT NEW]]*(Table13[[#This Row],[TARGET NEW]]-I88)</f>
        <v>210000</v>
      </c>
    </row>
    <row r="88" spans="2:10">
      <c r="B88" s="283">
        <v>6</v>
      </c>
      <c r="C88" s="283" t="s">
        <v>417</v>
      </c>
      <c r="D88" s="283">
        <v>7500</v>
      </c>
      <c r="E88" s="283">
        <v>70</v>
      </c>
      <c r="F88" s="305">
        <f>Table13[[#This Row],[AMOUNT]]*(Table13[[#This Row],[TARGET]]-E89)</f>
        <v>300000</v>
      </c>
      <c r="G88" s="283" t="s">
        <v>417</v>
      </c>
      <c r="H88" s="307">
        <v>7500</v>
      </c>
      <c r="I88" s="307">
        <v>70</v>
      </c>
      <c r="J88" s="305">
        <f>Table13[[#This Row],[AMOUNT NEW]]*(Table13[[#This Row],[TARGET NEW]]-I89)</f>
        <v>300000</v>
      </c>
    </row>
    <row r="89" spans="2:10">
      <c r="B89" s="283">
        <v>6</v>
      </c>
      <c r="C89" s="283" t="s">
        <v>417</v>
      </c>
      <c r="D89" s="283">
        <v>8000</v>
      </c>
      <c r="E89" s="283">
        <v>30</v>
      </c>
      <c r="F89" s="305">
        <f>Table13[[#This Row],[AMOUNT]]*(Table13[[#This Row],[TARGET]]-E90)</f>
        <v>200000</v>
      </c>
      <c r="G89" s="283" t="s">
        <v>417</v>
      </c>
      <c r="H89" s="307">
        <v>8000</v>
      </c>
      <c r="I89" s="307">
        <v>30</v>
      </c>
      <c r="J89" s="305">
        <f>Table13[[#This Row],[AMOUNT NEW]]*(Table13[[#This Row],[TARGET NEW]]-I90)</f>
        <v>200000</v>
      </c>
    </row>
    <row r="90" spans="2:10">
      <c r="B90" s="283">
        <v>6</v>
      </c>
      <c r="C90" s="283" t="s">
        <v>417</v>
      </c>
      <c r="D90" s="283">
        <v>8500</v>
      </c>
      <c r="E90" s="283">
        <v>5</v>
      </c>
      <c r="F90" s="305">
        <f>Table13[[#This Row],[AMOUNT]]*(Table13[[#This Row],[TARGET]]-E91)</f>
        <v>34000</v>
      </c>
      <c r="G90" s="283" t="s">
        <v>417</v>
      </c>
      <c r="H90" s="307">
        <v>8500</v>
      </c>
      <c r="I90" s="307">
        <v>5</v>
      </c>
      <c r="J90" s="305">
        <f>Table13[[#This Row],[AMOUNT NEW]]*(Table13[[#This Row],[TARGET NEW]]-I91)</f>
        <v>34000</v>
      </c>
    </row>
    <row r="91" spans="2:10">
      <c r="B91" s="283">
        <v>6</v>
      </c>
      <c r="C91" s="283" t="s">
        <v>420</v>
      </c>
      <c r="D91" s="283" t="s">
        <v>228</v>
      </c>
      <c r="E91" s="283">
        <v>1</v>
      </c>
      <c r="F91" s="305">
        <v>0</v>
      </c>
      <c r="G91" s="283" t="s">
        <v>420</v>
      </c>
      <c r="H91" s="307" t="s">
        <v>228</v>
      </c>
      <c r="I91" s="307">
        <v>1</v>
      </c>
      <c r="J91" s="305"/>
    </row>
    <row r="92" spans="2:10">
      <c r="B92" s="283">
        <v>7</v>
      </c>
      <c r="C92" s="283" t="s">
        <v>417</v>
      </c>
      <c r="D92" s="283">
        <v>8500</v>
      </c>
      <c r="E92" s="283">
        <v>100</v>
      </c>
      <c r="F92" s="305">
        <f>Table13[[#This Row],[AMOUNT]]*(Table13[[#This Row],[TARGET]]-E93)</f>
        <v>255000</v>
      </c>
      <c r="G92" s="283" t="s">
        <v>417</v>
      </c>
      <c r="H92" s="307">
        <v>8500</v>
      </c>
      <c r="I92" s="307">
        <v>100</v>
      </c>
      <c r="J92" s="305">
        <f>Table13[[#This Row],[AMOUNT NEW]]*(Table13[[#This Row],[TARGET NEW]]-I93)</f>
        <v>255000</v>
      </c>
    </row>
    <row r="93" spans="2:10">
      <c r="B93" s="283">
        <v>7</v>
      </c>
      <c r="C93" s="283" t="s">
        <v>417</v>
      </c>
      <c r="D93" s="283">
        <v>9000</v>
      </c>
      <c r="E93" s="283">
        <v>70</v>
      </c>
      <c r="F93" s="305">
        <f>Table13[[#This Row],[AMOUNT]]*(Table13[[#This Row],[TARGET]]-E94)</f>
        <v>360000</v>
      </c>
      <c r="G93" s="283" t="s">
        <v>417</v>
      </c>
      <c r="H93" s="307">
        <v>9000</v>
      </c>
      <c r="I93" s="307">
        <v>70</v>
      </c>
      <c r="J93" s="305">
        <f>Table13[[#This Row],[AMOUNT NEW]]*(Table13[[#This Row],[TARGET NEW]]-I94)</f>
        <v>360000</v>
      </c>
    </row>
    <row r="94" spans="2:10">
      <c r="B94" s="283">
        <v>7</v>
      </c>
      <c r="C94" s="283" t="s">
        <v>417</v>
      </c>
      <c r="D94" s="283">
        <v>9500</v>
      </c>
      <c r="E94" s="283">
        <v>30</v>
      </c>
      <c r="F94" s="305">
        <f>Table13[[#This Row],[AMOUNT]]*(Table13[[#This Row],[TARGET]]-E95)</f>
        <v>237500</v>
      </c>
      <c r="G94" s="283" t="s">
        <v>417</v>
      </c>
      <c r="H94" s="307">
        <v>9500</v>
      </c>
      <c r="I94" s="307">
        <v>30</v>
      </c>
      <c r="J94" s="305">
        <f>Table13[[#This Row],[AMOUNT NEW]]*(Table13[[#This Row],[TARGET NEW]]-I95)</f>
        <v>237500</v>
      </c>
    </row>
    <row r="95" spans="2:10">
      <c r="B95" s="283">
        <v>7</v>
      </c>
      <c r="C95" s="283" t="s">
        <v>417</v>
      </c>
      <c r="D95" s="283">
        <v>10000</v>
      </c>
      <c r="E95" s="283">
        <v>5</v>
      </c>
      <c r="F95" s="305">
        <f>Table13[[#This Row],[AMOUNT]]*(Table13[[#This Row],[TARGET]]-E96)</f>
        <v>40000</v>
      </c>
      <c r="G95" s="283" t="s">
        <v>417</v>
      </c>
      <c r="H95" s="307">
        <v>10000</v>
      </c>
      <c r="I95" s="307">
        <v>5</v>
      </c>
      <c r="J95" s="305">
        <f>Table13[[#This Row],[AMOUNT NEW]]*(Table13[[#This Row],[TARGET NEW]]-I96)</f>
        <v>40000</v>
      </c>
    </row>
    <row r="96" spans="2:10">
      <c r="B96" s="283">
        <v>7</v>
      </c>
      <c r="C96" s="283" t="s">
        <v>420</v>
      </c>
      <c r="D96" s="283" t="s">
        <v>228</v>
      </c>
      <c r="E96" s="283">
        <v>1</v>
      </c>
      <c r="F96" s="305">
        <v>0</v>
      </c>
      <c r="G96" s="283" t="s">
        <v>420</v>
      </c>
      <c r="H96" s="307" t="s">
        <v>228</v>
      </c>
      <c r="I96" s="307">
        <v>1</v>
      </c>
      <c r="J96" s="305"/>
    </row>
    <row r="97" spans="2:10">
      <c r="B97" s="283">
        <v>8</v>
      </c>
      <c r="C97" s="283" t="s">
        <v>417</v>
      </c>
      <c r="D97" s="283">
        <v>10000</v>
      </c>
      <c r="E97" s="283">
        <v>100</v>
      </c>
      <c r="F97" s="305">
        <f>Table13[[#This Row],[AMOUNT]]*(Table13[[#This Row],[TARGET]]-E98)</f>
        <v>300000</v>
      </c>
      <c r="G97" s="283" t="s">
        <v>417</v>
      </c>
      <c r="H97" s="307">
        <v>10000</v>
      </c>
      <c r="I97" s="307">
        <v>100</v>
      </c>
      <c r="J97" s="305">
        <f>Table13[[#This Row],[AMOUNT NEW]]*(Table13[[#This Row],[TARGET NEW]]-I98)</f>
        <v>300000</v>
      </c>
    </row>
    <row r="98" spans="2:10">
      <c r="B98" s="283">
        <v>8</v>
      </c>
      <c r="C98" s="283" t="s">
        <v>417</v>
      </c>
      <c r="D98" s="283">
        <v>10500</v>
      </c>
      <c r="E98" s="283">
        <v>70</v>
      </c>
      <c r="F98" s="305">
        <f>Table13[[#This Row],[AMOUNT]]*(Table13[[#This Row],[TARGET]]-E99)</f>
        <v>420000</v>
      </c>
      <c r="G98" s="283" t="s">
        <v>417</v>
      </c>
      <c r="H98" s="307">
        <v>10500</v>
      </c>
      <c r="I98" s="307">
        <v>70</v>
      </c>
      <c r="J98" s="305">
        <f>Table13[[#This Row],[AMOUNT NEW]]*(Table13[[#This Row],[TARGET NEW]]-I99)</f>
        <v>420000</v>
      </c>
    </row>
    <row r="99" spans="2:10">
      <c r="B99" s="283">
        <v>8</v>
      </c>
      <c r="C99" s="283" t="s">
        <v>417</v>
      </c>
      <c r="D99" s="283">
        <v>11000</v>
      </c>
      <c r="E99" s="283">
        <v>30</v>
      </c>
      <c r="F99" s="305">
        <f>Table13[[#This Row],[AMOUNT]]*(Table13[[#This Row],[TARGET]]-E100)</f>
        <v>275000</v>
      </c>
      <c r="G99" s="283" t="s">
        <v>417</v>
      </c>
      <c r="H99" s="307">
        <v>11000</v>
      </c>
      <c r="I99" s="307">
        <v>30</v>
      </c>
      <c r="J99" s="305">
        <f>Table13[[#This Row],[AMOUNT NEW]]*(Table13[[#This Row],[TARGET NEW]]-I100)</f>
        <v>275000</v>
      </c>
    </row>
    <row r="100" spans="2:10">
      <c r="B100" s="283">
        <v>8</v>
      </c>
      <c r="C100" s="283" t="s">
        <v>411</v>
      </c>
      <c r="D100" s="283">
        <v>5</v>
      </c>
      <c r="E100" s="283">
        <v>5</v>
      </c>
      <c r="F100" s="305">
        <f>Table13[[#This Row],[AMOUNT]]*(Table13[[#This Row],[TARGET]]-E101)</f>
        <v>20</v>
      </c>
      <c r="G100" s="283" t="s">
        <v>411</v>
      </c>
      <c r="H100" s="307">
        <v>5</v>
      </c>
      <c r="I100" s="307">
        <v>5</v>
      </c>
      <c r="J100" s="305">
        <f>Table13[[#This Row],[AMOUNT NEW]]*(Table13[[#This Row],[TARGET NEW]]-I101)</f>
        <v>20</v>
      </c>
    </row>
    <row r="101" spans="2:10">
      <c r="B101" s="283">
        <v>8</v>
      </c>
      <c r="C101" s="283" t="s">
        <v>420</v>
      </c>
      <c r="D101" s="283" t="s">
        <v>228</v>
      </c>
      <c r="E101" s="283">
        <v>1</v>
      </c>
      <c r="F101" s="305">
        <v>0</v>
      </c>
      <c r="G101" s="283" t="s">
        <v>420</v>
      </c>
      <c r="H101" s="307" t="s">
        <v>228</v>
      </c>
      <c r="I101" s="307">
        <v>1</v>
      </c>
      <c r="J101" s="305"/>
    </row>
    <row r="102" spans="2:10">
      <c r="B102" s="283">
        <v>9</v>
      </c>
      <c r="C102" s="283" t="s">
        <v>417</v>
      </c>
      <c r="D102" s="283">
        <v>11500</v>
      </c>
      <c r="E102" s="283">
        <v>100</v>
      </c>
      <c r="F102" s="305">
        <f>Table13[[#This Row],[AMOUNT]]*(Table13[[#This Row],[TARGET]]-E103)</f>
        <v>345000</v>
      </c>
      <c r="G102" s="283" t="s">
        <v>417</v>
      </c>
      <c r="H102" s="307">
        <v>11500</v>
      </c>
      <c r="I102" s="307">
        <v>100</v>
      </c>
      <c r="J102" s="305">
        <f>Table13[[#This Row],[AMOUNT NEW]]*(Table13[[#This Row],[TARGET NEW]]-I103)</f>
        <v>345000</v>
      </c>
    </row>
    <row r="103" spans="2:10">
      <c r="B103" s="283">
        <v>9</v>
      </c>
      <c r="C103" s="283" t="s">
        <v>417</v>
      </c>
      <c r="D103" s="283">
        <v>12000</v>
      </c>
      <c r="E103" s="283">
        <v>70</v>
      </c>
      <c r="F103" s="305">
        <f>Table13[[#This Row],[AMOUNT]]*(Table13[[#This Row],[TARGET]]-E104)</f>
        <v>480000</v>
      </c>
      <c r="G103" s="283" t="s">
        <v>417</v>
      </c>
      <c r="H103" s="307">
        <v>12000</v>
      </c>
      <c r="I103" s="307">
        <v>70</v>
      </c>
      <c r="J103" s="305">
        <f>Table13[[#This Row],[AMOUNT NEW]]*(Table13[[#This Row],[TARGET NEW]]-I104)</f>
        <v>480000</v>
      </c>
    </row>
    <row r="104" spans="2:10">
      <c r="B104" s="283">
        <v>9</v>
      </c>
      <c r="C104" s="283" t="s">
        <v>417</v>
      </c>
      <c r="D104" s="283">
        <v>12500</v>
      </c>
      <c r="E104" s="283">
        <v>30</v>
      </c>
      <c r="F104" s="305">
        <f>Table13[[#This Row],[AMOUNT]]*(Table13[[#This Row],[TARGET]]-E105)</f>
        <v>312500</v>
      </c>
      <c r="G104" s="283" t="s">
        <v>417</v>
      </c>
      <c r="H104" s="307">
        <v>12500</v>
      </c>
      <c r="I104" s="307">
        <v>30</v>
      </c>
      <c r="J104" s="305">
        <f>Table13[[#This Row],[AMOUNT NEW]]*(Table13[[#This Row],[TARGET NEW]]-I105)</f>
        <v>312500</v>
      </c>
    </row>
    <row r="105" spans="2:10">
      <c r="B105" s="283">
        <v>9</v>
      </c>
      <c r="C105" s="283" t="s">
        <v>411</v>
      </c>
      <c r="D105" s="283">
        <v>5</v>
      </c>
      <c r="E105" s="283">
        <v>5</v>
      </c>
      <c r="F105" s="305">
        <f>Table13[[#This Row],[AMOUNT]]*(Table13[[#This Row],[TARGET]]-E106)</f>
        <v>20</v>
      </c>
      <c r="G105" s="283" t="s">
        <v>411</v>
      </c>
      <c r="H105" s="307">
        <v>5</v>
      </c>
      <c r="I105" s="307">
        <v>5</v>
      </c>
      <c r="J105" s="305">
        <f>Table13[[#This Row],[AMOUNT NEW]]*(Table13[[#This Row],[TARGET NEW]]-I106)</f>
        <v>20</v>
      </c>
    </row>
    <row r="106" spans="2:10">
      <c r="B106" s="283">
        <v>9</v>
      </c>
      <c r="C106" s="283" t="s">
        <v>420</v>
      </c>
      <c r="D106" s="283" t="s">
        <v>228</v>
      </c>
      <c r="E106" s="283">
        <v>1</v>
      </c>
      <c r="F106" s="305">
        <v>0</v>
      </c>
      <c r="G106" s="283" t="s">
        <v>420</v>
      </c>
      <c r="H106" s="307" t="s">
        <v>228</v>
      </c>
      <c r="I106" s="307">
        <v>1</v>
      </c>
      <c r="J106" s="305"/>
    </row>
    <row r="107" spans="2:10">
      <c r="B107" s="283">
        <v>10</v>
      </c>
      <c r="C107" s="283" t="s">
        <v>417</v>
      </c>
      <c r="D107" s="283">
        <v>12500</v>
      </c>
      <c r="E107" s="283">
        <v>100</v>
      </c>
      <c r="F107" s="305">
        <f>Table13[[#This Row],[AMOUNT]]*(Table13[[#This Row],[TARGET]]-E108)</f>
        <v>375000</v>
      </c>
      <c r="G107" s="283" t="s">
        <v>417</v>
      </c>
      <c r="H107" s="307">
        <v>12500</v>
      </c>
      <c r="I107" s="307">
        <v>100</v>
      </c>
      <c r="J107" s="305">
        <f>Table13[[#This Row],[AMOUNT NEW]]*(Table13[[#This Row],[TARGET NEW]]-I108)</f>
        <v>375000</v>
      </c>
    </row>
    <row r="108" spans="2:10">
      <c r="B108" s="283">
        <v>10</v>
      </c>
      <c r="C108" s="283" t="s">
        <v>417</v>
      </c>
      <c r="D108" s="283">
        <v>13000</v>
      </c>
      <c r="E108" s="283">
        <v>70</v>
      </c>
      <c r="F108" s="305">
        <f>Table13[[#This Row],[AMOUNT]]*(Table13[[#This Row],[TARGET]]-E109)</f>
        <v>520000</v>
      </c>
      <c r="G108" s="283" t="s">
        <v>417</v>
      </c>
      <c r="H108" s="307">
        <v>13000</v>
      </c>
      <c r="I108" s="307">
        <v>70</v>
      </c>
      <c r="J108" s="305">
        <f>Table13[[#This Row],[AMOUNT NEW]]*(Table13[[#This Row],[TARGET NEW]]-I109)</f>
        <v>520000</v>
      </c>
    </row>
    <row r="109" spans="2:10">
      <c r="B109" s="283">
        <v>10</v>
      </c>
      <c r="C109" s="283" t="s">
        <v>417</v>
      </c>
      <c r="D109" s="283">
        <v>13500</v>
      </c>
      <c r="E109" s="283">
        <v>30</v>
      </c>
      <c r="F109" s="305">
        <f>Table13[[#This Row],[AMOUNT]]*(Table13[[#This Row],[TARGET]]-E110)</f>
        <v>337500</v>
      </c>
      <c r="G109" s="283" t="s">
        <v>417</v>
      </c>
      <c r="H109" s="307">
        <v>13500</v>
      </c>
      <c r="I109" s="307">
        <v>30</v>
      </c>
      <c r="J109" s="305">
        <f>Table13[[#This Row],[AMOUNT NEW]]*(Table13[[#This Row],[TARGET NEW]]-I110)</f>
        <v>337500</v>
      </c>
    </row>
    <row r="110" spans="2:10">
      <c r="B110" s="283">
        <v>10</v>
      </c>
      <c r="C110" s="283" t="s">
        <v>411</v>
      </c>
      <c r="D110" s="283">
        <v>10</v>
      </c>
      <c r="E110" s="283">
        <v>5</v>
      </c>
      <c r="F110" s="305">
        <f>Table13[[#This Row],[AMOUNT]]*(Table13[[#This Row],[TARGET]]-E111)</f>
        <v>40</v>
      </c>
      <c r="G110" s="283" t="s">
        <v>411</v>
      </c>
      <c r="H110" s="307">
        <v>10</v>
      </c>
      <c r="I110" s="307">
        <v>5</v>
      </c>
      <c r="J110" s="305">
        <f>Table13[[#This Row],[AMOUNT NEW]]*(Table13[[#This Row],[TARGET NEW]]-I111)</f>
        <v>40</v>
      </c>
    </row>
    <row r="111" spans="2:10">
      <c r="B111" s="284">
        <v>10</v>
      </c>
      <c r="C111" s="284" t="s">
        <v>420</v>
      </c>
      <c r="D111" s="284" t="s">
        <v>229</v>
      </c>
      <c r="E111" s="284">
        <v>1</v>
      </c>
      <c r="F111" s="305">
        <v>0</v>
      </c>
      <c r="G111" s="284" t="s">
        <v>420</v>
      </c>
      <c r="H111" s="295" t="s">
        <v>229</v>
      </c>
      <c r="I111" s="295">
        <v>1</v>
      </c>
      <c r="J111" s="305"/>
    </row>
    <row r="114" spans="2:5">
      <c r="B114" s="270" t="s">
        <v>463</v>
      </c>
      <c r="C114" s="270" t="s">
        <v>462</v>
      </c>
      <c r="D114" s="270" t="s">
        <v>461</v>
      </c>
      <c r="E114" s="270" t="s">
        <v>460</v>
      </c>
    </row>
    <row r="115" spans="2:5">
      <c r="B115" s="1" t="s">
        <v>67</v>
      </c>
      <c r="C115" s="1">
        <v>1</v>
      </c>
      <c r="D115" s="278">
        <v>200</v>
      </c>
      <c r="E115" s="101">
        <v>200</v>
      </c>
    </row>
    <row r="116" spans="2:5">
      <c r="B116" s="1" t="s">
        <v>68</v>
      </c>
      <c r="C116" s="1">
        <v>2</v>
      </c>
      <c r="D116" s="278">
        <v>300</v>
      </c>
      <c r="E116" s="101">
        <v>300</v>
      </c>
    </row>
    <row r="117" spans="2:5">
      <c r="B117" s="1" t="s">
        <v>69</v>
      </c>
      <c r="C117" s="1">
        <v>3</v>
      </c>
      <c r="D117" s="278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76"/>
  <sheetViews>
    <sheetView topLeftCell="A4" workbookViewId="0">
      <selection activeCell="F24" sqref="F24:F26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179</v>
      </c>
      <c r="B1" s="36"/>
      <c r="C1" s="36"/>
      <c r="K1" s="190" t="s">
        <v>260</v>
      </c>
    </row>
    <row r="2" spans="1:13" ht="15.75" thickBot="1">
      <c r="E2" s="176" t="s">
        <v>259</v>
      </c>
      <c r="F2" s="170" t="s">
        <v>181</v>
      </c>
      <c r="G2" s="170" t="s">
        <v>52</v>
      </c>
      <c r="H2" s="170" t="s">
        <v>53</v>
      </c>
      <c r="I2" s="150" t="s">
        <v>258</v>
      </c>
      <c r="K2" s="191" t="s">
        <v>321</v>
      </c>
    </row>
    <row r="3" spans="1:13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13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768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13" ht="15.75" thickBot="1">
      <c r="A5" t="s">
        <v>253</v>
      </c>
    </row>
    <row r="6" spans="1:13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258</v>
      </c>
    </row>
    <row r="7" spans="1:13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13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1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68" t="s">
        <v>185</v>
      </c>
      <c r="F9" s="166">
        <f>Table11[price HC]*I9</f>
        <v>100</v>
      </c>
      <c r="G9" s="171">
        <f>ROUND(F9/$B$3,2)</f>
        <v>10</v>
      </c>
      <c r="H9" s="171">
        <f t="shared" si="0"/>
        <v>6.67</v>
      </c>
      <c r="I9" s="188">
        <v>10</v>
      </c>
    </row>
    <row r="10" spans="1:13" ht="15.75" thickBot="1">
      <c r="A10" s="159">
        <v>19.989999999999998</v>
      </c>
      <c r="B10" s="331">
        <f>ROUND(Table47[[#This Row],[Price]]*$B$3+Table47[[#This Row],[Price]]*$B$3*Table47[[#This Row],[Discount]],0)</f>
        <v>250</v>
      </c>
      <c r="C10" s="160">
        <v>0.25</v>
      </c>
      <c r="E10" s="169" t="s">
        <v>818</v>
      </c>
      <c r="F10" s="175">
        <f>Table11[price HC]*I10</f>
        <v>130</v>
      </c>
      <c r="G10" s="172">
        <f>ROUND(F10/$B$3,2)</f>
        <v>13</v>
      </c>
      <c r="H10" s="172">
        <f>ROUND(F10/$B$4,2)</f>
        <v>8.67</v>
      </c>
      <c r="I10" s="476">
        <v>13</v>
      </c>
    </row>
    <row r="11" spans="1:13" ht="15.75" thickBot="1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M11" s="100"/>
    </row>
    <row r="12" spans="1:13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49" t="s">
        <v>259</v>
      </c>
      <c r="F12" s="170" t="s">
        <v>181</v>
      </c>
      <c r="G12" s="170" t="s">
        <v>52</v>
      </c>
      <c r="H12" s="170" t="s">
        <v>53</v>
      </c>
      <c r="I12" s="150" t="s">
        <v>258</v>
      </c>
    </row>
    <row r="13" spans="1:1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8" t="s">
        <v>691</v>
      </c>
      <c r="F13" s="166">
        <f>Table11[price HC]*I13</f>
        <v>30</v>
      </c>
      <c r="G13" s="171">
        <f>ROUND(F13/$B$3,2)</f>
        <v>3</v>
      </c>
      <c r="H13" s="171">
        <f>ROUND(F13/$B$4,2)</f>
        <v>2</v>
      </c>
      <c r="I13" s="188">
        <v>3</v>
      </c>
    </row>
    <row r="14" spans="1:13">
      <c r="E14" s="173" t="s">
        <v>692</v>
      </c>
      <c r="F14" s="167">
        <f>Table11[price HC]*I14</f>
        <v>50</v>
      </c>
      <c r="G14" s="179">
        <f>ROUND(F14/$B$3,2)</f>
        <v>5</v>
      </c>
      <c r="H14" s="179">
        <f>ROUND(F14/$B$4,2)</f>
        <v>3.33</v>
      </c>
      <c r="I14" s="477">
        <v>5</v>
      </c>
    </row>
    <row r="15" spans="1:13" ht="15.75" thickBot="1">
      <c r="E15" s="174" t="s">
        <v>819</v>
      </c>
      <c r="F15" s="180">
        <f>Table11[price HC]*I15</f>
        <v>70</v>
      </c>
      <c r="G15" s="181">
        <f>ROUND(F15/$B$3,2)</f>
        <v>7</v>
      </c>
      <c r="H15" s="181">
        <f>ROUND(F15/$B$4,2)</f>
        <v>4.67</v>
      </c>
      <c r="I15" s="476">
        <v>7</v>
      </c>
    </row>
    <row r="17" spans="1:26" ht="19.5" thickBot="1">
      <c r="A17" s="30" t="s">
        <v>180</v>
      </c>
      <c r="B17" s="36"/>
      <c r="C17" s="36"/>
      <c r="F17" s="631" t="s">
        <v>202</v>
      </c>
      <c r="G17" s="632"/>
      <c r="H17" s="633"/>
      <c r="I17" s="631" t="s">
        <v>264</v>
      </c>
      <c r="J17" s="632"/>
      <c r="K17" s="633"/>
      <c r="L17" s="631" t="s">
        <v>275</v>
      </c>
      <c r="M17" s="632"/>
      <c r="N17" s="633"/>
      <c r="O17" s="631" t="s">
        <v>276</v>
      </c>
      <c r="P17" s="632"/>
      <c r="Q17" s="633"/>
      <c r="R17" s="631" t="s">
        <v>277</v>
      </c>
      <c r="S17" s="632"/>
      <c r="T17" s="633"/>
      <c r="U17" s="631" t="s">
        <v>490</v>
      </c>
      <c r="V17" s="632"/>
      <c r="W17" s="633"/>
      <c r="X17" s="631" t="s">
        <v>536</v>
      </c>
      <c r="Y17" s="632"/>
      <c r="Z17" s="633"/>
    </row>
    <row r="18" spans="1:26" ht="15.75" thickBot="1">
      <c r="E18" s="105" t="s">
        <v>4</v>
      </c>
      <c r="F18" s="105" t="s">
        <v>186</v>
      </c>
      <c r="G18" s="355" t="s">
        <v>52</v>
      </c>
      <c r="H18" s="356" t="s">
        <v>53</v>
      </c>
      <c r="I18" s="357" t="s">
        <v>265</v>
      </c>
      <c r="J18" s="201" t="s">
        <v>262</v>
      </c>
      <c r="K18" s="203" t="s">
        <v>263</v>
      </c>
      <c r="L18" s="200" t="s">
        <v>266</v>
      </c>
      <c r="M18" s="201" t="s">
        <v>267</v>
      </c>
      <c r="N18" s="203" t="s">
        <v>268</v>
      </c>
      <c r="O18" s="200" t="s">
        <v>269</v>
      </c>
      <c r="P18" s="201" t="s">
        <v>270</v>
      </c>
      <c r="Q18" s="203" t="s">
        <v>271</v>
      </c>
      <c r="R18" s="200" t="s">
        <v>272</v>
      </c>
      <c r="S18" s="201" t="s">
        <v>273</v>
      </c>
      <c r="T18" s="202" t="s">
        <v>274</v>
      </c>
      <c r="U18" s="358" t="s">
        <v>487</v>
      </c>
      <c r="V18" s="359" t="s">
        <v>488</v>
      </c>
      <c r="W18" s="360" t="s">
        <v>489</v>
      </c>
      <c r="X18" s="358" t="s">
        <v>533</v>
      </c>
      <c r="Y18" s="359" t="s">
        <v>534</v>
      </c>
      <c r="Z18" s="360" t="s">
        <v>535</v>
      </c>
    </row>
    <row r="19" spans="1:26">
      <c r="A19" s="151" t="s">
        <v>52</v>
      </c>
      <c r="B19" s="152">
        <v>6000</v>
      </c>
      <c r="C19" s="153" t="s">
        <v>54</v>
      </c>
      <c r="E19" s="389" t="s">
        <v>190</v>
      </c>
      <c r="F19" s="161">
        <v>10</v>
      </c>
      <c r="G19" s="171">
        <f>F19/$B$3</f>
        <v>1</v>
      </c>
      <c r="H19" s="163">
        <f t="shared" ref="H19:H38" si="1">ROUND(F19/$B$4,2)</f>
        <v>0.67</v>
      </c>
      <c r="I19" s="161">
        <v>1700</v>
      </c>
      <c r="J19" s="171">
        <f>Table9[[#This Row],[Dis. 1 price (SC or HC)]]/$B$19</f>
        <v>0.28333333333333333</v>
      </c>
      <c r="K19" s="171">
        <f>Table9[[#This Row],[Dis. 1 price (SC or HC)]]/$B$20</f>
        <v>0.11111111111111112</v>
      </c>
      <c r="L19" s="199">
        <v>5</v>
      </c>
      <c r="M19" s="171">
        <f>Table9[[#This Row],[Dis. 2 price (SC or HC)]]/$B$3</f>
        <v>0.5</v>
      </c>
      <c r="N19" s="171">
        <f>Table9[[#This Row],[Dis. 2 price (SC or HC)]]/$B$4</f>
        <v>0.33333333333333331</v>
      </c>
      <c r="O19" s="205" t="s">
        <v>151</v>
      </c>
      <c r="P19" s="171" t="s">
        <v>151</v>
      </c>
      <c r="Q19" s="171" t="s">
        <v>151</v>
      </c>
      <c r="R19" s="205" t="s">
        <v>151</v>
      </c>
      <c r="S19" s="171" t="s">
        <v>151</v>
      </c>
      <c r="T19" s="171" t="s">
        <v>151</v>
      </c>
      <c r="U19" s="205" t="s">
        <v>151</v>
      </c>
      <c r="V19" s="171" t="s">
        <v>151</v>
      </c>
      <c r="W19" s="171" t="s">
        <v>151</v>
      </c>
      <c r="X19" s="205" t="s">
        <v>151</v>
      </c>
      <c r="Y19" s="171" t="s">
        <v>151</v>
      </c>
      <c r="Z19" s="171" t="s">
        <v>151</v>
      </c>
    </row>
    <row r="20" spans="1:26" ht="15.75" thickBot="1">
      <c r="A20" s="154" t="s">
        <v>53</v>
      </c>
      <c r="B20" s="155">
        <f>B28/(A28/B4)</f>
        <v>15299.999999999998</v>
      </c>
      <c r="C20" s="156" t="s">
        <v>54</v>
      </c>
      <c r="E20" s="389" t="s">
        <v>193</v>
      </c>
      <c r="F20" s="161">
        <v>35</v>
      </c>
      <c r="G20" s="171">
        <f t="shared" ref="G20:G38" si="2">F20/$B$3</f>
        <v>3.5</v>
      </c>
      <c r="H20" s="163">
        <f t="shared" si="1"/>
        <v>2.33</v>
      </c>
      <c r="I20" s="161">
        <v>5300</v>
      </c>
      <c r="J20" s="171">
        <f>Table9[[#This Row],[Dis. 1 price (SC or HC)]]/$B$19</f>
        <v>0.8833333333333333</v>
      </c>
      <c r="K20" s="171">
        <f>Table9[[#This Row],[Dis. 1 price (SC or HC)]]/$B$20</f>
        <v>0.34640522875816998</v>
      </c>
      <c r="L20" s="199">
        <v>10</v>
      </c>
      <c r="M20" s="171">
        <f>Table9[[#This Row],[Dis. 2 price (SC or HC)]]/$B$3</f>
        <v>1</v>
      </c>
      <c r="N20" s="171">
        <f>Table9[[#This Row],[Dis. 2 price (SC or HC)]]/$B$4</f>
        <v>0.66666666666666663</v>
      </c>
      <c r="O20" s="204" t="s">
        <v>151</v>
      </c>
      <c r="P20" s="171" t="s">
        <v>151</v>
      </c>
      <c r="Q20" s="171" t="s">
        <v>151</v>
      </c>
      <c r="R20" s="204" t="s">
        <v>151</v>
      </c>
      <c r="S20" s="171" t="s">
        <v>151</v>
      </c>
      <c r="T20" s="171" t="s">
        <v>151</v>
      </c>
      <c r="U20" s="204" t="s">
        <v>151</v>
      </c>
      <c r="V20" s="171" t="s">
        <v>151</v>
      </c>
      <c r="W20" s="171" t="s">
        <v>151</v>
      </c>
      <c r="X20" s="204" t="s">
        <v>151</v>
      </c>
      <c r="Y20" s="171" t="s">
        <v>151</v>
      </c>
      <c r="Z20" s="171" t="s">
        <v>151</v>
      </c>
    </row>
    <row r="21" spans="1:26">
      <c r="A21" t="s">
        <v>253</v>
      </c>
      <c r="E21" s="390" t="s">
        <v>191</v>
      </c>
      <c r="F21" s="161">
        <v>40</v>
      </c>
      <c r="G21" s="179">
        <f>F21/$B$3</f>
        <v>4</v>
      </c>
      <c r="H21" s="164">
        <f t="shared" si="1"/>
        <v>2.67</v>
      </c>
      <c r="I21" s="161">
        <v>10000</v>
      </c>
      <c r="J21" s="179">
        <f>Table9[[#This Row],[Dis. 1 price (SC or HC)]]/$B$19</f>
        <v>1.6666666666666667</v>
      </c>
      <c r="K21" s="179">
        <f>Table9[[#This Row],[Dis. 1 price (SC or HC)]]/$B$20</f>
        <v>0.65359477124183019</v>
      </c>
      <c r="L21" s="199">
        <v>10000</v>
      </c>
      <c r="M21" s="179">
        <f>Table9[[#This Row],[Dis. 2 price (SC or HC)]]/$B$19</f>
        <v>1.6666666666666667</v>
      </c>
      <c r="N21" s="179">
        <f>Table9[[#This Row],[Dis. 2 price (SC or HC)]]/$B$20</f>
        <v>0.65359477124183019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 t="s">
        <v>254</v>
      </c>
      <c r="B22" s="165" t="s">
        <v>50</v>
      </c>
      <c r="C22" s="105" t="s">
        <v>47</v>
      </c>
      <c r="E22" s="390" t="s">
        <v>192</v>
      </c>
      <c r="F22" s="161">
        <v>50</v>
      </c>
      <c r="G22" s="179">
        <f t="shared" si="2"/>
        <v>5</v>
      </c>
      <c r="H22" s="164">
        <f>ROUND(F22/$B$4,2)</f>
        <v>3.33</v>
      </c>
      <c r="I22" s="161">
        <v>30000</v>
      </c>
      <c r="J22" s="179">
        <f>Table9[[#This Row],[Dis. 1 price (SC or HC)]]/$B$19</f>
        <v>5</v>
      </c>
      <c r="K22" s="179">
        <f>Table9[[#This Row],[Dis. 1 price (SC or HC)]]/$B$20</f>
        <v>1.9607843137254903</v>
      </c>
      <c r="L22" s="199">
        <v>30000</v>
      </c>
      <c r="M22" s="179">
        <f>Table9[[#This Row],[Dis. 2 price (SC or HC)]]/$B$19</f>
        <v>5</v>
      </c>
      <c r="N22" s="179">
        <f>Table9[[#This Row],[Dis. 2 price (SC or HC)]]/$B$20</f>
        <v>1.9607843137254903</v>
      </c>
      <c r="O22" s="199">
        <v>15</v>
      </c>
      <c r="P22" s="179">
        <f>Table9[[#This Row],[Dis. 3 price (SC or HC)]]/$B$3</f>
        <v>1.5</v>
      </c>
      <c r="Q22" s="179">
        <f>Table9[[#This Row],[Dis. 3 price (SC or HC)]]/$B$4</f>
        <v>1</v>
      </c>
      <c r="R22" s="204" t="s">
        <v>151</v>
      </c>
      <c r="S22" s="179" t="s">
        <v>151</v>
      </c>
      <c r="T22" s="179" t="s">
        <v>151</v>
      </c>
      <c r="U22" s="204" t="s">
        <v>151</v>
      </c>
      <c r="V22" s="179" t="s">
        <v>151</v>
      </c>
      <c r="W22" s="179" t="s">
        <v>151</v>
      </c>
      <c r="X22" s="204" t="s">
        <v>151</v>
      </c>
      <c r="Y22" s="179" t="s">
        <v>151</v>
      </c>
      <c r="Z22" s="179" t="s">
        <v>151</v>
      </c>
    </row>
    <row r="23" spans="1:26">
      <c r="A23" s="105">
        <v>5</v>
      </c>
      <c r="B23" s="165">
        <f>ROUND((($B$19/$B$3)*Table479[[#This Row],[Price HC]])+((($B$19/$B$3)*Table479[[#This Row],[Price HC]])*Table479[[#This Row],[Discount]]),0)</f>
        <v>3000</v>
      </c>
      <c r="C23" s="158">
        <v>0</v>
      </c>
      <c r="E23" s="390" t="s">
        <v>194</v>
      </c>
      <c r="F23" s="161">
        <v>80</v>
      </c>
      <c r="G23" s="179">
        <f t="shared" si="2"/>
        <v>8</v>
      </c>
      <c r="H23" s="164">
        <f t="shared" si="1"/>
        <v>5.33</v>
      </c>
      <c r="I23" s="161">
        <v>58000</v>
      </c>
      <c r="J23" s="179">
        <f>Table9[[#This Row],[Dis. 1 price (SC or HC)]]/$B$19</f>
        <v>9.6666666666666661</v>
      </c>
      <c r="K23" s="179">
        <f>Table9[[#This Row],[Dis. 1 price (SC or HC)]]/$B$20</f>
        <v>3.7908496732026147</v>
      </c>
      <c r="L23" s="199">
        <v>58000</v>
      </c>
      <c r="M23" s="179">
        <f>Table9[[#This Row],[Dis. 2 price (SC or HC)]]/$B$19</f>
        <v>9.6666666666666661</v>
      </c>
      <c r="N23" s="179">
        <f>Table9[[#This Row],[Dis. 2 price (SC or HC)]]/$B$20</f>
        <v>3.7908496732026147</v>
      </c>
      <c r="O23" s="199">
        <v>15</v>
      </c>
      <c r="P23" s="179">
        <f>Table9[[#This Row],[Dis. 3 price (SC or HC)]]/$B$3</f>
        <v>1.5</v>
      </c>
      <c r="Q23" s="179">
        <f>Table9[[#This Row],[Dis. 3 price (SC or HC)]]/$B$4</f>
        <v>1</v>
      </c>
      <c r="R23" s="204" t="s">
        <v>151</v>
      </c>
      <c r="S23" s="179" t="s">
        <v>151</v>
      </c>
      <c r="T23" s="179" t="s">
        <v>151</v>
      </c>
      <c r="U23" s="204" t="s">
        <v>151</v>
      </c>
      <c r="V23" s="179" t="s">
        <v>151</v>
      </c>
      <c r="W23" s="179" t="s">
        <v>151</v>
      </c>
      <c r="X23" s="204" t="s">
        <v>151</v>
      </c>
      <c r="Y23" s="179" t="s">
        <v>151</v>
      </c>
      <c r="Z23" s="179" t="s">
        <v>151</v>
      </c>
    </row>
    <row r="24" spans="1:26">
      <c r="A24" s="105">
        <v>20</v>
      </c>
      <c r="B24" s="165">
        <f>ROUND((($B$19/$B$3)*Table479[[#This Row],[Price HC]])+((($B$19/$B$3)*Table479[[#This Row],[Price HC]])*Table479[[#This Row],[Discount]]),0)</f>
        <v>13200</v>
      </c>
      <c r="C24" s="160">
        <v>0.1</v>
      </c>
      <c r="E24" s="389" t="s">
        <v>195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75000</v>
      </c>
      <c r="J24" s="171">
        <f>Table9[[#This Row],[Dis. 1 price (SC or HC)]]/$B$19</f>
        <v>12.5</v>
      </c>
      <c r="K24" s="171">
        <f>Table9[[#This Row],[Dis. 1 price (SC or HC)]]/$B$20</f>
        <v>4.9019607843137258</v>
      </c>
      <c r="L24" s="199">
        <v>75000</v>
      </c>
      <c r="M24" s="171">
        <f>Table9[[#This Row],[Dis. 2 price (SC or HC)]]/$B$19</f>
        <v>12.5</v>
      </c>
      <c r="N24" s="171">
        <f>Table9[[#This Row],[Dis. 2 price (SC or HC)]]/$B$20</f>
        <v>4.9019607843137258</v>
      </c>
      <c r="O24" s="199">
        <v>75000</v>
      </c>
      <c r="P24" s="171">
        <f>Table9[[#This Row],[Dis. 3 price (SC or HC)]]/$B$19</f>
        <v>12.5</v>
      </c>
      <c r="Q24" s="171">
        <f>Table9[[#This Row],[Dis. 3 price (SC or HC)]]/$B$20</f>
        <v>4.9019607843137258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>
        <v>55</v>
      </c>
      <c r="V24" s="171">
        <f>Table9[[#This Row],[Dis. 5 price (SC or HC)]]/$B$3</f>
        <v>5.5</v>
      </c>
      <c r="W24" s="171">
        <f>Table9[[#This Row],[Dis. 5 price (SC or HC)]]/$B$4</f>
        <v>3.6666666666666665</v>
      </c>
      <c r="X24" s="204">
        <v>65</v>
      </c>
      <c r="Y24" s="171">
        <f>Table9[[#This Row],[Dis. 6 price (SC or HC)]]/$B$3</f>
        <v>6.5</v>
      </c>
      <c r="Z24" s="171">
        <f>Table9[[#This Row],[Dis. 6 price (SC or HC)]]/$B$4</f>
        <v>4.333333333333333</v>
      </c>
    </row>
    <row r="25" spans="1:26">
      <c r="A25" s="105">
        <v>50</v>
      </c>
      <c r="B25" s="165">
        <f>ROUND((($B$19/$B$3)*Table479[[#This Row],[Price HC]])+((($B$19/$B$3)*Table479[[#This Row],[Price HC]])*Table479[[#This Row],[Discount]]),0)</f>
        <v>36000</v>
      </c>
      <c r="C25" s="158">
        <v>0.2</v>
      </c>
      <c r="E25" s="389" t="s">
        <v>196</v>
      </c>
      <c r="F25" s="161">
        <v>100</v>
      </c>
      <c r="G25" s="171">
        <f t="shared" si="2"/>
        <v>10</v>
      </c>
      <c r="H25" s="163">
        <f t="shared" si="1"/>
        <v>6.67</v>
      </c>
      <c r="I25" s="161">
        <v>80000</v>
      </c>
      <c r="J25" s="171">
        <f>Table9[[#This Row],[Dis. 1 price (SC or HC)]]/$B$19</f>
        <v>13.333333333333334</v>
      </c>
      <c r="K25" s="171">
        <f>Table9[[#This Row],[Dis. 1 price (SC or HC)]]/$B$20</f>
        <v>5.2287581699346415</v>
      </c>
      <c r="L25" s="199">
        <v>80000</v>
      </c>
      <c r="M25" s="171">
        <f>Table9[[#This Row],[Dis. 2 price (SC or HC)]]/$B$19</f>
        <v>13.333333333333334</v>
      </c>
      <c r="N25" s="171">
        <f>Table9[[#This Row],[Dis. 2 price (SC or HC)]]/$B$20</f>
        <v>5.2287581699346415</v>
      </c>
      <c r="O25" s="199">
        <v>80000</v>
      </c>
      <c r="P25" s="171">
        <f>Table9[[#This Row],[Dis. 3 price (SC or HC)]]/$B$19</f>
        <v>13.333333333333334</v>
      </c>
      <c r="Q25" s="171">
        <f>Table9[[#This Row],[Dis. 3 price (SC or HC)]]/$B$20</f>
        <v>5.2287581699346415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 t="s">
        <v>151</v>
      </c>
      <c r="V25" s="207" t="s">
        <v>151</v>
      </c>
      <c r="W25" s="207" t="s">
        <v>151</v>
      </c>
      <c r="X25" s="204" t="s">
        <v>151</v>
      </c>
      <c r="Y25" s="207" t="s">
        <v>151</v>
      </c>
      <c r="Z25" s="207" t="s">
        <v>151</v>
      </c>
    </row>
    <row r="26" spans="1:26">
      <c r="A26" s="105">
        <v>350</v>
      </c>
      <c r="B26" s="165">
        <f>ROUND((($B$19/$B$3)*Table479[[#This Row],[Price HC]])+((($B$19/$B$3)*Table479[[#This Row],[Price HC]])*Table479[[#This Row],[Discount]]),0)</f>
        <v>294000</v>
      </c>
      <c r="C26" s="160">
        <v>0.4</v>
      </c>
      <c r="E26" s="389" t="s">
        <v>197</v>
      </c>
      <c r="F26" s="161">
        <v>100</v>
      </c>
      <c r="G26" s="171">
        <f t="shared" si="2"/>
        <v>10</v>
      </c>
      <c r="H26" s="163">
        <f t="shared" si="1"/>
        <v>6.67</v>
      </c>
      <c r="I26" s="161">
        <v>85000</v>
      </c>
      <c r="J26" s="171">
        <f>Table9[[#This Row],[Dis. 1 price (SC or HC)]]/$B$19</f>
        <v>14.166666666666666</v>
      </c>
      <c r="K26" s="171">
        <f>Table9[[#This Row],[Dis. 1 price (SC or HC)]]/$B$20</f>
        <v>5.5555555555555562</v>
      </c>
      <c r="L26" s="199">
        <v>85000</v>
      </c>
      <c r="M26" s="171">
        <f>Table9[[#This Row],[Dis. 2 price (SC or HC)]]/$B$19</f>
        <v>14.166666666666666</v>
      </c>
      <c r="N26" s="171">
        <f>Table9[[#This Row],[Dis. 2 price (SC or HC)]]/$B$20</f>
        <v>5.5555555555555562</v>
      </c>
      <c r="O26" s="199">
        <v>85000</v>
      </c>
      <c r="P26" s="171">
        <f>Table9[[#This Row],[Dis. 3 price (SC or HC)]]/$B$19</f>
        <v>14.166666666666666</v>
      </c>
      <c r="Q26" s="171">
        <f>Table9[[#This Row],[Dis. 3 price (SC or HC)]]/$B$20</f>
        <v>5.5555555555555562</v>
      </c>
      <c r="R26" s="199">
        <v>45</v>
      </c>
      <c r="S26" s="171">
        <f>Table9[[#This Row],[Dis. 4 price (SC or HC)]]/$B$3</f>
        <v>4.5</v>
      </c>
      <c r="T26" s="171">
        <f>Table9[[#This Row],[Dis. 4 price (SC or HC)]]/$B$4</f>
        <v>3</v>
      </c>
      <c r="U26" s="204" t="s">
        <v>151</v>
      </c>
      <c r="V26" s="207" t="s">
        <v>151</v>
      </c>
      <c r="W26" s="207" t="s">
        <v>151</v>
      </c>
      <c r="X26" s="204" t="s">
        <v>151</v>
      </c>
      <c r="Y26" s="207" t="s">
        <v>151</v>
      </c>
      <c r="Z26" s="207" t="s">
        <v>151</v>
      </c>
    </row>
    <row r="27" spans="1:26">
      <c r="A27" s="105">
        <v>400</v>
      </c>
      <c r="B27" s="165">
        <f>ROUND((($B$19/$B$3)*Table479[[#This Row],[Price HC]])+((($B$19/$B$3)*Table479[[#This Row],[Price HC]])*Table479[[#This Row],[Discount]]),0)</f>
        <v>360000</v>
      </c>
      <c r="C27" s="158">
        <v>0.5</v>
      </c>
      <c r="E27" s="390" t="s">
        <v>198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95000</v>
      </c>
      <c r="J27" s="179">
        <f>Table9[[#This Row],[Dis. 1 price (SC or HC)]]/$B$19</f>
        <v>15.833333333333334</v>
      </c>
      <c r="K27" s="179">
        <f>Table9[[#This Row],[Dis. 1 price (SC or HC)]]/$B$20</f>
        <v>6.2091503267973867</v>
      </c>
      <c r="L27" s="199">
        <v>95000</v>
      </c>
      <c r="M27" s="179">
        <f>Table9[[#This Row],[Dis. 2 price (SC or HC)]]/$B$19</f>
        <v>15.833333333333334</v>
      </c>
      <c r="N27" s="179">
        <f>Table9[[#This Row],[Dis. 2 price (SC or HC)]]/$B$20</f>
        <v>6.2091503267973867</v>
      </c>
      <c r="O27" s="199">
        <v>95000</v>
      </c>
      <c r="P27" s="179">
        <f>Table9[[#This Row],[Dis. 3 price (SC or HC)]]/$B$19</f>
        <v>15.833333333333334</v>
      </c>
      <c r="Q27" s="179">
        <f>Table9[[#This Row],[Dis. 3 price (SC or HC)]]/$B$20</f>
        <v>6.2091503267973867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>
        <v>55</v>
      </c>
      <c r="V27" s="179">
        <f>Table9[[#This Row],[Dis. 5 price (SC or HC)]]/$B$3</f>
        <v>5.5</v>
      </c>
      <c r="W27" s="179">
        <f>Table9[[#This Row],[Dis. 5 price (SC or HC)]]/$B$4</f>
        <v>3.6666666666666665</v>
      </c>
      <c r="X27" s="204" t="s">
        <v>151</v>
      </c>
      <c r="Y27" s="179" t="s">
        <v>151</v>
      </c>
      <c r="Z27" s="179" t="s">
        <v>151</v>
      </c>
    </row>
    <row r="28" spans="1:26">
      <c r="A28" s="105">
        <v>1000</v>
      </c>
      <c r="B28" s="165">
        <f>ROUND((($B$19/$B$3)*Table479[[#This Row],[Price HC]])+((($B$19/$B$3)*Table479[[#This Row],[Price HC]])*Table479[[#This Row],[Discount]]),0)</f>
        <v>1020000</v>
      </c>
      <c r="C28" s="160">
        <v>0.7</v>
      </c>
      <c r="E28" s="390" t="s">
        <v>199</v>
      </c>
      <c r="F28" s="161">
        <v>250</v>
      </c>
      <c r="G28" s="179">
        <f t="shared" si="2"/>
        <v>25</v>
      </c>
      <c r="H28" s="164">
        <f t="shared" si="1"/>
        <v>16.670000000000002</v>
      </c>
      <c r="I28" s="161">
        <v>135000</v>
      </c>
      <c r="J28" s="179">
        <f>Table9[[#This Row],[Dis. 1 price (SC or HC)]]/$B$19</f>
        <v>22.5</v>
      </c>
      <c r="K28" s="179">
        <f>Table9[[#This Row],[Dis. 1 price (SC or HC)]]/$B$20</f>
        <v>8.8235294117647065</v>
      </c>
      <c r="L28" s="199">
        <v>135000</v>
      </c>
      <c r="M28" s="179">
        <f>Table9[[#This Row],[Dis. 2 price (SC or HC)]]/$B$19</f>
        <v>22.5</v>
      </c>
      <c r="N28" s="179">
        <f>Table9[[#This Row],[Dis. 2 price (SC or HC)]]/$B$20</f>
        <v>8.8235294117647065</v>
      </c>
      <c r="O28" s="199">
        <v>135000</v>
      </c>
      <c r="P28" s="179">
        <f>Table9[[#This Row],[Dis. 3 price (SC or HC)]]/$B$19</f>
        <v>22.5</v>
      </c>
      <c r="Q28" s="179">
        <f>Table9[[#This Row],[Dis. 3 price (SC or HC)]]/$B$20</f>
        <v>8.8235294117647065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>
        <v>55</v>
      </c>
      <c r="V28" s="179">
        <f>Table9[[#This Row],[Dis. 5 price (SC or HC)]]/$B$3</f>
        <v>5.5</v>
      </c>
      <c r="W28" s="179">
        <f>Table9[[#This Row],[Dis. 5 price (SC or HC)]]/$B$4</f>
        <v>3.6666666666666665</v>
      </c>
      <c r="X28" s="204" t="s">
        <v>151</v>
      </c>
      <c r="Y28" s="179" t="s">
        <v>151</v>
      </c>
      <c r="Z28" s="179" t="s">
        <v>151</v>
      </c>
    </row>
    <row r="29" spans="1:26">
      <c r="A29" s="105"/>
      <c r="B29" s="105"/>
      <c r="C29" s="105"/>
      <c r="E29" s="390" t="s">
        <v>200</v>
      </c>
      <c r="F29" s="161">
        <v>250</v>
      </c>
      <c r="G29" s="179">
        <f t="shared" si="2"/>
        <v>25</v>
      </c>
      <c r="H29" s="164">
        <f t="shared" si="1"/>
        <v>16.670000000000002</v>
      </c>
      <c r="I29" s="161">
        <v>155000</v>
      </c>
      <c r="J29" s="179">
        <f>Table9[[#This Row],[Dis. 1 price (SC or HC)]]/$B$19</f>
        <v>25.833333333333332</v>
      </c>
      <c r="K29" s="179">
        <f>Table9[[#This Row],[Dis. 1 price (SC or HC)]]/$B$20</f>
        <v>10.130718954248367</v>
      </c>
      <c r="L29" s="199">
        <v>155000</v>
      </c>
      <c r="M29" s="179">
        <f>Table9[[#This Row],[Dis. 2 price (SC or HC)]]/$B$19</f>
        <v>25.833333333333332</v>
      </c>
      <c r="N29" s="179">
        <f>Table9[[#This Row],[Dis. 2 price (SC or HC)]]/$B$20</f>
        <v>10.130718954248367</v>
      </c>
      <c r="O29" s="199">
        <v>155000</v>
      </c>
      <c r="P29" s="179">
        <f>Table9[[#This Row],[Dis. 3 price (SC or HC)]]/$B$19</f>
        <v>25.833333333333332</v>
      </c>
      <c r="Q29" s="179">
        <f>Table9[[#This Row],[Dis. 3 price (SC or HC)]]/$B$20</f>
        <v>10.130718954248367</v>
      </c>
      <c r="R29" s="199">
        <v>45</v>
      </c>
      <c r="S29" s="179">
        <f>Table9[[#This Row],[Dis. 4 price (SC or HC)]]/$B$3</f>
        <v>4.5</v>
      </c>
      <c r="T29" s="179">
        <f>Table9[[#This Row],[Dis. 4 price (SC or HC)]]/$B$4</f>
        <v>3</v>
      </c>
      <c r="U29" s="204" t="s">
        <v>151</v>
      </c>
      <c r="V29" s="206" t="s">
        <v>151</v>
      </c>
      <c r="W29" s="206" t="s">
        <v>151</v>
      </c>
      <c r="X29" s="204" t="s">
        <v>151</v>
      </c>
      <c r="Y29" s="206" t="s">
        <v>151</v>
      </c>
      <c r="Z29" s="206" t="s">
        <v>151</v>
      </c>
    </row>
    <row r="30" spans="1:26">
      <c r="E30" s="389" t="s">
        <v>218</v>
      </c>
      <c r="F30" s="161">
        <v>550</v>
      </c>
      <c r="G30" s="171">
        <f t="shared" si="2"/>
        <v>55</v>
      </c>
      <c r="H30" s="163">
        <f t="shared" si="1"/>
        <v>36.67</v>
      </c>
      <c r="I30" s="161">
        <v>300000</v>
      </c>
      <c r="J30" s="171">
        <f>Table9[[#This Row],[Dis. 1 price (SC or HC)]]/$B$19</f>
        <v>50</v>
      </c>
      <c r="K30" s="171">
        <f>Table9[[#This Row],[Dis. 1 price (SC or HC)]]/$B$20</f>
        <v>19.607843137254903</v>
      </c>
      <c r="L30" s="199">
        <v>300000</v>
      </c>
      <c r="M30" s="171">
        <f>Table9[[#This Row],[Dis. 2 price (SC or HC)]]/$B$19</f>
        <v>50</v>
      </c>
      <c r="N30" s="171">
        <f>Table9[[#This Row],[Dis. 2 price (SC or HC)]]/$B$20</f>
        <v>19.607843137254903</v>
      </c>
      <c r="O30" s="199">
        <v>300000</v>
      </c>
      <c r="P30" s="171">
        <f>Table9[[#This Row],[Dis. 3 price (SC or HC)]]/$B$19</f>
        <v>50</v>
      </c>
      <c r="Q30" s="171">
        <f>Table9[[#This Row],[Dis. 3 price (SC or HC)]]/$B$20</f>
        <v>19.607843137254903</v>
      </c>
      <c r="R30" s="199">
        <v>45</v>
      </c>
      <c r="S30" s="171">
        <f>Table9[[#This Row],[Dis. 4 price (SC or HC)]]/$B$3</f>
        <v>4.5</v>
      </c>
      <c r="T30" s="171">
        <f>Table9[[#This Row],[Dis. 4 price (SC or HC)]]/$B$4</f>
        <v>3</v>
      </c>
      <c r="U30" s="204" t="s">
        <v>151</v>
      </c>
      <c r="V30" s="207" t="s">
        <v>151</v>
      </c>
      <c r="W30" s="207" t="s">
        <v>151</v>
      </c>
      <c r="X30" s="204">
        <v>65</v>
      </c>
      <c r="Y30" s="207">
        <f>Table9[[#This Row],[Dis. 6 price (SC or HC)]]/$B$3</f>
        <v>6.5</v>
      </c>
      <c r="Z30" s="207">
        <f>Table9[[#This Row],[Dis. 6 price (SC or HC)]]/$B$4</f>
        <v>4.333333333333333</v>
      </c>
    </row>
    <row r="31" spans="1:26">
      <c r="A31" s="105"/>
      <c r="B31" s="105"/>
      <c r="C31" s="105"/>
      <c r="E31" s="389" t="s">
        <v>520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400000</v>
      </c>
      <c r="J31" s="171">
        <f>Table9[[#This Row],[Dis. 1 price (SC or HC)]]/$B$19</f>
        <v>66.666666666666671</v>
      </c>
      <c r="K31" s="171">
        <f>Table9[[#This Row],[Dis. 1 price (SC or HC)]]/$B$20</f>
        <v>26.143790849673206</v>
      </c>
      <c r="L31" s="199">
        <v>400000</v>
      </c>
      <c r="M31" s="171">
        <f>Table9[[#This Row],[Dis. 2 price (SC or HC)]]/$B$19</f>
        <v>66.666666666666671</v>
      </c>
      <c r="N31" s="171">
        <f>Table9[[#This Row],[Dis. 2 price (SC or HC)]]/$B$20</f>
        <v>26.143790849673206</v>
      </c>
      <c r="O31" s="19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199">
        <v>65</v>
      </c>
      <c r="S31" s="171">
        <f>Table9[[#This Row],[Dis. 4 price (SC or HC)]]/$B$3</f>
        <v>6.5</v>
      </c>
      <c r="T31" s="171">
        <f>Table9[[#This Row],[Dis. 4 price (SC or HC)]]/$B$4</f>
        <v>4.333333333333333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89" t="s">
        <v>571</v>
      </c>
      <c r="F32" s="161">
        <v>550</v>
      </c>
      <c r="G32" s="171">
        <f>F32/$B$3</f>
        <v>55</v>
      </c>
      <c r="H32" s="163">
        <f>ROUND(F32/$B$4,2)</f>
        <v>36.67</v>
      </c>
      <c r="I32" s="161">
        <v>500000</v>
      </c>
      <c r="J32" s="171">
        <f>Table9[[#This Row],[Dis. 1 price (SC or HC)]]/$B$19</f>
        <v>83.333333333333329</v>
      </c>
      <c r="K32" s="171">
        <f>Table9[[#This Row],[Dis. 1 price (SC or HC)]]/$B$20</f>
        <v>32.679738562091508</v>
      </c>
      <c r="L32" s="199">
        <v>500000</v>
      </c>
      <c r="M32" s="171">
        <f>Table9[[#This Row],[Dis. 2 price (SC or HC)]]/$B$19</f>
        <v>83.333333333333329</v>
      </c>
      <c r="N32" s="171">
        <f>Table9[[#This Row],[Dis. 2 price (SC or HC)]]/$B$20</f>
        <v>32.679738562091508</v>
      </c>
      <c r="O32" s="199">
        <v>55</v>
      </c>
      <c r="P32" s="171">
        <f>Table9[[#This Row],[Dis. 3 price (SC or HC)]]/$B$3</f>
        <v>5.5</v>
      </c>
      <c r="Q32" s="171">
        <f>Table9[[#This Row],[Dis. 3 price (SC or HC)]]/$B$4</f>
        <v>3.6666666666666665</v>
      </c>
      <c r="R32" s="199">
        <v>70</v>
      </c>
      <c r="S32" s="171">
        <f>Table9[[#This Row],[Dis. 4 price (SC or HC)]]/$B$3</f>
        <v>7</v>
      </c>
      <c r="T32" s="171">
        <f>Table9[[#This Row],[Dis. 4 price (SC or HC)]]/$B$4</f>
        <v>4.666666666666667</v>
      </c>
      <c r="U32" s="204" t="s">
        <v>151</v>
      </c>
      <c r="V32" s="207" t="s">
        <v>151</v>
      </c>
      <c r="W32" s="207" t="s">
        <v>151</v>
      </c>
      <c r="X32" s="204" t="s">
        <v>151</v>
      </c>
      <c r="Y32" s="207" t="s">
        <v>151</v>
      </c>
      <c r="Z32" s="207" t="s">
        <v>151</v>
      </c>
    </row>
    <row r="33" spans="1:26" ht="18.75">
      <c r="A33" s="30" t="s">
        <v>255</v>
      </c>
      <c r="B33" s="36"/>
      <c r="C33" s="36"/>
      <c r="E33" s="389" t="s">
        <v>771</v>
      </c>
      <c r="F33" s="161">
        <v>550</v>
      </c>
      <c r="G33" s="171">
        <f>F33/$B$3</f>
        <v>55</v>
      </c>
      <c r="H33" s="163">
        <f>ROUND(F33/$B$4,2)</f>
        <v>36.67</v>
      </c>
      <c r="I33" s="161">
        <v>900000</v>
      </c>
      <c r="J33" s="171">
        <f>(Table9[[#This Row],[Dis. 1 price (SC or HC)]]/($B$19/$B$3))/$B$3</f>
        <v>150</v>
      </c>
      <c r="K33" s="171">
        <f>Table9[[#This Row],[Dis. 1 price (SC or HC)]]/$B$20</f>
        <v>58.82352941176471</v>
      </c>
      <c r="L33" s="475">
        <v>65</v>
      </c>
      <c r="M33" s="171">
        <f>Table9[[#This Row],[Dis. 2 price (SC or HC)]]/$B$3</f>
        <v>6.5</v>
      </c>
      <c r="N33" s="171">
        <f>Table9[[#This Row],[Dis. 2 price (SC or HC)]]/$B$4</f>
        <v>4.333333333333333</v>
      </c>
      <c r="O33" s="475">
        <v>70</v>
      </c>
      <c r="P33" s="171">
        <f>Table9[[#This Row],[Dis. 3 price (SC or HC)]]/$B$3</f>
        <v>7</v>
      </c>
      <c r="Q33" s="171">
        <f>Table9[[#This Row],[Dis. 3 price (SC or HC)]]/$B$4</f>
        <v>4.666666666666667</v>
      </c>
      <c r="R33" s="475">
        <v>75</v>
      </c>
      <c r="S33" s="171">
        <f>Table9[[#This Row],[Dis. 4 price (SC or HC)]]/$B$3</f>
        <v>7.5</v>
      </c>
      <c r="T33" s="171">
        <f>Table9[[#This Row],[Dis. 4 price (SC or HC)]]/$B$4</f>
        <v>5</v>
      </c>
      <c r="U33" s="459" t="s">
        <v>151</v>
      </c>
      <c r="V33" s="207" t="s">
        <v>151</v>
      </c>
      <c r="W33" s="207" t="s">
        <v>151</v>
      </c>
      <c r="X33" s="459" t="s">
        <v>151</v>
      </c>
      <c r="Y33" s="207" t="s">
        <v>151</v>
      </c>
      <c r="Z33" s="207" t="s">
        <v>151</v>
      </c>
    </row>
    <row r="34" spans="1:26">
      <c r="A34" s="105"/>
      <c r="B34" s="105"/>
      <c r="C34" s="105"/>
      <c r="E34" s="390" t="s">
        <v>235</v>
      </c>
      <c r="F34" s="161">
        <v>100</v>
      </c>
      <c r="G34" s="179">
        <f>F34/$B$3</f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A35" s="148" t="s">
        <v>256</v>
      </c>
      <c r="B35" s="148" t="s">
        <v>257</v>
      </c>
      <c r="C35" s="105"/>
      <c r="E35" s="390" t="s">
        <v>236</v>
      </c>
      <c r="F35" s="161">
        <v>100</v>
      </c>
      <c r="G35" s="179">
        <f>F35/$B$3</f>
        <v>10</v>
      </c>
      <c r="H35" s="164">
        <f>ROUND(F35/$B$4,2)</f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>
      <c r="A36" s="162">
        <v>10</v>
      </c>
      <c r="B36" s="157">
        <f>A36/B3</f>
        <v>1</v>
      </c>
      <c r="C36" s="105"/>
      <c r="E36" s="390" t="s">
        <v>237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206" t="s">
        <v>151</v>
      </c>
      <c r="W36" s="206" t="s">
        <v>151</v>
      </c>
      <c r="X36" s="204" t="s">
        <v>151</v>
      </c>
      <c r="Y36" s="206" t="s">
        <v>151</v>
      </c>
      <c r="Z36" s="206" t="s">
        <v>151</v>
      </c>
    </row>
    <row r="37" spans="1:26">
      <c r="E37" s="390" t="s">
        <v>238</v>
      </c>
      <c r="F37" s="161">
        <v>100</v>
      </c>
      <c r="G37" s="179">
        <f t="shared" si="2"/>
        <v>10</v>
      </c>
      <c r="H37" s="164">
        <f t="shared" si="1"/>
        <v>6.67</v>
      </c>
      <c r="I37" s="161" t="s">
        <v>151</v>
      </c>
      <c r="J37" s="179" t="s">
        <v>151</v>
      </c>
      <c r="K37" s="179" t="s">
        <v>151</v>
      </c>
      <c r="L37" s="199" t="s">
        <v>151</v>
      </c>
      <c r="M37" s="179" t="s">
        <v>151</v>
      </c>
      <c r="N37" s="179" t="s">
        <v>151</v>
      </c>
      <c r="O37" s="199" t="s">
        <v>151</v>
      </c>
      <c r="P37" s="179" t="s">
        <v>151</v>
      </c>
      <c r="Q37" s="179" t="s">
        <v>151</v>
      </c>
      <c r="R37" s="199" t="s">
        <v>151</v>
      </c>
      <c r="S37" s="179" t="s">
        <v>151</v>
      </c>
      <c r="T37" s="179" t="s">
        <v>151</v>
      </c>
      <c r="U37" s="204" t="s">
        <v>151</v>
      </c>
      <c r="V37" s="206" t="s">
        <v>151</v>
      </c>
      <c r="W37" s="206" t="s">
        <v>151</v>
      </c>
      <c r="X37" s="204" t="s">
        <v>151</v>
      </c>
      <c r="Y37" s="206" t="s">
        <v>151</v>
      </c>
      <c r="Z37" s="206" t="s">
        <v>151</v>
      </c>
    </row>
    <row r="38" spans="1:26" ht="18.75">
      <c r="A38" s="30" t="s">
        <v>231</v>
      </c>
      <c r="B38" s="36"/>
      <c r="C38" s="36"/>
      <c r="E38" s="390" t="s">
        <v>239</v>
      </c>
      <c r="F38" s="161">
        <v>100</v>
      </c>
      <c r="G38" s="179">
        <f t="shared" si="2"/>
        <v>10</v>
      </c>
      <c r="H38" s="164">
        <f t="shared" si="1"/>
        <v>6.67</v>
      </c>
      <c r="I38" s="161" t="s">
        <v>151</v>
      </c>
      <c r="J38" s="179" t="s">
        <v>151</v>
      </c>
      <c r="K38" s="179" t="s">
        <v>151</v>
      </c>
      <c r="L38" s="199" t="s">
        <v>151</v>
      </c>
      <c r="M38" s="179" t="s">
        <v>151</v>
      </c>
      <c r="N38" s="179" t="s">
        <v>151</v>
      </c>
      <c r="O38" s="199" t="s">
        <v>151</v>
      </c>
      <c r="P38" s="179" t="s">
        <v>151</v>
      </c>
      <c r="Q38" s="179" t="s">
        <v>151</v>
      </c>
      <c r="R38" s="199" t="s">
        <v>151</v>
      </c>
      <c r="S38" s="179" t="s">
        <v>151</v>
      </c>
      <c r="T38" s="179" t="s">
        <v>151</v>
      </c>
      <c r="U38" s="204" t="s">
        <v>151</v>
      </c>
      <c r="V38" s="179" t="s">
        <v>151</v>
      </c>
      <c r="W38" s="179" t="s">
        <v>151</v>
      </c>
      <c r="X38" s="204" t="s">
        <v>151</v>
      </c>
      <c r="Y38" s="179" t="s">
        <v>151</v>
      </c>
      <c r="Z38" s="179" t="s">
        <v>151</v>
      </c>
    </row>
    <row r="39" spans="1:26" ht="15.75" thickBot="1"/>
    <row r="40" spans="1:26">
      <c r="A40" s="4" t="s">
        <v>52</v>
      </c>
      <c r="B40" s="3">
        <f>B3/F3</f>
        <v>1</v>
      </c>
      <c r="C40" s="4" t="s">
        <v>54</v>
      </c>
      <c r="E40" s="182">
        <f>B19/B3</f>
        <v>600</v>
      </c>
      <c r="F40" s="183" t="s">
        <v>49</v>
      </c>
      <c r="G40" s="184" t="s">
        <v>52</v>
      </c>
      <c r="M40" s="198"/>
    </row>
    <row r="41" spans="1:26" ht="15.75" thickBot="1">
      <c r="A41" s="4" t="s">
        <v>53</v>
      </c>
      <c r="B41" s="5">
        <f>ROUND(B4/F3,1)</f>
        <v>1.5</v>
      </c>
      <c r="C41" s="4" t="s">
        <v>54</v>
      </c>
      <c r="E41" s="185">
        <f>B20/B4</f>
        <v>1019.9999999999999</v>
      </c>
      <c r="F41" s="186" t="s">
        <v>49</v>
      </c>
      <c r="G41" s="187" t="s">
        <v>53</v>
      </c>
      <c r="M41" s="100"/>
    </row>
    <row r="43" spans="1:26" ht="18.75">
      <c r="A43" s="30" t="s">
        <v>187</v>
      </c>
      <c r="B43" s="36"/>
      <c r="C43" s="36"/>
      <c r="D43" t="s">
        <v>320</v>
      </c>
      <c r="E43" s="30" t="s">
        <v>232</v>
      </c>
      <c r="F43" s="36"/>
      <c r="G43" s="36"/>
      <c r="I43" s="30" t="s">
        <v>250</v>
      </c>
      <c r="J43" s="36"/>
      <c r="K43" s="36"/>
      <c r="M43" s="30" t="s">
        <v>251</v>
      </c>
      <c r="N43" s="36"/>
      <c r="O43" s="36"/>
      <c r="Q43" s="30" t="s">
        <v>817</v>
      </c>
      <c r="R43" s="36"/>
      <c r="S43" s="36"/>
    </row>
    <row r="45" spans="1:26">
      <c r="A45" s="4" t="s">
        <v>52</v>
      </c>
      <c r="B45" s="3">
        <f>B3/F7</f>
        <v>0.5</v>
      </c>
      <c r="C45" s="4" t="s">
        <v>54</v>
      </c>
      <c r="E45" s="4" t="s">
        <v>52</v>
      </c>
      <c r="F45" s="3">
        <f>B3/F4</f>
        <v>0.5</v>
      </c>
      <c r="G45" s="4" t="s">
        <v>54</v>
      </c>
      <c r="I45" s="4" t="s">
        <v>52</v>
      </c>
      <c r="J45" s="3">
        <f>B3/F13</f>
        <v>0.33333333333333331</v>
      </c>
      <c r="K45" s="4" t="s">
        <v>54</v>
      </c>
      <c r="M45" s="4" t="s">
        <v>52</v>
      </c>
      <c r="N45" s="3">
        <f>B3/F14</f>
        <v>0.2</v>
      </c>
      <c r="O45" s="4" t="s">
        <v>54</v>
      </c>
      <c r="Q45" s="4" t="s">
        <v>52</v>
      </c>
      <c r="R45" s="3">
        <f>B3/F15</f>
        <v>0.14285714285714285</v>
      </c>
      <c r="S45" s="4" t="s">
        <v>54</v>
      </c>
    </row>
    <row r="46" spans="1:26">
      <c r="A46" s="4" t="s">
        <v>53</v>
      </c>
      <c r="B46" s="5">
        <f>ROUND(B4/F7,1)</f>
        <v>0.8</v>
      </c>
      <c r="C46" s="4" t="s">
        <v>54</v>
      </c>
      <c r="E46" s="4" t="s">
        <v>53</v>
      </c>
      <c r="F46" s="3">
        <f>B4/F4</f>
        <v>0.75</v>
      </c>
      <c r="G46" s="4" t="s">
        <v>54</v>
      </c>
      <c r="I46" s="4" t="s">
        <v>53</v>
      </c>
      <c r="J46" s="3">
        <f>B4/F13</f>
        <v>0.5</v>
      </c>
      <c r="K46" s="4" t="s">
        <v>54</v>
      </c>
      <c r="M46" s="4" t="s">
        <v>53</v>
      </c>
      <c r="N46" s="3">
        <f>B4/F14</f>
        <v>0.3</v>
      </c>
      <c r="O46" s="4" t="s">
        <v>54</v>
      </c>
      <c r="Q46" s="4" t="s">
        <v>53</v>
      </c>
      <c r="R46" s="3">
        <f>B4/F15</f>
        <v>0.21428571428571427</v>
      </c>
      <c r="S46" s="4" t="s">
        <v>54</v>
      </c>
    </row>
    <row r="48" spans="1:26" ht="18.75">
      <c r="A48" s="30" t="s">
        <v>188</v>
      </c>
      <c r="B48" s="36"/>
      <c r="C48" s="36"/>
    </row>
    <row r="50" spans="1:15">
      <c r="A50" s="4" t="s">
        <v>52</v>
      </c>
      <c r="B50" s="3">
        <f>B3/F8</f>
        <v>0.2</v>
      </c>
      <c r="C50" s="4" t="s">
        <v>54</v>
      </c>
    </row>
    <row r="51" spans="1:15">
      <c r="A51" s="4" t="s">
        <v>53</v>
      </c>
      <c r="B51" s="5">
        <f>ROUND(B4/F8,1)</f>
        <v>0.3</v>
      </c>
      <c r="C51" s="4" t="s">
        <v>54</v>
      </c>
    </row>
    <row r="53" spans="1:15" ht="18.75">
      <c r="A53" s="30" t="s">
        <v>189</v>
      </c>
      <c r="B53" s="36"/>
      <c r="C53" s="36"/>
    </row>
    <row r="55" spans="1:15">
      <c r="A55" s="4" t="s">
        <v>52</v>
      </c>
      <c r="B55" s="3">
        <f>B3/F9</f>
        <v>0.1</v>
      </c>
      <c r="C55" s="4" t="s">
        <v>54</v>
      </c>
    </row>
    <row r="56" spans="1:15">
      <c r="A56" s="4" t="s">
        <v>53</v>
      </c>
      <c r="B56" s="5">
        <f>ROUND(B4/F9,1)</f>
        <v>0.2</v>
      </c>
      <c r="C56" s="4" t="s">
        <v>54</v>
      </c>
    </row>
    <row r="58" spans="1:15" ht="18.75">
      <c r="A58" s="30" t="s">
        <v>816</v>
      </c>
      <c r="B58" s="36"/>
      <c r="C58" s="36"/>
    </row>
    <row r="60" spans="1:15">
      <c r="A60" s="4" t="s">
        <v>52</v>
      </c>
      <c r="B60" s="3">
        <f>ROUND(B3/F10,2)</f>
        <v>0.08</v>
      </c>
      <c r="C60" s="4" t="s">
        <v>54</v>
      </c>
    </row>
    <row r="61" spans="1:15">
      <c r="A61" s="4" t="s">
        <v>53</v>
      </c>
      <c r="B61" s="5">
        <f>ROUND(B4/F10,1)</f>
        <v>0.1</v>
      </c>
      <c r="C61" s="4" t="s">
        <v>54</v>
      </c>
    </row>
    <row r="64" spans="1:15" ht="15" customHeight="1">
      <c r="A64" s="634" t="s">
        <v>261</v>
      </c>
      <c r="B64" s="634"/>
      <c r="C64" s="634"/>
      <c r="D64" s="634"/>
      <c r="E64" s="634"/>
      <c r="F64" s="634"/>
      <c r="G64" s="634"/>
      <c r="H64" s="634"/>
      <c r="I64" s="634"/>
      <c r="J64" s="634"/>
      <c r="K64" s="634"/>
      <c r="L64" s="634"/>
      <c r="M64" s="634"/>
      <c r="N64" s="634"/>
      <c r="O64" s="634"/>
    </row>
    <row r="65" spans="1:15" ht="15" customHeight="1">
      <c r="A65" s="634"/>
      <c r="B65" s="634"/>
      <c r="C65" s="634"/>
      <c r="D65" s="634"/>
      <c r="E65" s="634"/>
      <c r="F65" s="634"/>
      <c r="G65" s="634"/>
      <c r="H65" s="634"/>
      <c r="I65" s="634"/>
      <c r="J65" s="634"/>
      <c r="K65" s="634"/>
      <c r="L65" s="634"/>
      <c r="M65" s="634"/>
      <c r="N65" s="634"/>
      <c r="O65" s="634"/>
    </row>
    <row r="66" spans="1:15">
      <c r="A66" s="1"/>
      <c r="B66" s="1"/>
    </row>
    <row r="67" spans="1:15" ht="15.75">
      <c r="A67" s="36" t="s">
        <v>120</v>
      </c>
      <c r="B67" s="36"/>
      <c r="C67" s="36"/>
      <c r="D67" s="36"/>
      <c r="F67" s="36" t="s">
        <v>252</v>
      </c>
      <c r="G67" s="36"/>
      <c r="H67" s="36"/>
      <c r="I67" s="36"/>
      <c r="K67" s="36" t="s">
        <v>319</v>
      </c>
      <c r="L67" s="36"/>
      <c r="M67" s="36"/>
      <c r="N67" s="36"/>
    </row>
    <row r="69" spans="1:15">
      <c r="A69" s="126" t="s">
        <v>121</v>
      </c>
      <c r="B69" s="136"/>
      <c r="C69" s="136" t="s">
        <v>204</v>
      </c>
      <c r="D69" s="137" t="s">
        <v>205</v>
      </c>
      <c r="F69" s="137" t="s">
        <v>201</v>
      </c>
      <c r="G69" s="126" t="s">
        <v>248</v>
      </c>
      <c r="H69" s="127" t="s">
        <v>244</v>
      </c>
      <c r="I69" s="128" t="s">
        <v>245</v>
      </c>
      <c r="K69" s="137" t="s">
        <v>122</v>
      </c>
      <c r="L69" s="126" t="s">
        <v>248</v>
      </c>
      <c r="M69" s="127" t="s">
        <v>246</v>
      </c>
      <c r="N69" s="128" t="s">
        <v>247</v>
      </c>
    </row>
    <row r="70" spans="1:15">
      <c r="A70" s="437" t="s">
        <v>44</v>
      </c>
      <c r="B70" s="138">
        <v>0</v>
      </c>
      <c r="C70" s="139">
        <f>B70/$B$3</f>
        <v>0</v>
      </c>
      <c r="D70" s="140">
        <f>B70/$B$4</f>
        <v>0</v>
      </c>
      <c r="F70" s="209">
        <v>1</v>
      </c>
      <c r="G70" s="129" t="s">
        <v>44</v>
      </c>
      <c r="H70" s="124">
        <f>B3*F70</f>
        <v>10</v>
      </c>
      <c r="I70" s="130">
        <f>B4*F70</f>
        <v>15</v>
      </c>
      <c r="K70" s="208">
        <v>1</v>
      </c>
      <c r="L70" s="129" t="s">
        <v>44</v>
      </c>
      <c r="M70" s="193">
        <f>ROUND((1/B3)*K70,3)</f>
        <v>0.1</v>
      </c>
      <c r="N70" s="194">
        <f>ROUND((1/B4)*K70,3)</f>
        <v>6.7000000000000004E-2</v>
      </c>
    </row>
    <row r="71" spans="1:15" ht="15.75" thickBot="1">
      <c r="A71" s="438" t="s">
        <v>77</v>
      </c>
      <c r="B71" s="211">
        <v>0</v>
      </c>
      <c r="C71" s="212">
        <f>(B71/B19)</f>
        <v>0</v>
      </c>
      <c r="D71" s="213">
        <f>(B71/B20)</f>
        <v>0</v>
      </c>
      <c r="F71" s="222">
        <v>1</v>
      </c>
      <c r="G71" s="210" t="s">
        <v>77</v>
      </c>
      <c r="H71" s="220">
        <f>B19*F71</f>
        <v>6000</v>
      </c>
      <c r="I71" s="221">
        <f>B20*F71</f>
        <v>15299.999999999998</v>
      </c>
      <c r="K71" s="228">
        <v>1</v>
      </c>
      <c r="L71" s="210" t="s">
        <v>77</v>
      </c>
      <c r="M71" s="229">
        <f>ROUND((1/B19)*K71,10)</f>
        <v>1.6666669999999999E-4</v>
      </c>
      <c r="N71" s="230">
        <f>ROUND((1/B20)*K71,5)</f>
        <v>6.9999999999999994E-5</v>
      </c>
    </row>
    <row r="72" spans="1:15">
      <c r="A72" s="437" t="s">
        <v>228</v>
      </c>
      <c r="B72" s="138">
        <v>0</v>
      </c>
      <c r="C72" s="139">
        <f>B72/B40</f>
        <v>0</v>
      </c>
      <c r="D72" s="140">
        <f>B72/B41</f>
        <v>0</v>
      </c>
      <c r="F72" s="209">
        <v>1</v>
      </c>
      <c r="G72" s="129" t="s">
        <v>230</v>
      </c>
      <c r="H72" s="124">
        <f>ROUND((B3/F3)*F72,1)</f>
        <v>1</v>
      </c>
      <c r="I72" s="130">
        <f>(B4/F3)*F72</f>
        <v>1.5</v>
      </c>
      <c r="K72" s="208">
        <v>1</v>
      </c>
      <c r="L72" s="129" t="s">
        <v>230</v>
      </c>
      <c r="M72" s="193">
        <f>G3*K72</f>
        <v>1</v>
      </c>
      <c r="N72" s="194">
        <f>H3*K72</f>
        <v>0.67</v>
      </c>
    </row>
    <row r="73" spans="1:15">
      <c r="A73" s="439" t="s">
        <v>768</v>
      </c>
      <c r="B73" s="141">
        <v>0</v>
      </c>
      <c r="C73" s="142">
        <f>B73/F45</f>
        <v>0</v>
      </c>
      <c r="D73" s="143">
        <f>B73/F46</f>
        <v>0</v>
      </c>
      <c r="F73" s="209">
        <v>1</v>
      </c>
      <c r="G73" s="131" t="s">
        <v>233</v>
      </c>
      <c r="H73" s="125">
        <f>ROUND((B3/F4)*F73,1)</f>
        <v>0.5</v>
      </c>
      <c r="I73" s="132">
        <f>(B4/F4)*F73</f>
        <v>0.75</v>
      </c>
      <c r="K73" s="208">
        <v>1</v>
      </c>
      <c r="L73" s="131" t="s">
        <v>233</v>
      </c>
      <c r="M73" s="192">
        <f>G4*K73</f>
        <v>2</v>
      </c>
      <c r="N73" s="195">
        <f>H4*K73</f>
        <v>1.33</v>
      </c>
    </row>
    <row r="74" spans="1:15">
      <c r="A74" s="437" t="s">
        <v>691</v>
      </c>
      <c r="B74" s="138">
        <v>0</v>
      </c>
      <c r="C74" s="139">
        <f>B74/J45</f>
        <v>0</v>
      </c>
      <c r="D74" s="140">
        <f>B74/J46</f>
        <v>0</v>
      </c>
      <c r="F74" s="209">
        <v>1</v>
      </c>
      <c r="G74" s="129" t="s">
        <v>823</v>
      </c>
      <c r="H74" s="124">
        <f>ROUND((B3/F13)*F74,2)</f>
        <v>0.33</v>
      </c>
      <c r="I74" s="130">
        <f>(B4/F13)*F74</f>
        <v>0.5</v>
      </c>
      <c r="K74" s="208">
        <v>1</v>
      </c>
      <c r="L74" s="129" t="s">
        <v>823</v>
      </c>
      <c r="M74" s="193">
        <f>G13*K74</f>
        <v>3</v>
      </c>
      <c r="N74" s="194">
        <f>H13*K74</f>
        <v>2</v>
      </c>
    </row>
    <row r="75" spans="1:15">
      <c r="A75" s="439" t="s">
        <v>692</v>
      </c>
      <c r="B75" s="141">
        <v>0</v>
      </c>
      <c r="C75" s="142">
        <f>B75/N45</f>
        <v>0</v>
      </c>
      <c r="D75" s="143">
        <f>B75/N46</f>
        <v>0</v>
      </c>
      <c r="F75" s="209">
        <v>1</v>
      </c>
      <c r="G75" s="131" t="s">
        <v>822</v>
      </c>
      <c r="H75" s="125">
        <f>ROUND((B3/F14)*F75,2)</f>
        <v>0.2</v>
      </c>
      <c r="I75" s="132">
        <f>(B4/F14)*F75</f>
        <v>0.3</v>
      </c>
      <c r="K75" s="208">
        <v>1</v>
      </c>
      <c r="L75" s="131" t="s">
        <v>822</v>
      </c>
      <c r="M75" s="192">
        <f>G14*K75</f>
        <v>5</v>
      </c>
      <c r="N75" s="195">
        <f>H14*K75</f>
        <v>3.33</v>
      </c>
    </row>
    <row r="76" spans="1:15" ht="15.75" thickBot="1">
      <c r="A76" s="437" t="s">
        <v>819</v>
      </c>
      <c r="B76" s="138">
        <v>0</v>
      </c>
      <c r="C76" s="139">
        <f>B76/R45</f>
        <v>0</v>
      </c>
      <c r="D76" s="140">
        <f>B76/R46</f>
        <v>0</v>
      </c>
      <c r="F76" s="222">
        <v>1</v>
      </c>
      <c r="G76" s="214" t="s">
        <v>821</v>
      </c>
      <c r="H76" s="223">
        <f>ROUND((B3/F15)*F76,2)</f>
        <v>0.14000000000000001</v>
      </c>
      <c r="I76" s="224">
        <f>ROUND((B4/F15)*F76,2)</f>
        <v>0.21</v>
      </c>
      <c r="K76" s="228">
        <v>1</v>
      </c>
      <c r="L76" s="214" t="s">
        <v>821</v>
      </c>
      <c r="M76" s="231">
        <f>G15*K76</f>
        <v>7</v>
      </c>
      <c r="N76" s="232">
        <f>H15*K76</f>
        <v>4.67</v>
      </c>
    </row>
    <row r="77" spans="1:15">
      <c r="A77" s="478" t="s">
        <v>123</v>
      </c>
      <c r="B77" s="479">
        <v>0</v>
      </c>
      <c r="C77" s="480">
        <f>B77/B45</f>
        <v>0</v>
      </c>
      <c r="D77" s="481">
        <f>B77/B46</f>
        <v>0</v>
      </c>
      <c r="F77" s="209">
        <v>1</v>
      </c>
      <c r="G77" s="129" t="s">
        <v>123</v>
      </c>
      <c r="H77" s="124">
        <f>ROUND((B3/F7)*F77,1)</f>
        <v>0.5</v>
      </c>
      <c r="I77" s="130">
        <f>(B4/F7)*F77</f>
        <v>0.75</v>
      </c>
      <c r="K77" s="208">
        <v>1</v>
      </c>
      <c r="L77" s="129" t="s">
        <v>123</v>
      </c>
      <c r="M77" s="193">
        <f>G7*K77</f>
        <v>2</v>
      </c>
      <c r="N77" s="194">
        <f>H7*K77</f>
        <v>1.33</v>
      </c>
    </row>
    <row r="78" spans="1:15">
      <c r="A78" s="439" t="s">
        <v>124</v>
      </c>
      <c r="B78" s="141">
        <v>0</v>
      </c>
      <c r="C78" s="142">
        <f>B78/B50</f>
        <v>0</v>
      </c>
      <c r="D78" s="143">
        <f>B78/B51</f>
        <v>0</v>
      </c>
      <c r="F78" s="209">
        <v>1</v>
      </c>
      <c r="G78" s="131" t="s">
        <v>124</v>
      </c>
      <c r="H78" s="125">
        <f>ROUND((B3/F8)*F78,1)</f>
        <v>0.2</v>
      </c>
      <c r="I78" s="132">
        <f>(B4/F8)*F78</f>
        <v>0.3</v>
      </c>
      <c r="K78" s="208">
        <v>1</v>
      </c>
      <c r="L78" s="131" t="s">
        <v>124</v>
      </c>
      <c r="M78" s="192">
        <f>G8*K78</f>
        <v>5</v>
      </c>
      <c r="N78" s="195">
        <f>H8*K78</f>
        <v>3.33</v>
      </c>
    </row>
    <row r="79" spans="1:15">
      <c r="A79" s="437" t="s">
        <v>125</v>
      </c>
      <c r="B79" s="138">
        <v>0</v>
      </c>
      <c r="C79" s="139">
        <f>B79/B55</f>
        <v>0</v>
      </c>
      <c r="D79" s="140">
        <f>B79/B56</f>
        <v>0</v>
      </c>
      <c r="F79" s="209">
        <v>1</v>
      </c>
      <c r="G79" s="129" t="s">
        <v>125</v>
      </c>
      <c r="H79" s="124">
        <f>ROUND((B3/F9)*F79,2)</f>
        <v>0.1</v>
      </c>
      <c r="I79" s="130">
        <f>(B4/F9)*F79</f>
        <v>0.15</v>
      </c>
      <c r="K79" s="208">
        <v>1</v>
      </c>
      <c r="L79" s="129" t="s">
        <v>125</v>
      </c>
      <c r="M79" s="193">
        <f>G9*K79</f>
        <v>10</v>
      </c>
      <c r="N79" s="194">
        <f>H9*K79</f>
        <v>6.67</v>
      </c>
    </row>
    <row r="80" spans="1:15" ht="15.75" thickBot="1">
      <c r="A80" s="438" t="s">
        <v>820</v>
      </c>
      <c r="B80" s="211">
        <v>0</v>
      </c>
      <c r="C80" s="212">
        <f>B80/B60</f>
        <v>0</v>
      </c>
      <c r="D80" s="213">
        <f>B80/B61</f>
        <v>0</v>
      </c>
      <c r="F80" s="222">
        <v>1</v>
      </c>
      <c r="G80" s="210" t="s">
        <v>820</v>
      </c>
      <c r="H80" s="220">
        <f>ROUND((B3/F10)*F80,2)</f>
        <v>0.08</v>
      </c>
      <c r="I80" s="221">
        <f>ROUND((B4/F10)*F80,2)</f>
        <v>0.12</v>
      </c>
      <c r="K80" s="228">
        <v>1</v>
      </c>
      <c r="L80" s="210" t="s">
        <v>820</v>
      </c>
      <c r="M80" s="229">
        <f>G10*K80</f>
        <v>13</v>
      </c>
      <c r="N80" s="230">
        <f>H10*K80</f>
        <v>8.67</v>
      </c>
    </row>
    <row r="81" spans="1:14">
      <c r="A81" s="439" t="s">
        <v>677</v>
      </c>
      <c r="B81" s="141">
        <v>0</v>
      </c>
      <c r="C81" s="142">
        <f t="shared" ref="C81:C100" si="3">G19*B81</f>
        <v>0</v>
      </c>
      <c r="D81" s="143">
        <f t="shared" ref="D81:D100" si="4">H19*B81</f>
        <v>0</v>
      </c>
      <c r="F81" s="209">
        <v>1</v>
      </c>
      <c r="G81" s="131" t="s">
        <v>203</v>
      </c>
      <c r="H81" s="125">
        <f t="shared" ref="H81:H100" si="5">ROUND(F81/G19,3)</f>
        <v>1</v>
      </c>
      <c r="I81" s="132">
        <f t="shared" ref="I81:I100" si="6">ROUND(F81/H19,3)</f>
        <v>1.4930000000000001</v>
      </c>
      <c r="K81" s="208">
        <v>1</v>
      </c>
      <c r="L81" s="131" t="s">
        <v>203</v>
      </c>
      <c r="M81" s="192">
        <f t="shared" ref="M81:M100" si="7">G19*K81</f>
        <v>1</v>
      </c>
      <c r="N81" s="195">
        <f t="shared" ref="N81:N100" si="8">H19*K81</f>
        <v>0.67</v>
      </c>
    </row>
    <row r="82" spans="1:14">
      <c r="A82" s="440" t="s">
        <v>678</v>
      </c>
      <c r="B82" s="144">
        <v>0</v>
      </c>
      <c r="C82" s="379">
        <f t="shared" si="3"/>
        <v>0</v>
      </c>
      <c r="D82" s="380">
        <f t="shared" si="4"/>
        <v>0</v>
      </c>
      <c r="F82" s="225">
        <v>1</v>
      </c>
      <c r="G82" s="378" t="s">
        <v>206</v>
      </c>
      <c r="H82" s="395">
        <f t="shared" si="5"/>
        <v>0.28599999999999998</v>
      </c>
      <c r="I82" s="396">
        <f t="shared" si="6"/>
        <v>0.42899999999999999</v>
      </c>
      <c r="K82" s="233">
        <v>1</v>
      </c>
      <c r="L82" s="378" t="s">
        <v>206</v>
      </c>
      <c r="M82" s="409">
        <f t="shared" si="7"/>
        <v>3.5</v>
      </c>
      <c r="N82" s="410">
        <f t="shared" si="8"/>
        <v>2.33</v>
      </c>
    </row>
    <row r="83" spans="1:14">
      <c r="A83" s="441" t="s">
        <v>679</v>
      </c>
      <c r="B83" s="141">
        <v>0</v>
      </c>
      <c r="C83" s="374">
        <f t="shared" si="3"/>
        <v>0</v>
      </c>
      <c r="D83" s="375">
        <f t="shared" si="4"/>
        <v>0</v>
      </c>
      <c r="F83" s="209">
        <v>1</v>
      </c>
      <c r="G83" s="363" t="s">
        <v>207</v>
      </c>
      <c r="H83" s="376">
        <f t="shared" si="5"/>
        <v>0.25</v>
      </c>
      <c r="I83" s="377">
        <f t="shared" si="6"/>
        <v>0.375</v>
      </c>
      <c r="K83" s="208">
        <v>1</v>
      </c>
      <c r="L83" s="363" t="s">
        <v>207</v>
      </c>
      <c r="M83" s="405">
        <f t="shared" si="7"/>
        <v>4</v>
      </c>
      <c r="N83" s="406">
        <f t="shared" si="8"/>
        <v>2.67</v>
      </c>
    </row>
    <row r="84" spans="1:14">
      <c r="A84" s="437" t="s">
        <v>680</v>
      </c>
      <c r="B84" s="138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208</v>
      </c>
      <c r="H84" s="124">
        <f t="shared" si="5"/>
        <v>0.2</v>
      </c>
      <c r="I84" s="130">
        <f t="shared" si="6"/>
        <v>0.3</v>
      </c>
      <c r="K84" s="208">
        <v>1</v>
      </c>
      <c r="L84" s="129" t="s">
        <v>208</v>
      </c>
      <c r="M84" s="193">
        <f t="shared" si="7"/>
        <v>5</v>
      </c>
      <c r="N84" s="194">
        <f t="shared" si="8"/>
        <v>3.33</v>
      </c>
    </row>
    <row r="85" spans="1:14">
      <c r="A85" s="442" t="s">
        <v>681</v>
      </c>
      <c r="B85" s="216">
        <v>0</v>
      </c>
      <c r="C85" s="370">
        <f t="shared" si="3"/>
        <v>0</v>
      </c>
      <c r="D85" s="371">
        <f t="shared" si="4"/>
        <v>0</v>
      </c>
      <c r="F85" s="225">
        <v>1</v>
      </c>
      <c r="G85" s="369" t="s">
        <v>209</v>
      </c>
      <c r="H85" s="400">
        <f t="shared" si="5"/>
        <v>0.125</v>
      </c>
      <c r="I85" s="401">
        <f t="shared" si="6"/>
        <v>0.188</v>
      </c>
      <c r="K85" s="233">
        <v>1</v>
      </c>
      <c r="L85" s="369" t="s">
        <v>209</v>
      </c>
      <c r="M85" s="372">
        <f t="shared" si="7"/>
        <v>8</v>
      </c>
      <c r="N85" s="373">
        <f t="shared" si="8"/>
        <v>5.33</v>
      </c>
    </row>
    <row r="86" spans="1:14">
      <c r="A86" s="443" t="s">
        <v>682</v>
      </c>
      <c r="B86" s="138">
        <v>0</v>
      </c>
      <c r="C86" s="365">
        <f t="shared" si="3"/>
        <v>0</v>
      </c>
      <c r="D86" s="366">
        <f t="shared" si="4"/>
        <v>0</v>
      </c>
      <c r="F86" s="209">
        <v>1</v>
      </c>
      <c r="G86" s="364" t="s">
        <v>210</v>
      </c>
      <c r="H86" s="367">
        <f t="shared" si="5"/>
        <v>0.1</v>
      </c>
      <c r="I86" s="368">
        <f t="shared" si="6"/>
        <v>0.15</v>
      </c>
      <c r="K86" s="208">
        <v>1</v>
      </c>
      <c r="L86" s="364" t="s">
        <v>210</v>
      </c>
      <c r="M86" s="411">
        <f t="shared" si="7"/>
        <v>10</v>
      </c>
      <c r="N86" s="412">
        <f t="shared" si="8"/>
        <v>6.67</v>
      </c>
    </row>
    <row r="87" spans="1:14">
      <c r="A87" s="439" t="s">
        <v>683</v>
      </c>
      <c r="B87" s="141">
        <v>0</v>
      </c>
      <c r="C87" s="142">
        <f t="shared" si="3"/>
        <v>0</v>
      </c>
      <c r="D87" s="143">
        <f t="shared" si="4"/>
        <v>0</v>
      </c>
      <c r="F87" s="209">
        <v>1</v>
      </c>
      <c r="G87" s="131" t="s">
        <v>211</v>
      </c>
      <c r="H87" s="125">
        <f t="shared" si="5"/>
        <v>0.1</v>
      </c>
      <c r="I87" s="132">
        <f t="shared" si="6"/>
        <v>0.15</v>
      </c>
      <c r="K87" s="208">
        <v>1</v>
      </c>
      <c r="L87" s="131" t="s">
        <v>211</v>
      </c>
      <c r="M87" s="192">
        <f t="shared" si="7"/>
        <v>10</v>
      </c>
      <c r="N87" s="195">
        <f t="shared" si="8"/>
        <v>6.67</v>
      </c>
    </row>
    <row r="88" spans="1:14">
      <c r="A88" s="440" t="s">
        <v>684</v>
      </c>
      <c r="B88" s="144">
        <v>0</v>
      </c>
      <c r="C88" s="379">
        <f t="shared" si="3"/>
        <v>0</v>
      </c>
      <c r="D88" s="380">
        <f t="shared" si="4"/>
        <v>0</v>
      </c>
      <c r="F88" s="225">
        <v>1</v>
      </c>
      <c r="G88" s="378" t="s">
        <v>212</v>
      </c>
      <c r="H88" s="395">
        <f t="shared" si="5"/>
        <v>0.1</v>
      </c>
      <c r="I88" s="396">
        <f t="shared" si="6"/>
        <v>0.15</v>
      </c>
      <c r="K88" s="233">
        <v>1</v>
      </c>
      <c r="L88" s="378" t="s">
        <v>212</v>
      </c>
      <c r="M88" s="409">
        <f t="shared" si="7"/>
        <v>10</v>
      </c>
      <c r="N88" s="410">
        <f t="shared" si="8"/>
        <v>6.67</v>
      </c>
    </row>
    <row r="89" spans="1:14">
      <c r="A89" s="441" t="s">
        <v>685</v>
      </c>
      <c r="B89" s="141">
        <v>0</v>
      </c>
      <c r="C89" s="374">
        <f t="shared" si="3"/>
        <v>0</v>
      </c>
      <c r="D89" s="375">
        <f t="shared" si="4"/>
        <v>0</v>
      </c>
      <c r="F89" s="209">
        <v>1</v>
      </c>
      <c r="G89" s="363" t="s">
        <v>213</v>
      </c>
      <c r="H89" s="376">
        <f t="shared" si="5"/>
        <v>0.04</v>
      </c>
      <c r="I89" s="377">
        <f t="shared" si="6"/>
        <v>0.06</v>
      </c>
      <c r="K89" s="208">
        <v>1</v>
      </c>
      <c r="L89" s="363" t="s">
        <v>213</v>
      </c>
      <c r="M89" s="405">
        <f t="shared" si="7"/>
        <v>25</v>
      </c>
      <c r="N89" s="406">
        <f t="shared" si="8"/>
        <v>16.670000000000002</v>
      </c>
    </row>
    <row r="90" spans="1:14">
      <c r="A90" s="437" t="s">
        <v>686</v>
      </c>
      <c r="B90" s="138">
        <v>0</v>
      </c>
      <c r="C90" s="139">
        <f t="shared" si="3"/>
        <v>0</v>
      </c>
      <c r="D90" s="140">
        <f t="shared" si="4"/>
        <v>0</v>
      </c>
      <c r="F90" s="209">
        <v>1</v>
      </c>
      <c r="G90" s="129" t="s">
        <v>214</v>
      </c>
      <c r="H90" s="124">
        <f t="shared" si="5"/>
        <v>0.04</v>
      </c>
      <c r="I90" s="130">
        <f t="shared" si="6"/>
        <v>0.06</v>
      </c>
      <c r="K90" s="208">
        <v>1</v>
      </c>
      <c r="L90" s="129" t="s">
        <v>214</v>
      </c>
      <c r="M90" s="193">
        <f t="shared" si="7"/>
        <v>25</v>
      </c>
      <c r="N90" s="194">
        <f t="shared" si="8"/>
        <v>16.670000000000002</v>
      </c>
    </row>
    <row r="91" spans="1:14">
      <c r="A91" s="442" t="s">
        <v>687</v>
      </c>
      <c r="B91" s="216">
        <v>0</v>
      </c>
      <c r="C91" s="370">
        <f t="shared" si="3"/>
        <v>0</v>
      </c>
      <c r="D91" s="371">
        <f t="shared" si="4"/>
        <v>0</v>
      </c>
      <c r="F91" s="225">
        <v>1</v>
      </c>
      <c r="G91" s="369" t="s">
        <v>215</v>
      </c>
      <c r="H91" s="400">
        <f t="shared" si="5"/>
        <v>0.04</v>
      </c>
      <c r="I91" s="401">
        <f t="shared" si="6"/>
        <v>0.06</v>
      </c>
      <c r="K91" s="233">
        <v>1</v>
      </c>
      <c r="L91" s="369" t="s">
        <v>215</v>
      </c>
      <c r="M91" s="372">
        <f t="shared" si="7"/>
        <v>25</v>
      </c>
      <c r="N91" s="373">
        <f t="shared" si="8"/>
        <v>16.670000000000002</v>
      </c>
    </row>
    <row r="92" spans="1:14">
      <c r="A92" s="443" t="s">
        <v>688</v>
      </c>
      <c r="B92" s="141">
        <v>0</v>
      </c>
      <c r="C92" s="365">
        <f t="shared" si="3"/>
        <v>0</v>
      </c>
      <c r="D92" s="366">
        <f t="shared" si="4"/>
        <v>0</v>
      </c>
      <c r="F92" s="361">
        <v>1</v>
      </c>
      <c r="G92" s="397" t="s">
        <v>219</v>
      </c>
      <c r="H92" s="398">
        <f t="shared" si="5"/>
        <v>1.7999999999999999E-2</v>
      </c>
      <c r="I92" s="399">
        <f t="shared" si="6"/>
        <v>2.7E-2</v>
      </c>
      <c r="K92" s="362">
        <v>1</v>
      </c>
      <c r="L92" s="397" t="s">
        <v>219</v>
      </c>
      <c r="M92" s="413">
        <f t="shared" si="7"/>
        <v>55</v>
      </c>
      <c r="N92" s="414">
        <f t="shared" si="8"/>
        <v>36.67</v>
      </c>
    </row>
    <row r="93" spans="1:14">
      <c r="A93" s="439" t="s">
        <v>689</v>
      </c>
      <c r="B93" s="141">
        <v>0</v>
      </c>
      <c r="C93" s="142">
        <f t="shared" si="3"/>
        <v>0</v>
      </c>
      <c r="D93" s="143">
        <f t="shared" si="4"/>
        <v>0</v>
      </c>
      <c r="F93" s="209">
        <v>1</v>
      </c>
      <c r="G93" s="131" t="s">
        <v>521</v>
      </c>
      <c r="H93" s="125">
        <f t="shared" si="5"/>
        <v>1.7999999999999999E-2</v>
      </c>
      <c r="I93" s="132">
        <f t="shared" si="6"/>
        <v>2.7E-2</v>
      </c>
      <c r="K93" s="208">
        <v>1</v>
      </c>
      <c r="L93" s="131" t="s">
        <v>521</v>
      </c>
      <c r="M93" s="192">
        <f t="shared" si="7"/>
        <v>55</v>
      </c>
      <c r="N93" s="195">
        <f t="shared" si="8"/>
        <v>36.67</v>
      </c>
    </row>
    <row r="94" spans="1:14">
      <c r="A94" s="443" t="s">
        <v>690</v>
      </c>
      <c r="B94" s="138">
        <v>0</v>
      </c>
      <c r="C94" s="365">
        <f t="shared" si="3"/>
        <v>0</v>
      </c>
      <c r="D94" s="366">
        <f t="shared" si="4"/>
        <v>0</v>
      </c>
      <c r="F94" s="209">
        <v>1</v>
      </c>
      <c r="G94" s="364" t="s">
        <v>772</v>
      </c>
      <c r="H94" s="367">
        <f t="shared" si="5"/>
        <v>1.7999999999999999E-2</v>
      </c>
      <c r="I94" s="368">
        <f t="shared" si="6"/>
        <v>2.7E-2</v>
      </c>
      <c r="K94" s="208">
        <v>1</v>
      </c>
      <c r="L94" s="131" t="s">
        <v>772</v>
      </c>
      <c r="M94" s="192">
        <f t="shared" si="7"/>
        <v>55</v>
      </c>
      <c r="N94" s="195">
        <f t="shared" si="8"/>
        <v>36.67</v>
      </c>
    </row>
    <row r="95" spans="1:14">
      <c r="A95" s="443" t="s">
        <v>775</v>
      </c>
      <c r="B95" s="138">
        <v>0</v>
      </c>
      <c r="C95" s="379">
        <f t="shared" si="3"/>
        <v>0</v>
      </c>
      <c r="D95" s="380">
        <f t="shared" si="4"/>
        <v>0</v>
      </c>
      <c r="F95" s="209">
        <v>1</v>
      </c>
      <c r="G95" s="364" t="s">
        <v>773</v>
      </c>
      <c r="H95" s="395">
        <f t="shared" si="5"/>
        <v>1.7999999999999999E-2</v>
      </c>
      <c r="I95" s="396">
        <f t="shared" si="6"/>
        <v>2.7E-2</v>
      </c>
      <c r="K95" s="208">
        <v>1</v>
      </c>
      <c r="L95" s="131" t="s">
        <v>773</v>
      </c>
      <c r="M95" s="192">
        <f t="shared" si="7"/>
        <v>55</v>
      </c>
      <c r="N95" s="195">
        <f t="shared" si="8"/>
        <v>36.67</v>
      </c>
    </row>
    <row r="96" spans="1:14">
      <c r="A96" s="460" t="s">
        <v>400</v>
      </c>
      <c r="B96" s="461">
        <v>0</v>
      </c>
      <c r="C96" s="462">
        <f t="shared" si="3"/>
        <v>0</v>
      </c>
      <c r="D96" s="463">
        <f t="shared" si="4"/>
        <v>0</v>
      </c>
      <c r="F96" s="361">
        <v>1</v>
      </c>
      <c r="G96" s="464" t="s">
        <v>406</v>
      </c>
      <c r="H96" s="465">
        <f t="shared" si="5"/>
        <v>0.1</v>
      </c>
      <c r="I96" s="466">
        <f t="shared" si="6"/>
        <v>0.15</v>
      </c>
      <c r="K96" s="362">
        <v>1</v>
      </c>
      <c r="L96" s="464" t="s">
        <v>240</v>
      </c>
      <c r="M96" s="467">
        <f t="shared" si="7"/>
        <v>10</v>
      </c>
      <c r="N96" s="468">
        <f t="shared" si="8"/>
        <v>6.67</v>
      </c>
    </row>
    <row r="97" spans="1:14">
      <c r="A97" s="437" t="s">
        <v>401</v>
      </c>
      <c r="B97" s="138">
        <v>0</v>
      </c>
      <c r="C97" s="139">
        <f t="shared" si="3"/>
        <v>0</v>
      </c>
      <c r="D97" s="140">
        <f t="shared" si="4"/>
        <v>0</v>
      </c>
      <c r="F97" s="209">
        <v>1</v>
      </c>
      <c r="G97" s="363" t="s">
        <v>407</v>
      </c>
      <c r="H97" s="376">
        <f t="shared" si="5"/>
        <v>0.1</v>
      </c>
      <c r="I97" s="377">
        <f t="shared" si="6"/>
        <v>0.15</v>
      </c>
      <c r="K97" s="208">
        <v>1</v>
      </c>
      <c r="L97" s="129" t="s">
        <v>241</v>
      </c>
      <c r="M97" s="193">
        <f t="shared" si="7"/>
        <v>10</v>
      </c>
      <c r="N97" s="194">
        <f t="shared" si="8"/>
        <v>6.67</v>
      </c>
    </row>
    <row r="98" spans="1:14">
      <c r="A98" s="437" t="s">
        <v>402</v>
      </c>
      <c r="B98" s="101">
        <v>0</v>
      </c>
      <c r="C98" s="139">
        <f t="shared" si="3"/>
        <v>0</v>
      </c>
      <c r="D98" s="140">
        <f t="shared" si="4"/>
        <v>0</v>
      </c>
      <c r="F98" s="209">
        <v>1</v>
      </c>
      <c r="G98" s="129" t="s">
        <v>242</v>
      </c>
      <c r="H98" s="124">
        <f t="shared" si="5"/>
        <v>0.1</v>
      </c>
      <c r="I98" s="130">
        <f t="shared" si="6"/>
        <v>0.15</v>
      </c>
      <c r="K98" s="208">
        <v>1</v>
      </c>
      <c r="L98" s="363" t="s">
        <v>242</v>
      </c>
      <c r="M98" s="405">
        <f t="shared" si="7"/>
        <v>10</v>
      </c>
      <c r="N98" s="406">
        <f t="shared" si="8"/>
        <v>6.67</v>
      </c>
    </row>
    <row r="99" spans="1:14">
      <c r="A99" s="441" t="s">
        <v>403</v>
      </c>
      <c r="B99" s="101">
        <v>0</v>
      </c>
      <c r="C99" s="374">
        <f t="shared" si="3"/>
        <v>0</v>
      </c>
      <c r="D99" s="375">
        <f t="shared" si="4"/>
        <v>0</v>
      </c>
      <c r="F99" s="209">
        <v>1</v>
      </c>
      <c r="G99" s="129" t="s">
        <v>243</v>
      </c>
      <c r="H99" s="124">
        <f t="shared" si="5"/>
        <v>0.1</v>
      </c>
      <c r="I99" s="130">
        <f t="shared" si="6"/>
        <v>0.15</v>
      </c>
      <c r="K99" s="208">
        <v>1</v>
      </c>
      <c r="L99" s="129" t="s">
        <v>243</v>
      </c>
      <c r="M99" s="193">
        <f t="shared" si="7"/>
        <v>10</v>
      </c>
      <c r="N99" s="194">
        <f t="shared" si="8"/>
        <v>6.67</v>
      </c>
    </row>
    <row r="100" spans="1:14" ht="15.75" thickBot="1">
      <c r="A100" s="437" t="s">
        <v>404</v>
      </c>
      <c r="B100" s="101">
        <v>0</v>
      </c>
      <c r="C100" s="139">
        <f t="shared" si="3"/>
        <v>0</v>
      </c>
      <c r="D100" s="140">
        <f t="shared" si="4"/>
        <v>0</v>
      </c>
      <c r="F100" s="222">
        <v>1</v>
      </c>
      <c r="G100" s="402" t="s">
        <v>249</v>
      </c>
      <c r="H100" s="403">
        <f t="shared" si="5"/>
        <v>0.1</v>
      </c>
      <c r="I100" s="404">
        <f t="shared" si="6"/>
        <v>0.15</v>
      </c>
      <c r="K100" s="228">
        <v>1</v>
      </c>
      <c r="L100" s="402" t="s">
        <v>249</v>
      </c>
      <c r="M100" s="407">
        <f t="shared" si="7"/>
        <v>10</v>
      </c>
      <c r="N100" s="408">
        <f t="shared" si="8"/>
        <v>6.67</v>
      </c>
    </row>
    <row r="101" spans="1:14">
      <c r="A101" s="444" t="s">
        <v>767</v>
      </c>
      <c r="B101" s="387">
        <v>0</v>
      </c>
      <c r="C101" s="391">
        <f>B101*J19</f>
        <v>0</v>
      </c>
      <c r="D101" s="392">
        <f>B101*K19</f>
        <v>0</v>
      </c>
      <c r="F101" s="209">
        <v>1</v>
      </c>
      <c r="G101" s="364" t="s">
        <v>278</v>
      </c>
      <c r="H101" s="367">
        <f>ROUND(F101/J19,2)</f>
        <v>3.53</v>
      </c>
      <c r="I101" s="368">
        <f>ROUND(F101/K19,2)</f>
        <v>9</v>
      </c>
      <c r="K101" s="208">
        <v>1</v>
      </c>
      <c r="L101" s="364" t="s">
        <v>278</v>
      </c>
      <c r="M101" s="411">
        <f>K101*J19</f>
        <v>0.28333333333333333</v>
      </c>
      <c r="N101" s="412">
        <f>K101*K19</f>
        <v>0.11111111111111112</v>
      </c>
    </row>
    <row r="102" spans="1:14">
      <c r="A102" s="440" t="s">
        <v>766</v>
      </c>
      <c r="B102" s="219">
        <v>0</v>
      </c>
      <c r="C102" s="379">
        <f>B102*M19</f>
        <v>0</v>
      </c>
      <c r="D102" s="380">
        <f>B102*N19</f>
        <v>0</v>
      </c>
      <c r="F102" s="225">
        <v>1</v>
      </c>
      <c r="G102" s="133" t="s">
        <v>279</v>
      </c>
      <c r="H102" s="134">
        <f>ROUND(F102/M19,2)</f>
        <v>2</v>
      </c>
      <c r="I102" s="135">
        <f>ROUND(F102/N19,2)</f>
        <v>3</v>
      </c>
      <c r="K102" s="233">
        <v>1</v>
      </c>
      <c r="L102" s="133" t="s">
        <v>279</v>
      </c>
      <c r="M102" s="196">
        <f>K102*M19</f>
        <v>0.5</v>
      </c>
      <c r="N102" s="197">
        <f>K102*N19</f>
        <v>0.33333333333333331</v>
      </c>
    </row>
    <row r="103" spans="1:14">
      <c r="A103" s="441" t="s">
        <v>765</v>
      </c>
      <c r="B103" s="101">
        <v>0</v>
      </c>
      <c r="C103" s="374">
        <f>B103*J20</f>
        <v>0</v>
      </c>
      <c r="D103" s="375">
        <f>B103*K20</f>
        <v>0</v>
      </c>
      <c r="F103" s="209">
        <v>1</v>
      </c>
      <c r="G103" s="129" t="s">
        <v>280</v>
      </c>
      <c r="H103" s="124">
        <f>ROUND(F103/J20,2)</f>
        <v>1.1299999999999999</v>
      </c>
      <c r="I103" s="130">
        <f>ROUND(F103/K20,2)</f>
        <v>2.89</v>
      </c>
      <c r="K103" s="208">
        <v>1</v>
      </c>
      <c r="L103" s="129" t="s">
        <v>280</v>
      </c>
      <c r="M103" s="193">
        <f>K103*J20</f>
        <v>0.8833333333333333</v>
      </c>
      <c r="N103" s="194">
        <f>K103*K20</f>
        <v>0.34640522875816998</v>
      </c>
    </row>
    <row r="104" spans="1:14">
      <c r="A104" s="437" t="s">
        <v>764</v>
      </c>
      <c r="B104" s="101">
        <v>0</v>
      </c>
      <c r="C104" s="139">
        <f>B104*M20</f>
        <v>0</v>
      </c>
      <c r="D104" s="140">
        <f>B104*N20</f>
        <v>0</v>
      </c>
      <c r="F104" s="225">
        <v>1</v>
      </c>
      <c r="G104" s="369" t="s">
        <v>281</v>
      </c>
      <c r="H104" s="400">
        <f>ROUND(F104/M20,2)</f>
        <v>1</v>
      </c>
      <c r="I104" s="401">
        <f>ROUND(F104/N20,2)</f>
        <v>1.5</v>
      </c>
      <c r="K104" s="233">
        <v>1</v>
      </c>
      <c r="L104" s="369" t="s">
        <v>281</v>
      </c>
      <c r="M104" s="372">
        <f>K104*M20</f>
        <v>1</v>
      </c>
      <c r="N104" s="373">
        <f>K104*N20</f>
        <v>0.66666666666666663</v>
      </c>
    </row>
    <row r="105" spans="1:14">
      <c r="A105" s="445" t="s">
        <v>763</v>
      </c>
      <c r="B105" s="388">
        <v>0</v>
      </c>
      <c r="C105" s="393">
        <f>B105*J21</f>
        <v>0</v>
      </c>
      <c r="D105" s="394">
        <f>B105*K21</f>
        <v>0</v>
      </c>
      <c r="F105" s="209">
        <v>1</v>
      </c>
      <c r="G105" s="364" t="s">
        <v>282</v>
      </c>
      <c r="H105" s="367">
        <f>ROUND(F105/J21,2)</f>
        <v>0.6</v>
      </c>
      <c r="I105" s="368">
        <f>ROUND(F105/K21,2)</f>
        <v>1.53</v>
      </c>
      <c r="K105" s="208">
        <v>1</v>
      </c>
      <c r="L105" s="364" t="s">
        <v>282</v>
      </c>
      <c r="M105" s="411">
        <f>K105*J21</f>
        <v>1.6666666666666667</v>
      </c>
      <c r="N105" s="412">
        <f>K105*K21</f>
        <v>0.65359477124183019</v>
      </c>
    </row>
    <row r="106" spans="1:14">
      <c r="A106" s="443" t="s">
        <v>762</v>
      </c>
      <c r="B106" s="101">
        <v>0</v>
      </c>
      <c r="C106" s="365">
        <f>B106*M21</f>
        <v>0</v>
      </c>
      <c r="D106" s="366">
        <f>B106*N21</f>
        <v>0</v>
      </c>
      <c r="F106" s="209">
        <v>1</v>
      </c>
      <c r="G106" s="131" t="s">
        <v>283</v>
      </c>
      <c r="H106" s="125">
        <f>ROUND(F106/M21,2)</f>
        <v>0.6</v>
      </c>
      <c r="I106" s="132">
        <f>ROUND(F106/N21,2)</f>
        <v>1.53</v>
      </c>
      <c r="K106" s="208">
        <v>1</v>
      </c>
      <c r="L106" s="131" t="s">
        <v>283</v>
      </c>
      <c r="M106" s="192">
        <f>K106*M21</f>
        <v>1.6666666666666667</v>
      </c>
      <c r="N106" s="195">
        <f>K106*N21</f>
        <v>0.65359477124183019</v>
      </c>
    </row>
    <row r="107" spans="1:14">
      <c r="A107" s="440" t="s">
        <v>761</v>
      </c>
      <c r="B107" s="144">
        <v>0</v>
      </c>
      <c r="C107" s="379">
        <f>B107*P21</f>
        <v>0</v>
      </c>
      <c r="D107" s="380">
        <f>B107*Q21</f>
        <v>0</v>
      </c>
      <c r="F107" s="225">
        <v>1</v>
      </c>
      <c r="G107" s="378" t="s">
        <v>284</v>
      </c>
      <c r="H107" s="395">
        <f>ROUND(F107/P21,2)</f>
        <v>0.67</v>
      </c>
      <c r="I107" s="396">
        <f>ROUND(F107/Q21,2)</f>
        <v>1</v>
      </c>
      <c r="K107" s="233">
        <v>1</v>
      </c>
      <c r="L107" s="378" t="s">
        <v>284</v>
      </c>
      <c r="M107" s="409">
        <f>K107*P21</f>
        <v>1.5</v>
      </c>
      <c r="N107" s="410">
        <f>K107*Q21</f>
        <v>1</v>
      </c>
    </row>
    <row r="108" spans="1:14">
      <c r="A108" s="441" t="s">
        <v>760</v>
      </c>
      <c r="B108" s="141">
        <v>0</v>
      </c>
      <c r="C108" s="374">
        <f>B108*J22</f>
        <v>0</v>
      </c>
      <c r="D108" s="375">
        <f>B108*K22</f>
        <v>0</v>
      </c>
      <c r="F108" s="209">
        <v>1</v>
      </c>
      <c r="G108" s="363" t="s">
        <v>285</v>
      </c>
      <c r="H108" s="376">
        <f>ROUND(F108/J22,2)</f>
        <v>0.2</v>
      </c>
      <c r="I108" s="377">
        <f>ROUND(F108/K22,2)</f>
        <v>0.51</v>
      </c>
      <c r="K108" s="208">
        <v>1</v>
      </c>
      <c r="L108" s="363" t="s">
        <v>285</v>
      </c>
      <c r="M108" s="405">
        <f>K108*J22</f>
        <v>5</v>
      </c>
      <c r="N108" s="406">
        <f>K108*K22</f>
        <v>1.9607843137254903</v>
      </c>
    </row>
    <row r="109" spans="1:14">
      <c r="A109" s="437" t="s">
        <v>759</v>
      </c>
      <c r="B109" s="138">
        <v>0</v>
      </c>
      <c r="C109" s="139">
        <f>B109*M22</f>
        <v>0</v>
      </c>
      <c r="D109" s="140">
        <f>B109*N22</f>
        <v>0</v>
      </c>
      <c r="F109" s="209">
        <v>1</v>
      </c>
      <c r="G109" s="129" t="s">
        <v>286</v>
      </c>
      <c r="H109" s="124">
        <f>ROUND(F109/M22,2)</f>
        <v>0.2</v>
      </c>
      <c r="I109" s="130">
        <f>ROUND(F109/N22,2)</f>
        <v>0.51</v>
      </c>
      <c r="K109" s="208">
        <v>1</v>
      </c>
      <c r="L109" s="129" t="s">
        <v>286</v>
      </c>
      <c r="M109" s="193">
        <f>K109*M22</f>
        <v>5</v>
      </c>
      <c r="N109" s="194">
        <f>K109*N22</f>
        <v>1.9607843137254903</v>
      </c>
    </row>
    <row r="110" spans="1:14">
      <c r="A110" s="437" t="s">
        <v>758</v>
      </c>
      <c r="B110" s="101">
        <v>0</v>
      </c>
      <c r="C110" s="139">
        <f>B110*P22</f>
        <v>0</v>
      </c>
      <c r="D110" s="140">
        <f>B110*Q22</f>
        <v>0</v>
      </c>
      <c r="F110" s="225">
        <v>1</v>
      </c>
      <c r="G110" s="369" t="s">
        <v>287</v>
      </c>
      <c r="H110" s="400">
        <f>ROUND(F110/P22,2)</f>
        <v>0.67</v>
      </c>
      <c r="I110" s="401">
        <f>ROUND(F110/Q22,2)</f>
        <v>1</v>
      </c>
      <c r="J110" t="s">
        <v>320</v>
      </c>
      <c r="K110" s="233">
        <v>1</v>
      </c>
      <c r="L110" s="369" t="s">
        <v>287</v>
      </c>
      <c r="M110" s="372">
        <f>K110*P22</f>
        <v>1.5</v>
      </c>
      <c r="N110" s="373">
        <f>K110*Q22</f>
        <v>1</v>
      </c>
    </row>
    <row r="111" spans="1:14">
      <c r="A111" s="445" t="s">
        <v>757</v>
      </c>
      <c r="B111" s="388">
        <v>0</v>
      </c>
      <c r="C111" s="393">
        <f>B111*J23</f>
        <v>0</v>
      </c>
      <c r="D111" s="394">
        <f>B111*K23</f>
        <v>0</v>
      </c>
      <c r="F111" s="209">
        <v>1</v>
      </c>
      <c r="G111" s="364" t="s">
        <v>288</v>
      </c>
      <c r="H111" s="367">
        <f>ROUND(F111/J23,2)</f>
        <v>0.1</v>
      </c>
      <c r="I111" s="368">
        <f>ROUND(F111/K23,2)</f>
        <v>0.26</v>
      </c>
      <c r="K111" s="208">
        <v>1</v>
      </c>
      <c r="L111" s="364" t="s">
        <v>288</v>
      </c>
      <c r="M111" s="411">
        <f>K111*J23</f>
        <v>9.6666666666666661</v>
      </c>
      <c r="N111" s="412">
        <f>K111*K23</f>
        <v>3.7908496732026147</v>
      </c>
    </row>
    <row r="112" spans="1:14">
      <c r="A112" s="443" t="s">
        <v>756</v>
      </c>
      <c r="B112" s="101">
        <v>0</v>
      </c>
      <c r="C112" s="365">
        <f>B112*M23</f>
        <v>0</v>
      </c>
      <c r="D112" s="366">
        <f>B112*N23</f>
        <v>0</v>
      </c>
      <c r="F112" s="209">
        <v>1</v>
      </c>
      <c r="G112" s="131" t="s">
        <v>289</v>
      </c>
      <c r="H112" s="125">
        <f>ROUND(F112/M23,2)</f>
        <v>0.1</v>
      </c>
      <c r="I112" s="132">
        <f>ROUND(F112/N23,2)</f>
        <v>0.26</v>
      </c>
      <c r="K112" s="208">
        <v>1</v>
      </c>
      <c r="L112" s="131" t="s">
        <v>289</v>
      </c>
      <c r="M112" s="192">
        <f>K112*M23</f>
        <v>9.6666666666666661</v>
      </c>
      <c r="N112" s="195">
        <f>K112*N23</f>
        <v>3.7908496732026147</v>
      </c>
    </row>
    <row r="113" spans="1:14">
      <c r="A113" s="440" t="s">
        <v>755</v>
      </c>
      <c r="B113" s="144">
        <v>0</v>
      </c>
      <c r="C113" s="379">
        <f>B113*P23</f>
        <v>0</v>
      </c>
      <c r="D113" s="380">
        <f>B113*Q23</f>
        <v>0</v>
      </c>
      <c r="F113" s="225">
        <v>1</v>
      </c>
      <c r="G113" s="378" t="s">
        <v>290</v>
      </c>
      <c r="H113" s="395">
        <f>ROUND(F113/P23,2)</f>
        <v>0.67</v>
      </c>
      <c r="I113" s="396">
        <f>ROUND(F113/Q23,2)</f>
        <v>1</v>
      </c>
      <c r="K113" s="233">
        <v>1</v>
      </c>
      <c r="L113" s="378" t="s">
        <v>290</v>
      </c>
      <c r="M113" s="409">
        <f>K113*P23</f>
        <v>1.5</v>
      </c>
      <c r="N113" s="410">
        <f>K113*Q23</f>
        <v>1</v>
      </c>
    </row>
    <row r="114" spans="1:14">
      <c r="A114" s="441" t="s">
        <v>754</v>
      </c>
      <c r="B114" s="141">
        <v>0</v>
      </c>
      <c r="C114" s="374">
        <f>B114*J24</f>
        <v>0</v>
      </c>
      <c r="D114" s="375">
        <f>B114*K24</f>
        <v>0</v>
      </c>
      <c r="F114" s="209">
        <v>1</v>
      </c>
      <c r="G114" s="363" t="s">
        <v>291</v>
      </c>
      <c r="H114" s="376">
        <f>ROUND(F114/J24,4)</f>
        <v>0.08</v>
      </c>
      <c r="I114" s="377">
        <f>ROUND(F114/K24,4)</f>
        <v>0.20399999999999999</v>
      </c>
      <c r="K114" s="208">
        <v>1</v>
      </c>
      <c r="L114" s="363" t="s">
        <v>291</v>
      </c>
      <c r="M114" s="405">
        <f>K114*J24</f>
        <v>12.5</v>
      </c>
      <c r="N114" s="406">
        <f>K114*K24</f>
        <v>4.9019607843137258</v>
      </c>
    </row>
    <row r="115" spans="1:14">
      <c r="A115" s="437" t="s">
        <v>753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292</v>
      </c>
      <c r="H115" s="124">
        <f>ROUND(F115/M24,4)</f>
        <v>0.08</v>
      </c>
      <c r="I115" s="130">
        <f>ROUND(F115/N24,4)</f>
        <v>0.20399999999999999</v>
      </c>
      <c r="K115" s="208">
        <v>1</v>
      </c>
      <c r="L115" s="129" t="s">
        <v>292</v>
      </c>
      <c r="M115" s="193">
        <f>K115*M24</f>
        <v>12.5</v>
      </c>
      <c r="N115" s="194">
        <f>K115*N24</f>
        <v>4.9019607843137258</v>
      </c>
    </row>
    <row r="116" spans="1:14">
      <c r="A116" s="437" t="s">
        <v>752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3" t="s">
        <v>293</v>
      </c>
      <c r="H116" s="376">
        <f>ROUND(F116/P24,4)</f>
        <v>0.08</v>
      </c>
      <c r="I116" s="377">
        <f>ROUND(F116/Q24,4)</f>
        <v>0.20399999999999999</v>
      </c>
      <c r="K116" s="208">
        <v>1</v>
      </c>
      <c r="L116" s="363" t="s">
        <v>293</v>
      </c>
      <c r="M116" s="405">
        <f>K116*P24</f>
        <v>12.5</v>
      </c>
      <c r="N116" s="406">
        <f>K116*Q24</f>
        <v>4.9019607843137258</v>
      </c>
    </row>
    <row r="117" spans="1:14">
      <c r="A117" s="437" t="s">
        <v>751</v>
      </c>
      <c r="B117" s="141">
        <v>0</v>
      </c>
      <c r="C117" s="139">
        <f>B117*S24</f>
        <v>0</v>
      </c>
      <c r="D117" s="140">
        <f>B117*T24</f>
        <v>0</v>
      </c>
      <c r="F117" s="209">
        <v>1</v>
      </c>
      <c r="G117" s="129" t="s">
        <v>294</v>
      </c>
      <c r="H117" s="124">
        <f>ROUND(F117/S24,4)</f>
        <v>0.22220000000000001</v>
      </c>
      <c r="I117" s="130">
        <f>ROUND(F117/T24,4)</f>
        <v>0.33329999999999999</v>
      </c>
      <c r="K117" s="208">
        <v>1</v>
      </c>
      <c r="L117" s="129" t="s">
        <v>294</v>
      </c>
      <c r="M117" s="193">
        <f>K117*S24</f>
        <v>4.5</v>
      </c>
      <c r="N117" s="194">
        <f>K117*T24</f>
        <v>3</v>
      </c>
    </row>
    <row r="118" spans="1:14">
      <c r="A118" s="441" t="s">
        <v>714</v>
      </c>
      <c r="B118" s="141">
        <v>0</v>
      </c>
      <c r="C118" s="374">
        <f>B118*V24</f>
        <v>0</v>
      </c>
      <c r="D118" s="375">
        <f>B118*W24</f>
        <v>0</v>
      </c>
      <c r="F118" s="209">
        <v>1</v>
      </c>
      <c r="G118" s="363" t="s">
        <v>486</v>
      </c>
      <c r="H118" s="376">
        <f>ROUND(F118/V24,4)</f>
        <v>0.18179999999999999</v>
      </c>
      <c r="I118" s="377">
        <f>ROUND(F118/W24,4)</f>
        <v>0.2727</v>
      </c>
      <c r="K118" s="208">
        <v>1</v>
      </c>
      <c r="L118" s="363" t="s">
        <v>486</v>
      </c>
      <c r="M118" s="405">
        <f>K118*V24</f>
        <v>5.5</v>
      </c>
      <c r="N118" s="406">
        <f>K118*W24</f>
        <v>3.6666666666666665</v>
      </c>
    </row>
    <row r="119" spans="1:14">
      <c r="A119" s="446" t="s">
        <v>715</v>
      </c>
      <c r="B119" s="144">
        <v>0</v>
      </c>
      <c r="C119" s="217">
        <f>B119*Y24</f>
        <v>0</v>
      </c>
      <c r="D119" s="218">
        <f>B119*Z24</f>
        <v>0</v>
      </c>
      <c r="F119" s="225">
        <v>1</v>
      </c>
      <c r="G119" s="215" t="s">
        <v>537</v>
      </c>
      <c r="H119" s="226">
        <f>ROUND(F119/Y24,4)</f>
        <v>0.15379999999999999</v>
      </c>
      <c r="I119" s="227">
        <f>ROUND(F119/Z24,4)</f>
        <v>0.23080000000000001</v>
      </c>
      <c r="K119" s="233">
        <v>1</v>
      </c>
      <c r="L119" s="215" t="s">
        <v>537</v>
      </c>
      <c r="M119" s="234">
        <f>K119*Y24</f>
        <v>6.5</v>
      </c>
      <c r="N119" s="235">
        <f>K119*Z24</f>
        <v>4.333333333333333</v>
      </c>
    </row>
    <row r="120" spans="1:14">
      <c r="A120" s="443" t="s">
        <v>750</v>
      </c>
      <c r="B120" s="101">
        <v>0</v>
      </c>
      <c r="C120" s="365">
        <f>B120*J25</f>
        <v>0</v>
      </c>
      <c r="D120" s="366">
        <f>B120*K25</f>
        <v>0</v>
      </c>
      <c r="F120" s="209">
        <v>1</v>
      </c>
      <c r="G120" s="131" t="s">
        <v>295</v>
      </c>
      <c r="H120" s="125">
        <f>ROUND(F120/J25,4)</f>
        <v>7.4999999999999997E-2</v>
      </c>
      <c r="I120" s="132">
        <f>ROUND(F120/K25,4)</f>
        <v>0.1913</v>
      </c>
      <c r="K120" s="208">
        <v>1</v>
      </c>
      <c r="L120" s="131" t="s">
        <v>295</v>
      </c>
      <c r="M120" s="192">
        <f>K120*J25</f>
        <v>13.333333333333334</v>
      </c>
      <c r="N120" s="195">
        <f>K120*K25</f>
        <v>5.2287581699346415</v>
      </c>
    </row>
    <row r="121" spans="1:14">
      <c r="A121" s="439" t="s">
        <v>749</v>
      </c>
      <c r="B121" s="101">
        <v>0</v>
      </c>
      <c r="C121" s="142">
        <f>B121*M25</f>
        <v>0</v>
      </c>
      <c r="D121" s="143">
        <f>B121*N25</f>
        <v>0</v>
      </c>
      <c r="F121" s="209">
        <v>1</v>
      </c>
      <c r="G121" s="364" t="s">
        <v>296</v>
      </c>
      <c r="H121" s="367">
        <f>ROUND(F121/M25,4)</f>
        <v>7.4999999999999997E-2</v>
      </c>
      <c r="I121" s="368">
        <f>ROUND(F121/N25,4)</f>
        <v>0.1913</v>
      </c>
      <c r="K121" s="208">
        <v>1</v>
      </c>
      <c r="L121" s="364" t="s">
        <v>296</v>
      </c>
      <c r="M121" s="411">
        <f>K121*M25</f>
        <v>13.333333333333334</v>
      </c>
      <c r="N121" s="412">
        <f>K121*N25</f>
        <v>5.2287581699346415</v>
      </c>
    </row>
    <row r="122" spans="1:14">
      <c r="A122" s="443" t="s">
        <v>748</v>
      </c>
      <c r="B122" s="101">
        <v>0</v>
      </c>
      <c r="C122" s="365">
        <f>B122*P25</f>
        <v>0</v>
      </c>
      <c r="D122" s="366">
        <f>B122*Q25</f>
        <v>0</v>
      </c>
      <c r="F122" s="209">
        <v>1</v>
      </c>
      <c r="G122" s="131" t="s">
        <v>297</v>
      </c>
      <c r="H122" s="125">
        <f>ROUND(F122/P25,4)</f>
        <v>7.4999999999999997E-2</v>
      </c>
      <c r="I122" s="132">
        <f>ROUND(F122/Q25,4)</f>
        <v>0.1913</v>
      </c>
      <c r="K122" s="208">
        <v>1</v>
      </c>
      <c r="L122" s="131" t="s">
        <v>297</v>
      </c>
      <c r="M122" s="192">
        <f>K122*P25</f>
        <v>13.333333333333334</v>
      </c>
      <c r="N122" s="195">
        <f>K122*Q25</f>
        <v>5.2287581699346415</v>
      </c>
    </row>
    <row r="123" spans="1:14">
      <c r="A123" s="447" t="s">
        <v>747</v>
      </c>
      <c r="B123" s="219">
        <v>0</v>
      </c>
      <c r="C123" s="145">
        <f>B123*S25</f>
        <v>0</v>
      </c>
      <c r="D123" s="146">
        <f>B123*T25</f>
        <v>0</v>
      </c>
      <c r="F123" s="225">
        <v>1</v>
      </c>
      <c r="G123" s="378" t="s">
        <v>298</v>
      </c>
      <c r="H123" s="395">
        <f>ROUND(F123/S25,4)</f>
        <v>0.22220000000000001</v>
      </c>
      <c r="I123" s="396">
        <f>ROUND(F123/T25,4)</f>
        <v>0.33329999999999999</v>
      </c>
      <c r="K123" s="233">
        <v>1</v>
      </c>
      <c r="L123" s="378" t="s">
        <v>298</v>
      </c>
      <c r="M123" s="409">
        <f>K123*S25</f>
        <v>4.5</v>
      </c>
      <c r="N123" s="410">
        <f>K123*T25</f>
        <v>3</v>
      </c>
    </row>
    <row r="124" spans="1:14">
      <c r="A124" s="441" t="s">
        <v>746</v>
      </c>
      <c r="B124" s="141">
        <v>0</v>
      </c>
      <c r="C124" s="374">
        <f>B124*J26</f>
        <v>0</v>
      </c>
      <c r="D124" s="375">
        <f>B124*K26</f>
        <v>0</v>
      </c>
      <c r="F124" s="209">
        <v>1</v>
      </c>
      <c r="G124" s="363" t="s">
        <v>299</v>
      </c>
      <c r="H124" s="376">
        <f>ROUND(F124/J26,4)</f>
        <v>7.0599999999999996E-2</v>
      </c>
      <c r="I124" s="377">
        <f>ROUND(F124/K26,4)</f>
        <v>0.18</v>
      </c>
      <c r="K124" s="208">
        <v>1</v>
      </c>
      <c r="L124" s="363" t="s">
        <v>299</v>
      </c>
      <c r="M124" s="405">
        <f>K124*J26</f>
        <v>14.166666666666666</v>
      </c>
      <c r="N124" s="406">
        <f>K124*K26</f>
        <v>5.5555555555555562</v>
      </c>
    </row>
    <row r="125" spans="1:14">
      <c r="A125" s="437" t="s">
        <v>745</v>
      </c>
      <c r="B125" s="138">
        <v>0</v>
      </c>
      <c r="C125" s="139">
        <f>B125*M26</f>
        <v>0</v>
      </c>
      <c r="D125" s="140">
        <f>B125*N26</f>
        <v>0</v>
      </c>
      <c r="F125" s="209">
        <v>1</v>
      </c>
      <c r="G125" s="129" t="s">
        <v>300</v>
      </c>
      <c r="H125" s="124">
        <f>ROUND(F125/M26,4)</f>
        <v>7.0599999999999996E-2</v>
      </c>
      <c r="I125" s="130">
        <f>ROUND(F125/N26,4)</f>
        <v>0.18</v>
      </c>
      <c r="K125" s="208">
        <v>1</v>
      </c>
      <c r="L125" s="129" t="s">
        <v>300</v>
      </c>
      <c r="M125" s="193">
        <f>K125*M26</f>
        <v>14.166666666666666</v>
      </c>
      <c r="N125" s="194">
        <f>K125*N26</f>
        <v>5.5555555555555562</v>
      </c>
    </row>
    <row r="126" spans="1:14">
      <c r="A126" s="437" t="s">
        <v>744</v>
      </c>
      <c r="B126" s="101">
        <v>0</v>
      </c>
      <c r="C126" s="139">
        <f>B126*P26</f>
        <v>0</v>
      </c>
      <c r="D126" s="140">
        <f>B126*Q26</f>
        <v>0</v>
      </c>
      <c r="F126" s="209">
        <v>1</v>
      </c>
      <c r="G126" s="363" t="s">
        <v>301</v>
      </c>
      <c r="H126" s="376">
        <f>ROUND(F126/P26,4)</f>
        <v>7.0599999999999996E-2</v>
      </c>
      <c r="I126" s="377">
        <f>ROUND(F126/Q26,4)</f>
        <v>0.18</v>
      </c>
      <c r="K126" s="208">
        <v>1</v>
      </c>
      <c r="L126" s="363" t="s">
        <v>301</v>
      </c>
      <c r="M126" s="405">
        <f>K126*P26</f>
        <v>14.166666666666666</v>
      </c>
      <c r="N126" s="406">
        <f>K126*Q26</f>
        <v>5.5555555555555562</v>
      </c>
    </row>
    <row r="127" spans="1:14">
      <c r="A127" s="446" t="s">
        <v>743</v>
      </c>
      <c r="B127" s="144">
        <v>0</v>
      </c>
      <c r="C127" s="217">
        <f>B127*S26</f>
        <v>0</v>
      </c>
      <c r="D127" s="218">
        <f>B127*T26</f>
        <v>0</v>
      </c>
      <c r="F127" s="225">
        <v>1</v>
      </c>
      <c r="G127" s="215" t="s">
        <v>302</v>
      </c>
      <c r="H127" s="226">
        <f>ROUND(F127/S26,4)</f>
        <v>0.22220000000000001</v>
      </c>
      <c r="I127" s="227">
        <f>ROUND(F127/T26,4)</f>
        <v>0.33329999999999999</v>
      </c>
      <c r="K127" s="233">
        <v>1</v>
      </c>
      <c r="L127" s="215" t="s">
        <v>302</v>
      </c>
      <c r="M127" s="234">
        <f>K127*S26</f>
        <v>4.5</v>
      </c>
      <c r="N127" s="235">
        <f>K127*T26</f>
        <v>3</v>
      </c>
    </row>
    <row r="128" spans="1:14">
      <c r="A128" s="443" t="s">
        <v>742</v>
      </c>
      <c r="B128" s="101">
        <v>0</v>
      </c>
      <c r="C128" s="365">
        <f>B128*J27</f>
        <v>0</v>
      </c>
      <c r="D128" s="366">
        <f>B128*K27</f>
        <v>0</v>
      </c>
      <c r="F128" s="209">
        <v>1</v>
      </c>
      <c r="G128" s="131" t="s">
        <v>303</v>
      </c>
      <c r="H128" s="125">
        <f>ROUND(F128/J27,4)</f>
        <v>6.3200000000000006E-2</v>
      </c>
      <c r="I128" s="132">
        <f>ROUND(F128/K27,4)</f>
        <v>0.16109999999999999</v>
      </c>
      <c r="K128" s="208">
        <v>1</v>
      </c>
      <c r="L128" s="131" t="s">
        <v>303</v>
      </c>
      <c r="M128" s="192">
        <f>K128*J27</f>
        <v>15.833333333333334</v>
      </c>
      <c r="N128" s="195">
        <f>K128*K27</f>
        <v>6.2091503267973867</v>
      </c>
    </row>
    <row r="129" spans="1:14">
      <c r="A129" s="439" t="s">
        <v>741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4" t="s">
        <v>304</v>
      </c>
      <c r="H129" s="367">
        <f>ROUND(F129/M27,4)</f>
        <v>6.3200000000000006E-2</v>
      </c>
      <c r="I129" s="368">
        <f>ROUND(F129/N27,4)</f>
        <v>0.16109999999999999</v>
      </c>
      <c r="K129" s="208">
        <v>1</v>
      </c>
      <c r="L129" s="364" t="s">
        <v>304</v>
      </c>
      <c r="M129" s="411">
        <f>K129*M27</f>
        <v>15.833333333333334</v>
      </c>
      <c r="N129" s="412">
        <f>K129*N27</f>
        <v>6.2091503267973867</v>
      </c>
    </row>
    <row r="130" spans="1:14">
      <c r="A130" s="443" t="s">
        <v>740</v>
      </c>
      <c r="B130" s="101">
        <v>0</v>
      </c>
      <c r="C130" s="365">
        <f>B130*P27</f>
        <v>0</v>
      </c>
      <c r="D130" s="366">
        <f>B130*Q27</f>
        <v>0</v>
      </c>
      <c r="F130" s="209">
        <v>1</v>
      </c>
      <c r="G130" s="131" t="s">
        <v>305</v>
      </c>
      <c r="H130" s="125">
        <f>ROUND(F130/P27,4)</f>
        <v>6.3200000000000006E-2</v>
      </c>
      <c r="I130" s="132">
        <f>ROUND(F130/Q27,4)</f>
        <v>0.16109999999999999</v>
      </c>
      <c r="K130" s="208">
        <v>1</v>
      </c>
      <c r="L130" s="131" t="s">
        <v>305</v>
      </c>
      <c r="M130" s="192">
        <f>K130*P27</f>
        <v>15.833333333333334</v>
      </c>
      <c r="N130" s="195">
        <f>K130*Q27</f>
        <v>6.2091503267973867</v>
      </c>
    </row>
    <row r="131" spans="1:14">
      <c r="A131" s="439" t="s">
        <v>739</v>
      </c>
      <c r="B131" s="101">
        <v>0</v>
      </c>
      <c r="C131" s="142">
        <f>B131*S27</f>
        <v>0</v>
      </c>
      <c r="D131" s="143">
        <f>B131*T27</f>
        <v>0</v>
      </c>
      <c r="F131" s="209">
        <v>1</v>
      </c>
      <c r="G131" s="364" t="s">
        <v>306</v>
      </c>
      <c r="H131" s="367">
        <f>ROUND(F131/S27,4)</f>
        <v>0.22220000000000001</v>
      </c>
      <c r="I131" s="368">
        <f>ROUND(F131/T27,4)</f>
        <v>0.33329999999999999</v>
      </c>
      <c r="K131" s="208">
        <v>1</v>
      </c>
      <c r="L131" s="364" t="s">
        <v>306</v>
      </c>
      <c r="M131" s="411">
        <f>K131*S27</f>
        <v>4.5</v>
      </c>
      <c r="N131" s="412">
        <f>K131*T27</f>
        <v>3</v>
      </c>
    </row>
    <row r="132" spans="1:14">
      <c r="A132" s="447" t="s">
        <v>716</v>
      </c>
      <c r="B132" s="219">
        <v>0</v>
      </c>
      <c r="C132" s="145">
        <f>B132*V27</f>
        <v>0</v>
      </c>
      <c r="D132" s="146">
        <f>B132*W27</f>
        <v>0</v>
      </c>
      <c r="F132" s="225">
        <v>1</v>
      </c>
      <c r="G132" s="133" t="s">
        <v>538</v>
      </c>
      <c r="H132" s="134">
        <f>ROUND(F132/V27,4)</f>
        <v>0.18179999999999999</v>
      </c>
      <c r="I132" s="135">
        <f>ROUND(F132/W27,4)</f>
        <v>0.2727</v>
      </c>
      <c r="K132" s="233">
        <v>1</v>
      </c>
      <c r="L132" s="133" t="s">
        <v>538</v>
      </c>
      <c r="M132" s="196">
        <f>K132*V27</f>
        <v>5.5</v>
      </c>
      <c r="N132" s="197">
        <f>K132*W27</f>
        <v>3.6666666666666665</v>
      </c>
    </row>
    <row r="133" spans="1:14">
      <c r="A133" s="441" t="s">
        <v>738</v>
      </c>
      <c r="B133" s="101">
        <v>0</v>
      </c>
      <c r="C133" s="374">
        <f>B133*J28</f>
        <v>0</v>
      </c>
      <c r="D133" s="375">
        <f>B133*K28</f>
        <v>0</v>
      </c>
      <c r="F133" s="209">
        <v>1</v>
      </c>
      <c r="G133" s="129" t="s">
        <v>307</v>
      </c>
      <c r="H133" s="124">
        <f>ROUND(F133/J28,4)</f>
        <v>4.4400000000000002E-2</v>
      </c>
      <c r="I133" s="130">
        <f>ROUND(F133/K28,4)</f>
        <v>0.1133</v>
      </c>
      <c r="K133" s="208">
        <v>1</v>
      </c>
      <c r="L133" s="129" t="s">
        <v>307</v>
      </c>
      <c r="M133" s="193">
        <f>K133*J28</f>
        <v>22.5</v>
      </c>
      <c r="N133" s="194">
        <f>K133*K28</f>
        <v>8.8235294117647065</v>
      </c>
    </row>
    <row r="134" spans="1:14">
      <c r="A134" s="437" t="s">
        <v>737</v>
      </c>
      <c r="B134" s="101">
        <v>0</v>
      </c>
      <c r="C134" s="139">
        <f>B134*M28</f>
        <v>0</v>
      </c>
      <c r="D134" s="140">
        <f>B134*N28</f>
        <v>0</v>
      </c>
      <c r="F134" s="209">
        <v>1</v>
      </c>
      <c r="G134" s="363" t="s">
        <v>308</v>
      </c>
      <c r="H134" s="376">
        <f>ROUND(F134/M28,4)</f>
        <v>4.4400000000000002E-2</v>
      </c>
      <c r="I134" s="377">
        <f>ROUND(F134/N28,4)</f>
        <v>0.1133</v>
      </c>
      <c r="K134" s="208">
        <v>1</v>
      </c>
      <c r="L134" s="363" t="s">
        <v>308</v>
      </c>
      <c r="M134" s="405">
        <f>K134*M28</f>
        <v>22.5</v>
      </c>
      <c r="N134" s="406">
        <f>K134*N28</f>
        <v>8.8235294117647065</v>
      </c>
    </row>
    <row r="135" spans="1:14">
      <c r="A135" s="441" t="s">
        <v>736</v>
      </c>
      <c r="B135" s="101">
        <v>0</v>
      </c>
      <c r="C135" s="374">
        <f>B135*P28</f>
        <v>0</v>
      </c>
      <c r="D135" s="375">
        <f>B135*Q28</f>
        <v>0</v>
      </c>
      <c r="F135" s="209">
        <v>1</v>
      </c>
      <c r="G135" s="129" t="s">
        <v>309</v>
      </c>
      <c r="H135" s="124">
        <f>ROUND(F135/P28,4)</f>
        <v>4.4400000000000002E-2</v>
      </c>
      <c r="I135" s="130">
        <f>ROUND(F135/Q28,4)</f>
        <v>0.1133</v>
      </c>
      <c r="K135" s="208">
        <v>1</v>
      </c>
      <c r="L135" s="129" t="s">
        <v>309</v>
      </c>
      <c r="M135" s="193">
        <f>K135*P28</f>
        <v>22.5</v>
      </c>
      <c r="N135" s="194">
        <f>K135*Q28</f>
        <v>8.8235294117647065</v>
      </c>
    </row>
    <row r="136" spans="1:14">
      <c r="A136" s="437" t="s">
        <v>735</v>
      </c>
      <c r="B136" s="101">
        <v>0</v>
      </c>
      <c r="C136" s="139">
        <f>B136*S28</f>
        <v>0</v>
      </c>
      <c r="D136" s="140">
        <f>B136*T28</f>
        <v>0</v>
      </c>
      <c r="F136" s="209">
        <v>1</v>
      </c>
      <c r="G136" s="363" t="s">
        <v>310</v>
      </c>
      <c r="H136" s="376">
        <f>ROUND(F136/S28,4)</f>
        <v>0.22220000000000001</v>
      </c>
      <c r="I136" s="377">
        <f>ROUND(F136/T28,4)</f>
        <v>0.33329999999999999</v>
      </c>
      <c r="K136" s="208">
        <v>1</v>
      </c>
      <c r="L136" s="363" t="s">
        <v>310</v>
      </c>
      <c r="M136" s="405">
        <f>K136*S28</f>
        <v>4.5</v>
      </c>
      <c r="N136" s="406">
        <f>K136*T28</f>
        <v>3</v>
      </c>
    </row>
    <row r="137" spans="1:14">
      <c r="A137" s="446" t="s">
        <v>717</v>
      </c>
      <c r="B137" s="144">
        <v>0</v>
      </c>
      <c r="C137" s="217">
        <f>B137*V28</f>
        <v>0</v>
      </c>
      <c r="D137" s="218">
        <f>B137*W28</f>
        <v>0</v>
      </c>
      <c r="F137" s="225">
        <v>1</v>
      </c>
      <c r="G137" s="215" t="s">
        <v>539</v>
      </c>
      <c r="H137" s="226">
        <f>ROUND(F137/V28,4)</f>
        <v>0.18179999999999999</v>
      </c>
      <c r="I137" s="227">
        <f>ROUND(F137/W28,4)</f>
        <v>0.2727</v>
      </c>
      <c r="K137" s="233">
        <v>1</v>
      </c>
      <c r="L137" s="215" t="s">
        <v>539</v>
      </c>
      <c r="M137" s="234">
        <f>K137*V28</f>
        <v>5.5</v>
      </c>
      <c r="N137" s="235">
        <f>K137*W28</f>
        <v>3.6666666666666665</v>
      </c>
    </row>
    <row r="138" spans="1:14">
      <c r="A138" s="443" t="s">
        <v>734</v>
      </c>
      <c r="B138" s="101">
        <v>0</v>
      </c>
      <c r="C138" s="365">
        <f>B138*J29</f>
        <v>0</v>
      </c>
      <c r="D138" s="366">
        <f>B138*K29</f>
        <v>0</v>
      </c>
      <c r="F138" s="209">
        <v>1</v>
      </c>
      <c r="G138" s="131" t="s">
        <v>311</v>
      </c>
      <c r="H138" s="125">
        <f>ROUND(F138/J29,4)</f>
        <v>3.8699999999999998E-2</v>
      </c>
      <c r="I138" s="132">
        <f>ROUND(F138/K29,4)</f>
        <v>9.8699999999999996E-2</v>
      </c>
      <c r="K138" s="208">
        <v>1</v>
      </c>
      <c r="L138" s="131" t="s">
        <v>311</v>
      </c>
      <c r="M138" s="192">
        <f>K138*J29</f>
        <v>25.833333333333332</v>
      </c>
      <c r="N138" s="195">
        <f>K138*K29</f>
        <v>10.130718954248367</v>
      </c>
    </row>
    <row r="139" spans="1:14">
      <c r="A139" s="439" t="s">
        <v>733</v>
      </c>
      <c r="B139" s="101">
        <v>0</v>
      </c>
      <c r="C139" s="142">
        <f>B139*M29</f>
        <v>0</v>
      </c>
      <c r="D139" s="143">
        <f>B139*N29</f>
        <v>0</v>
      </c>
      <c r="F139" s="209">
        <v>1</v>
      </c>
      <c r="G139" s="364" t="s">
        <v>312</v>
      </c>
      <c r="H139" s="367">
        <f>ROUND(F139/M29,4)</f>
        <v>3.8699999999999998E-2</v>
      </c>
      <c r="I139" s="368">
        <f>ROUND(F139/N29,4)</f>
        <v>9.8699999999999996E-2</v>
      </c>
      <c r="K139" s="208">
        <v>1</v>
      </c>
      <c r="L139" s="364" t="s">
        <v>312</v>
      </c>
      <c r="M139" s="411">
        <f>K139*M29</f>
        <v>25.833333333333332</v>
      </c>
      <c r="N139" s="412">
        <f>K139*N29</f>
        <v>10.130718954248367</v>
      </c>
    </row>
    <row r="140" spans="1:14">
      <c r="A140" s="443" t="s">
        <v>732</v>
      </c>
      <c r="B140" s="101">
        <v>0</v>
      </c>
      <c r="C140" s="365">
        <f>B140*P29</f>
        <v>0</v>
      </c>
      <c r="D140" s="366">
        <f>B140*Q29</f>
        <v>0</v>
      </c>
      <c r="F140" s="209">
        <v>1</v>
      </c>
      <c r="G140" s="131" t="s">
        <v>313</v>
      </c>
      <c r="H140" s="125">
        <f>ROUND(F140/P29,4)</f>
        <v>3.8699999999999998E-2</v>
      </c>
      <c r="I140" s="132">
        <f>ROUND(F140/Q29,4)</f>
        <v>9.8699999999999996E-2</v>
      </c>
      <c r="K140" s="208">
        <v>1</v>
      </c>
      <c r="L140" s="131" t="s">
        <v>313</v>
      </c>
      <c r="M140" s="192">
        <f>K140*P29</f>
        <v>25.833333333333332</v>
      </c>
      <c r="N140" s="195">
        <f>K140*Q29</f>
        <v>10.130718954248367</v>
      </c>
    </row>
    <row r="141" spans="1:14">
      <c r="A141" s="440" t="s">
        <v>731</v>
      </c>
      <c r="B141" s="144">
        <v>0</v>
      </c>
      <c r="C141" s="379">
        <f>B141*S29</f>
        <v>0</v>
      </c>
      <c r="D141" s="380">
        <f>B141*T29</f>
        <v>0</v>
      </c>
      <c r="F141" s="225">
        <v>1</v>
      </c>
      <c r="G141" s="378" t="s">
        <v>314</v>
      </c>
      <c r="H141" s="395">
        <f>ROUND(F141/S29,4)</f>
        <v>0.22220000000000001</v>
      </c>
      <c r="I141" s="396">
        <f>ROUND(F141/T29,4)</f>
        <v>0.33329999999999999</v>
      </c>
      <c r="K141" s="233">
        <v>1</v>
      </c>
      <c r="L141" s="378" t="s">
        <v>314</v>
      </c>
      <c r="M141" s="409">
        <f>K141*S29</f>
        <v>4.5</v>
      </c>
      <c r="N141" s="410">
        <f>K141*T29</f>
        <v>3</v>
      </c>
    </row>
    <row r="142" spans="1:14">
      <c r="A142" s="437" t="s">
        <v>730</v>
      </c>
      <c r="B142" s="101">
        <v>0</v>
      </c>
      <c r="C142" s="139">
        <f>B142*J30</f>
        <v>0</v>
      </c>
      <c r="D142" s="140">
        <f>B142*K30</f>
        <v>0</v>
      </c>
      <c r="F142" s="209">
        <v>1</v>
      </c>
      <c r="G142" s="363" t="s">
        <v>315</v>
      </c>
      <c r="H142" s="376">
        <f>ROUND(F142/J30,4)</f>
        <v>0.02</v>
      </c>
      <c r="I142" s="377">
        <f>ROUND(F142/K30,4)</f>
        <v>5.0999999999999997E-2</v>
      </c>
      <c r="K142" s="208">
        <v>1</v>
      </c>
      <c r="L142" s="363" t="s">
        <v>315</v>
      </c>
      <c r="M142" s="405">
        <f>K142*J30</f>
        <v>50</v>
      </c>
      <c r="N142" s="406">
        <f>K142*K30</f>
        <v>19.607843137254903</v>
      </c>
    </row>
    <row r="143" spans="1:14">
      <c r="A143" s="441" t="s">
        <v>729</v>
      </c>
      <c r="B143" s="101">
        <v>0</v>
      </c>
      <c r="C143" s="374">
        <f>B143*M30</f>
        <v>0</v>
      </c>
      <c r="D143" s="375">
        <f>B143*N30</f>
        <v>0</v>
      </c>
      <c r="F143" s="209">
        <v>1</v>
      </c>
      <c r="G143" s="129" t="s">
        <v>316</v>
      </c>
      <c r="H143" s="124">
        <f>ROUND(F143/M30,4)</f>
        <v>0.02</v>
      </c>
      <c r="I143" s="130">
        <f>ROUND(F143/N30,4)</f>
        <v>5.0999999999999997E-2</v>
      </c>
      <c r="K143" s="208">
        <v>1</v>
      </c>
      <c r="L143" s="129" t="s">
        <v>316</v>
      </c>
      <c r="M143" s="193">
        <f>K143*M30</f>
        <v>50</v>
      </c>
      <c r="N143" s="194">
        <f>K143*N30</f>
        <v>19.607843137254903</v>
      </c>
    </row>
    <row r="144" spans="1:14">
      <c r="A144" s="437" t="s">
        <v>728</v>
      </c>
      <c r="B144" s="101">
        <v>0</v>
      </c>
      <c r="C144" s="139">
        <f>B144*P30</f>
        <v>0</v>
      </c>
      <c r="D144" s="140">
        <f>B144*Q30</f>
        <v>0</v>
      </c>
      <c r="F144" s="209">
        <v>1</v>
      </c>
      <c r="G144" s="363" t="s">
        <v>317</v>
      </c>
      <c r="H144" s="376">
        <f>ROUND(F144/P30,4)</f>
        <v>0.02</v>
      </c>
      <c r="I144" s="377">
        <f>ROUND(F144/Q30,4)</f>
        <v>5.0999999999999997E-2</v>
      </c>
      <c r="K144" s="208">
        <v>1</v>
      </c>
      <c r="L144" s="363" t="s">
        <v>317</v>
      </c>
      <c r="M144" s="405">
        <f>K144*P30</f>
        <v>50</v>
      </c>
      <c r="N144" s="406">
        <f>K144*Q30</f>
        <v>19.607843137254903</v>
      </c>
    </row>
    <row r="145" spans="1:14">
      <c r="A145" s="441" t="s">
        <v>727</v>
      </c>
      <c r="B145" s="101">
        <v>0</v>
      </c>
      <c r="C145" s="374">
        <f>B145*S30</f>
        <v>0</v>
      </c>
      <c r="D145" s="375">
        <f>B145*T30</f>
        <v>0</v>
      </c>
      <c r="F145" s="209">
        <v>1</v>
      </c>
      <c r="G145" s="129" t="s">
        <v>318</v>
      </c>
      <c r="H145" s="124">
        <f>ROUND(F145/S30,4)</f>
        <v>0.22220000000000001</v>
      </c>
      <c r="I145" s="130">
        <f>ROUND(F145/T30,4)</f>
        <v>0.33329999999999999</v>
      </c>
      <c r="K145" s="208">
        <v>1</v>
      </c>
      <c r="L145" s="129" t="s">
        <v>318</v>
      </c>
      <c r="M145" s="193">
        <f>K145*S30</f>
        <v>4.5</v>
      </c>
      <c r="N145" s="194">
        <f>K145*T30</f>
        <v>3</v>
      </c>
    </row>
    <row r="146" spans="1:14">
      <c r="A146" s="442" t="s">
        <v>718</v>
      </c>
      <c r="B146" s="219">
        <v>0</v>
      </c>
      <c r="C146" s="370">
        <f>B146*Y30</f>
        <v>0</v>
      </c>
      <c r="D146" s="371">
        <f>B146*Z30</f>
        <v>0</v>
      </c>
      <c r="F146" s="225">
        <v>1</v>
      </c>
      <c r="G146" s="369" t="s">
        <v>540</v>
      </c>
      <c r="H146" s="400">
        <f>ROUND(F146/Y30,4)</f>
        <v>0.15379999999999999</v>
      </c>
      <c r="I146" s="401">
        <f>ROUND(F146/Z30,4)</f>
        <v>0.23080000000000001</v>
      </c>
      <c r="K146" s="233">
        <v>1</v>
      </c>
      <c r="L146" s="369" t="s">
        <v>540</v>
      </c>
      <c r="M146" s="372">
        <f>K146*Y30</f>
        <v>6.5</v>
      </c>
      <c r="N146" s="373">
        <f>K146*Z30</f>
        <v>4.333333333333333</v>
      </c>
    </row>
    <row r="147" spans="1:14">
      <c r="A147" s="439" t="s">
        <v>726</v>
      </c>
      <c r="B147" s="101">
        <v>0</v>
      </c>
      <c r="C147" s="142">
        <f>B147*J31</f>
        <v>0</v>
      </c>
      <c r="D147" s="143">
        <f>B147*K31</f>
        <v>0</v>
      </c>
      <c r="F147" s="209">
        <v>1</v>
      </c>
      <c r="G147" s="364" t="s">
        <v>522</v>
      </c>
      <c r="H147" s="367">
        <f>ROUND(F147/J31,4)</f>
        <v>1.4999999999999999E-2</v>
      </c>
      <c r="I147" s="368">
        <f>ROUND(F147/K31,4)</f>
        <v>3.8300000000000001E-2</v>
      </c>
      <c r="K147" s="208">
        <v>1</v>
      </c>
      <c r="L147" s="364" t="s">
        <v>522</v>
      </c>
      <c r="M147" s="411">
        <f>K147*J31</f>
        <v>66.666666666666671</v>
      </c>
      <c r="N147" s="412">
        <f>K147*K31</f>
        <v>26.143790849673206</v>
      </c>
    </row>
    <row r="148" spans="1:14">
      <c r="A148" s="443" t="s">
        <v>725</v>
      </c>
      <c r="B148" s="101">
        <v>0</v>
      </c>
      <c r="C148" s="365">
        <f>B148*M31</f>
        <v>0</v>
      </c>
      <c r="D148" s="366">
        <f>B148*N31</f>
        <v>0</v>
      </c>
      <c r="F148" s="209">
        <v>1</v>
      </c>
      <c r="G148" s="131" t="s">
        <v>523</v>
      </c>
      <c r="H148" s="125">
        <f>ROUND(F148/M31,4)</f>
        <v>1.4999999999999999E-2</v>
      </c>
      <c r="I148" s="132">
        <f>ROUND(F148/N31,4)</f>
        <v>3.8300000000000001E-2</v>
      </c>
      <c r="K148" s="208">
        <v>1</v>
      </c>
      <c r="L148" s="131" t="s">
        <v>523</v>
      </c>
      <c r="M148" s="192">
        <f>K148*M31</f>
        <v>66.666666666666671</v>
      </c>
      <c r="N148" s="195">
        <f>K148*N31</f>
        <v>26.143790849673206</v>
      </c>
    </row>
    <row r="149" spans="1:14">
      <c r="A149" s="439" t="s">
        <v>724</v>
      </c>
      <c r="B149" s="101">
        <v>0</v>
      </c>
      <c r="C149" s="142">
        <f>B149*P31</f>
        <v>0</v>
      </c>
      <c r="D149" s="143">
        <f>B149*Q31</f>
        <v>0</v>
      </c>
      <c r="F149" s="209">
        <v>1</v>
      </c>
      <c r="G149" s="364" t="s">
        <v>524</v>
      </c>
      <c r="H149" s="367">
        <f>ROUND(F149/P31,4)</f>
        <v>0.18179999999999999</v>
      </c>
      <c r="I149" s="368">
        <f>ROUND(F149/Q31,4)</f>
        <v>0.2727</v>
      </c>
      <c r="K149" s="208">
        <v>1</v>
      </c>
      <c r="L149" s="364" t="s">
        <v>524</v>
      </c>
      <c r="M149" s="411">
        <f>K149*P31</f>
        <v>5.5</v>
      </c>
      <c r="N149" s="412">
        <f>K149*Q31</f>
        <v>3.6666666666666665</v>
      </c>
    </row>
    <row r="150" spans="1:14">
      <c r="A150" s="447" t="s">
        <v>723</v>
      </c>
      <c r="B150" s="219">
        <v>0</v>
      </c>
      <c r="C150" s="145">
        <f>B150*S31</f>
        <v>0</v>
      </c>
      <c r="D150" s="146">
        <f>B150*T31</f>
        <v>0</v>
      </c>
      <c r="F150" s="225">
        <v>1</v>
      </c>
      <c r="G150" s="133" t="s">
        <v>525</v>
      </c>
      <c r="H150" s="134">
        <f>ROUND(F150/S31,4)</f>
        <v>0.15379999999999999</v>
      </c>
      <c r="I150" s="135">
        <f>ROUND(F150/T31,4)</f>
        <v>0.23080000000000001</v>
      </c>
      <c r="K150" s="233">
        <v>1</v>
      </c>
      <c r="L150" s="133" t="s">
        <v>525</v>
      </c>
      <c r="M150" s="196">
        <f>K150*S31</f>
        <v>6.5</v>
      </c>
      <c r="N150" s="197">
        <f>K150*T31</f>
        <v>4.333333333333333</v>
      </c>
    </row>
    <row r="151" spans="1:14">
      <c r="A151" s="441" t="s">
        <v>722</v>
      </c>
      <c r="B151" s="101">
        <v>0</v>
      </c>
      <c r="C151" s="374">
        <f>B151*J32</f>
        <v>0</v>
      </c>
      <c r="D151" s="375">
        <f>B151*K32</f>
        <v>0</v>
      </c>
      <c r="F151" s="209">
        <v>1</v>
      </c>
      <c r="G151" s="363" t="s">
        <v>780</v>
      </c>
      <c r="H151" s="124">
        <f>ROUND(F151/J32,4)</f>
        <v>1.2E-2</v>
      </c>
      <c r="I151" s="130">
        <f>ROUND(F151/K32,4)</f>
        <v>3.0599999999999999E-2</v>
      </c>
      <c r="K151" s="208">
        <v>1</v>
      </c>
      <c r="L151" s="129" t="s">
        <v>780</v>
      </c>
      <c r="M151" s="193">
        <f>K151*J32</f>
        <v>83.333333333333329</v>
      </c>
      <c r="N151" s="194">
        <f>K151*K32</f>
        <v>32.679738562091508</v>
      </c>
    </row>
    <row r="152" spans="1:14">
      <c r="A152" s="437" t="s">
        <v>721</v>
      </c>
      <c r="B152" s="101">
        <v>0</v>
      </c>
      <c r="C152" s="139">
        <f>B152*M32</f>
        <v>0</v>
      </c>
      <c r="D152" s="140">
        <f>B152*N32</f>
        <v>0</v>
      </c>
      <c r="F152" s="209">
        <v>1</v>
      </c>
      <c r="G152" s="129" t="s">
        <v>781</v>
      </c>
      <c r="H152" s="376">
        <f>ROUND(F152/M32,4)</f>
        <v>1.2E-2</v>
      </c>
      <c r="I152" s="377">
        <f>ROUND(F152/N32,4)</f>
        <v>3.0599999999999999E-2</v>
      </c>
      <c r="K152" s="208">
        <v>1</v>
      </c>
      <c r="L152" s="363" t="s">
        <v>781</v>
      </c>
      <c r="M152" s="405">
        <f>K152*M32</f>
        <v>83.333333333333329</v>
      </c>
      <c r="N152" s="406">
        <f>K152*N32</f>
        <v>32.679738562091508</v>
      </c>
    </row>
    <row r="153" spans="1:14">
      <c r="A153" s="441" t="s">
        <v>720</v>
      </c>
      <c r="B153" s="101">
        <v>0</v>
      </c>
      <c r="C153" s="374">
        <f>B153*P32</f>
        <v>0</v>
      </c>
      <c r="D153" s="375">
        <f>B153*Q32</f>
        <v>0</v>
      </c>
      <c r="F153" s="209">
        <v>1</v>
      </c>
      <c r="G153" s="363" t="s">
        <v>782</v>
      </c>
      <c r="H153" s="124">
        <f>ROUND(F153/P32,4)</f>
        <v>0.18179999999999999</v>
      </c>
      <c r="I153" s="130">
        <f>ROUND(F153/Q32,4)</f>
        <v>0.2727</v>
      </c>
      <c r="K153" s="208">
        <v>1</v>
      </c>
      <c r="L153" s="129" t="s">
        <v>782</v>
      </c>
      <c r="M153" s="193">
        <f>K153*P32</f>
        <v>5.5</v>
      </c>
      <c r="N153" s="194">
        <f>K153*Q32</f>
        <v>3.6666666666666665</v>
      </c>
    </row>
    <row r="154" spans="1:14">
      <c r="A154" s="442" t="s">
        <v>719</v>
      </c>
      <c r="B154" s="219">
        <v>0</v>
      </c>
      <c r="C154" s="370">
        <f>B154*S32</f>
        <v>0</v>
      </c>
      <c r="D154" s="371">
        <f>B154*T32</f>
        <v>0</v>
      </c>
      <c r="F154" s="225">
        <v>1</v>
      </c>
      <c r="G154" s="369" t="s">
        <v>783</v>
      </c>
      <c r="H154" s="400">
        <f>ROUND(F154/S32,4)</f>
        <v>0.1429</v>
      </c>
      <c r="I154" s="401">
        <f>ROUND(F154/T32,4)</f>
        <v>0.21429999999999999</v>
      </c>
      <c r="K154" s="233">
        <v>1</v>
      </c>
      <c r="L154" s="369" t="s">
        <v>783</v>
      </c>
      <c r="M154" s="372">
        <f>K154*S32</f>
        <v>7</v>
      </c>
      <c r="N154" s="373">
        <f>K154*T32</f>
        <v>4.666666666666667</v>
      </c>
    </row>
    <row r="155" spans="1:14">
      <c r="A155" s="439" t="s">
        <v>776</v>
      </c>
      <c r="B155" s="101">
        <v>0</v>
      </c>
      <c r="C155" s="142">
        <f>B155*J33</f>
        <v>0</v>
      </c>
      <c r="D155" s="143">
        <f>B155*K33</f>
        <v>0</v>
      </c>
      <c r="F155" s="209">
        <v>1</v>
      </c>
      <c r="G155" s="364" t="s">
        <v>784</v>
      </c>
      <c r="H155" s="367">
        <f>ROUND(F155/J33,4)</f>
        <v>6.7000000000000002E-3</v>
      </c>
      <c r="I155" s="368">
        <f>ROUND(F155/K33,4)</f>
        <v>1.7000000000000001E-2</v>
      </c>
      <c r="K155" s="208">
        <v>1</v>
      </c>
      <c r="L155" s="364" t="s">
        <v>784</v>
      </c>
      <c r="M155" s="411">
        <f>K155*J33</f>
        <v>150</v>
      </c>
      <c r="N155" s="412">
        <f>K155*K33</f>
        <v>58.82352941176471</v>
      </c>
    </row>
    <row r="156" spans="1:14">
      <c r="A156" s="443" t="s">
        <v>777</v>
      </c>
      <c r="B156" s="101">
        <v>0</v>
      </c>
      <c r="C156" s="365">
        <f>B156*M33</f>
        <v>0</v>
      </c>
      <c r="D156" s="366">
        <f>B156*N33</f>
        <v>0</v>
      </c>
      <c r="F156" s="209">
        <v>1</v>
      </c>
      <c r="G156" s="131" t="s">
        <v>785</v>
      </c>
      <c r="H156" s="125">
        <f>ROUND(F156/M33,4)</f>
        <v>0.15379999999999999</v>
      </c>
      <c r="I156" s="132">
        <f>ROUND(F156/N33,4)</f>
        <v>0.23080000000000001</v>
      </c>
      <c r="K156" s="208">
        <v>1</v>
      </c>
      <c r="L156" s="131" t="s">
        <v>785</v>
      </c>
      <c r="M156" s="192">
        <f>K156*M33</f>
        <v>6.5</v>
      </c>
      <c r="N156" s="195">
        <f>K156*N33</f>
        <v>4.333333333333333</v>
      </c>
    </row>
    <row r="157" spans="1:14">
      <c r="A157" s="439" t="s">
        <v>778</v>
      </c>
      <c r="B157" s="101">
        <v>0</v>
      </c>
      <c r="C157" s="142">
        <f>B157*P33</f>
        <v>0</v>
      </c>
      <c r="D157" s="143">
        <f>B157*Q33</f>
        <v>0</v>
      </c>
      <c r="F157" s="209">
        <v>1</v>
      </c>
      <c r="G157" s="364" t="s">
        <v>786</v>
      </c>
      <c r="H157" s="367">
        <f>ROUND(F157/P33,4)</f>
        <v>0.1429</v>
      </c>
      <c r="I157" s="368">
        <f>ROUND(F157/Q33,4)</f>
        <v>0.21429999999999999</v>
      </c>
      <c r="K157" s="208">
        <v>1</v>
      </c>
      <c r="L157" s="364" t="s">
        <v>786</v>
      </c>
      <c r="M157" s="411">
        <f>K157*P33</f>
        <v>7</v>
      </c>
      <c r="N157" s="412">
        <f>K157*Q33</f>
        <v>4.666666666666667</v>
      </c>
    </row>
    <row r="158" spans="1:14">
      <c r="A158" s="447" t="s">
        <v>779</v>
      </c>
      <c r="B158" s="219">
        <v>0</v>
      </c>
      <c r="C158" s="145">
        <f>B158*S33</f>
        <v>0</v>
      </c>
      <c r="D158" s="146">
        <f>B158*T33</f>
        <v>0</v>
      </c>
      <c r="F158" s="225">
        <v>1</v>
      </c>
      <c r="G158" s="133" t="s">
        <v>787</v>
      </c>
      <c r="H158" s="134">
        <f>ROUND(F158/S33,4)</f>
        <v>0.1333</v>
      </c>
      <c r="I158" s="135">
        <f>ROUND(F158/T33,4)</f>
        <v>0.2</v>
      </c>
      <c r="K158" s="233">
        <v>1</v>
      </c>
      <c r="L158" s="133" t="s">
        <v>787</v>
      </c>
      <c r="M158" s="196">
        <f>K158*S33</f>
        <v>7.5</v>
      </c>
      <c r="N158" s="197">
        <f>K158*T33</f>
        <v>5</v>
      </c>
    </row>
    <row r="160" spans="1:14" ht="15.75" thickBot="1">
      <c r="A160" s="250"/>
      <c r="B160" s="251"/>
      <c r="C160" s="251"/>
      <c r="D160" s="252"/>
      <c r="F160" s="250" t="s">
        <v>398</v>
      </c>
      <c r="G160" s="251"/>
      <c r="H160" s="252" t="s">
        <v>399</v>
      </c>
    </row>
    <row r="161" spans="1:8" ht="16.5" thickTop="1" thickBot="1">
      <c r="A161" s="244"/>
      <c r="B161" s="39" t="s">
        <v>126</v>
      </c>
      <c r="C161" s="142">
        <f>ROUND(SUM(C70:C158),1)</f>
        <v>0</v>
      </c>
      <c r="D161" s="239">
        <f>ROUND(SUM(D70:D158),1)</f>
        <v>0</v>
      </c>
      <c r="F161" s="237" t="s">
        <v>326</v>
      </c>
      <c r="G161" s="245"/>
      <c r="H161" s="238" t="s">
        <v>1040</v>
      </c>
    </row>
    <row r="162" spans="1:8" ht="15.75" thickTop="1">
      <c r="A162" s="240" t="s">
        <v>127</v>
      </c>
      <c r="B162" s="116">
        <v>20</v>
      </c>
      <c r="C162" s="253"/>
      <c r="D162" s="254"/>
      <c r="F162" s="244"/>
      <c r="G162" s="245"/>
      <c r="H162" s="246"/>
    </row>
    <row r="163" spans="1:8">
      <c r="A163" s="241" t="s">
        <v>47</v>
      </c>
      <c r="B163" s="242">
        <f>IFERROR(1-(B162/C161),0)</f>
        <v>0</v>
      </c>
      <c r="C163" s="255"/>
      <c r="D163" s="246"/>
      <c r="F163" s="244"/>
      <c r="G163" s="245"/>
      <c r="H163" s="246"/>
    </row>
    <row r="164" spans="1:8">
      <c r="A164" s="244"/>
      <c r="B164" s="245"/>
      <c r="C164" s="245"/>
      <c r="D164" s="246"/>
      <c r="F164" s="244"/>
      <c r="G164" s="245"/>
      <c r="H164" s="246"/>
    </row>
    <row r="165" spans="1:8">
      <c r="A165" s="247"/>
      <c r="B165" s="248"/>
      <c r="C165" s="248"/>
      <c r="D165" s="249"/>
      <c r="F165" s="247"/>
      <c r="G165" s="248"/>
      <c r="H165" s="249"/>
    </row>
    <row r="166" spans="1:8">
      <c r="F166" s="243" t="s">
        <v>676</v>
      </c>
    </row>
    <row r="170" spans="1:8">
      <c r="A170" s="628" t="s">
        <v>675</v>
      </c>
      <c r="B170" s="629"/>
      <c r="C170" s="630"/>
    </row>
    <row r="171" spans="1:8" ht="15.75" thickBot="1">
      <c r="A171" s="126" t="s">
        <v>414</v>
      </c>
      <c r="B171" s="136" t="s">
        <v>1041</v>
      </c>
      <c r="C171" s="434" t="s">
        <v>1039</v>
      </c>
    </row>
    <row r="172" spans="1:8" ht="16.5" thickTop="1" thickBot="1">
      <c r="A172" s="237" t="s">
        <v>190</v>
      </c>
      <c r="B172" s="484">
        <v>10</v>
      </c>
      <c r="C172" s="435">
        <v>10</v>
      </c>
    </row>
    <row r="173" spans="1:8" ht="15.75" thickTop="1">
      <c r="A173" s="436"/>
      <c r="B173" s="485" t="s">
        <v>47</v>
      </c>
      <c r="C173" s="448">
        <f>1- (C172/B172)</f>
        <v>0</v>
      </c>
    </row>
    <row r="174" spans="1:8">
      <c r="A174" s="244"/>
      <c r="B174" s="245"/>
      <c r="C174" s="246"/>
    </row>
    <row r="175" spans="1:8">
      <c r="A175" s="244"/>
      <c r="B175" s="245"/>
      <c r="C175" s="246"/>
    </row>
    <row r="176" spans="1:8">
      <c r="A176" s="247"/>
      <c r="B176" s="248"/>
      <c r="C176" s="249"/>
    </row>
  </sheetData>
  <mergeCells count="9">
    <mergeCell ref="A170:C170"/>
    <mergeCell ref="X17:Z17"/>
    <mergeCell ref="R17:T17"/>
    <mergeCell ref="U17:W17"/>
    <mergeCell ref="A64:O65"/>
    <mergeCell ref="F17:H17"/>
    <mergeCell ref="I17:K17"/>
    <mergeCell ref="L17:N17"/>
    <mergeCell ref="O17:Q17"/>
  </mergeCells>
  <dataValidations count="1">
    <dataValidation type="list" allowBlank="1" showInputMessage="1" showErrorMessage="1" sqref="A172">
      <formula1>$E$19:$E$38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162</xdr:row>
                <xdr:rowOff>76200</xdr:rowOff>
              </from>
              <to>
                <xdr:col>6</xdr:col>
                <xdr:colOff>1390650</xdr:colOff>
                <xdr:row>164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162</xdr:row>
                <xdr:rowOff>76200</xdr:rowOff>
              </from>
              <to>
                <xdr:col>3</xdr:col>
                <xdr:colOff>647700</xdr:colOff>
                <xdr:row>164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2" r:id="rId8" name="CommandButton3">
          <controlPr defaultSize="0" autoLine="0" r:id="rId9">
            <anchor moveWithCells="1">
              <from>
                <xdr:col>0</xdr:col>
                <xdr:colOff>581025</xdr:colOff>
                <xdr:row>173</xdr:row>
                <xdr:rowOff>76200</xdr:rowOff>
              </from>
              <to>
                <xdr:col>0</xdr:col>
                <xdr:colOff>1800225</xdr:colOff>
                <xdr:row>175</xdr:row>
                <xdr:rowOff>161925</xdr:rowOff>
              </to>
            </anchor>
          </controlPr>
        </control>
      </mc:Choice>
      <mc:Fallback>
        <control shapeId="25612" r:id="rId8" name="CommandButton3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543</v>
      </c>
      <c r="B1" s="36"/>
      <c r="C1" s="36"/>
    </row>
    <row r="4" spans="1:3" ht="15.75">
      <c r="A4" s="36" t="s">
        <v>544</v>
      </c>
    </row>
    <row r="5" spans="1:3" ht="15.75">
      <c r="A5" s="415"/>
    </row>
    <row r="6" spans="1:3" ht="16.5" thickBot="1">
      <c r="A6" s="416"/>
    </row>
    <row r="7" spans="1:3" ht="16.5" thickBot="1">
      <c r="A7" s="417" t="s">
        <v>545</v>
      </c>
      <c r="B7" s="421">
        <v>130000</v>
      </c>
    </row>
    <row r="8" spans="1:3" ht="16.5" thickBot="1">
      <c r="A8" s="417" t="s">
        <v>546</v>
      </c>
      <c r="B8" s="421">
        <v>30</v>
      </c>
    </row>
    <row r="9" spans="1:3" ht="16.5" thickBot="1">
      <c r="A9" s="417" t="s">
        <v>547</v>
      </c>
      <c r="B9" s="421">
        <v>2</v>
      </c>
    </row>
    <row r="10" spans="1:3" ht="16.5" thickBot="1">
      <c r="A10" s="417" t="s">
        <v>548</v>
      </c>
      <c r="B10" s="421">
        <v>7</v>
      </c>
    </row>
    <row r="11" spans="1:3" ht="16.5" thickBot="1">
      <c r="A11" s="417" t="s">
        <v>549</v>
      </c>
      <c r="B11" s="422">
        <v>1</v>
      </c>
    </row>
    <row r="12" spans="1:3" ht="15.75" thickBot="1">
      <c r="A12" s="419"/>
      <c r="B12" s="419"/>
    </row>
    <row r="13" spans="1:3" ht="16.5" thickBot="1">
      <c r="A13" s="417" t="s">
        <v>550</v>
      </c>
      <c r="B13" s="418">
        <f>PRODUCT(B7:B11)</f>
        <v>54600000</v>
      </c>
    </row>
    <row r="14" spans="1:3" ht="15.75" thickBot="1">
      <c r="A14" s="419"/>
      <c r="B14" s="419"/>
    </row>
    <row r="15" spans="1:3" ht="16.5" thickBot="1">
      <c r="A15" s="417" t="s">
        <v>551</v>
      </c>
      <c r="B15" s="418">
        <f>ROUND(B13,-6)</f>
        <v>55000000</v>
      </c>
    </row>
    <row r="16" spans="1:3" ht="15.75" thickBot="1">
      <c r="A16" s="419"/>
      <c r="B16" s="419"/>
    </row>
    <row r="17" spans="1:2" ht="15.75" thickBot="1">
      <c r="A17" s="420" t="s">
        <v>552</v>
      </c>
      <c r="B17" s="420" t="s">
        <v>553</v>
      </c>
    </row>
    <row r="18" spans="1:2" ht="15.75" thickBot="1">
      <c r="A18" s="421">
        <v>0.25</v>
      </c>
      <c r="B18" s="418">
        <f>$B$15*A18</f>
        <v>13750000</v>
      </c>
    </row>
    <row r="19" spans="1:2" ht="15.75" thickBot="1">
      <c r="A19" s="421">
        <v>0.5</v>
      </c>
      <c r="B19" s="418">
        <f t="shared" ref="B19:B21" si="0">$B$15*A19</f>
        <v>27500000</v>
      </c>
    </row>
    <row r="20" spans="1:2" ht="15.75" thickBot="1">
      <c r="A20" s="421">
        <v>0.75</v>
      </c>
      <c r="B20" s="418">
        <f t="shared" si="0"/>
        <v>41250000</v>
      </c>
    </row>
    <row r="21" spans="1:2" ht="15.75" thickBot="1">
      <c r="A21" s="421">
        <v>1</v>
      </c>
      <c r="B21" s="418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5"/>
  <sheetViews>
    <sheetView workbookViewId="0">
      <selection activeCell="D11" sqref="D11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424" t="s">
        <v>572</v>
      </c>
      <c r="C4" s="431" t="s">
        <v>573</v>
      </c>
      <c r="D4" s="425" t="s">
        <v>574</v>
      </c>
    </row>
    <row r="5" spans="1:4" ht="15.75" thickBot="1">
      <c r="B5" s="428" t="s">
        <v>575</v>
      </c>
      <c r="C5" s="427" t="s">
        <v>576</v>
      </c>
      <c r="D5" s="423" t="s">
        <v>577</v>
      </c>
    </row>
    <row r="6" spans="1:4" ht="15.75" thickBot="1">
      <c r="B6" s="428" t="s">
        <v>575</v>
      </c>
      <c r="C6" s="427" t="s">
        <v>578</v>
      </c>
      <c r="D6" s="423" t="s">
        <v>579</v>
      </c>
    </row>
    <row r="7" spans="1:4" ht="15.75" thickBot="1">
      <c r="B7" s="428" t="s">
        <v>575</v>
      </c>
      <c r="C7" s="427" t="s">
        <v>580</v>
      </c>
      <c r="D7" s="423" t="s">
        <v>581</v>
      </c>
    </row>
    <row r="8" spans="1:4" ht="15.75" thickBot="1">
      <c r="B8" s="428" t="s">
        <v>575</v>
      </c>
      <c r="C8" s="427" t="s">
        <v>582</v>
      </c>
      <c r="D8" s="423" t="s">
        <v>583</v>
      </c>
    </row>
    <row r="9" spans="1:4" ht="15.75" thickBot="1">
      <c r="B9" s="428" t="s">
        <v>575</v>
      </c>
      <c r="C9" s="427" t="s">
        <v>584</v>
      </c>
      <c r="D9" s="423" t="s">
        <v>585</v>
      </c>
    </row>
    <row r="10" spans="1:4" ht="15.75" thickBot="1">
      <c r="B10" s="428" t="s">
        <v>575</v>
      </c>
      <c r="C10" s="427" t="s">
        <v>586</v>
      </c>
      <c r="D10" s="423" t="s">
        <v>587</v>
      </c>
    </row>
    <row r="11" spans="1:4" ht="15.75" thickBot="1">
      <c r="B11" s="428" t="s">
        <v>575</v>
      </c>
      <c r="C11" s="427" t="s">
        <v>588</v>
      </c>
      <c r="D11" s="423" t="s">
        <v>589</v>
      </c>
    </row>
    <row r="12" spans="1:4" ht="15.75" thickBot="1">
      <c r="B12" s="429" t="s">
        <v>575</v>
      </c>
      <c r="C12" s="427" t="s">
        <v>590</v>
      </c>
      <c r="D12" s="423" t="s">
        <v>591</v>
      </c>
    </row>
    <row r="13" spans="1:4" ht="15.75" thickBot="1">
      <c r="B13" s="428" t="s">
        <v>575</v>
      </c>
      <c r="C13" s="427" t="s">
        <v>592</v>
      </c>
      <c r="D13" s="423" t="s">
        <v>593</v>
      </c>
    </row>
    <row r="14" spans="1:4" ht="15.75" thickBot="1">
      <c r="B14" s="428" t="s">
        <v>575</v>
      </c>
      <c r="C14" s="427" t="s">
        <v>594</v>
      </c>
      <c r="D14" s="423" t="s">
        <v>595</v>
      </c>
    </row>
    <row r="15" spans="1:4" ht="15.75" thickBot="1">
      <c r="B15" s="429" t="s">
        <v>575</v>
      </c>
      <c r="C15" s="427" t="s">
        <v>596</v>
      </c>
      <c r="D15" s="423" t="s">
        <v>597</v>
      </c>
    </row>
    <row r="16" spans="1:4" ht="15.75" thickBot="1">
      <c r="B16" s="428" t="s">
        <v>575</v>
      </c>
      <c r="C16" s="427" t="s">
        <v>598</v>
      </c>
      <c r="D16" s="423" t="s">
        <v>599</v>
      </c>
    </row>
    <row r="17" spans="2:4" ht="15.75" thickBot="1">
      <c r="B17" s="428" t="s">
        <v>575</v>
      </c>
      <c r="C17" s="427" t="s">
        <v>774</v>
      </c>
      <c r="D17" s="423" t="s">
        <v>788</v>
      </c>
    </row>
    <row r="18" spans="2:4" ht="15.75" thickBot="1">
      <c r="B18" s="430" t="s">
        <v>575</v>
      </c>
      <c r="C18" s="427" t="s">
        <v>600</v>
      </c>
      <c r="D18" s="423" t="s">
        <v>601</v>
      </c>
    </row>
    <row r="19" spans="2:4" ht="15.75" thickBot="1">
      <c r="B19" s="430" t="s">
        <v>575</v>
      </c>
      <c r="C19" s="427" t="s">
        <v>602</v>
      </c>
      <c r="D19" s="423" t="s">
        <v>603</v>
      </c>
    </row>
    <row r="20" spans="2:4" ht="15.75" thickBot="1">
      <c r="B20" s="430" t="s">
        <v>575</v>
      </c>
      <c r="C20" s="427" t="s">
        <v>604</v>
      </c>
      <c r="D20" s="423" t="s">
        <v>605</v>
      </c>
    </row>
    <row r="21" spans="2:4" ht="15.75" thickBot="1">
      <c r="B21" s="430" t="s">
        <v>575</v>
      </c>
      <c r="C21" s="427" t="s">
        <v>606</v>
      </c>
      <c r="D21" s="423" t="s">
        <v>607</v>
      </c>
    </row>
    <row r="22" spans="2:4" ht="15.75" thickBot="1">
      <c r="B22" s="430" t="s">
        <v>575</v>
      </c>
      <c r="C22" s="427" t="s">
        <v>608</v>
      </c>
      <c r="D22" s="423" t="s">
        <v>609</v>
      </c>
    </row>
    <row r="23" spans="2:4" ht="15.75" thickBot="1">
      <c r="B23" s="430" t="s">
        <v>575</v>
      </c>
      <c r="C23" s="427" t="s">
        <v>620</v>
      </c>
      <c r="D23" s="423" t="s">
        <v>621</v>
      </c>
    </row>
    <row r="24" spans="2:4" ht="15.75" thickBot="1">
      <c r="B24" s="430" t="s">
        <v>575</v>
      </c>
      <c r="C24" s="427" t="s">
        <v>622</v>
      </c>
      <c r="D24" s="423" t="s">
        <v>623</v>
      </c>
    </row>
    <row r="25" spans="2:4" ht="15.75" thickBot="1">
      <c r="B25" s="430" t="s">
        <v>575</v>
      </c>
      <c r="C25" s="427" t="s">
        <v>624</v>
      </c>
      <c r="D25" s="423" t="s">
        <v>625</v>
      </c>
    </row>
    <row r="26" spans="2:4" ht="15.75" thickBot="1">
      <c r="B26" s="430" t="s">
        <v>575</v>
      </c>
      <c r="C26" s="427" t="s">
        <v>626</v>
      </c>
      <c r="D26" s="423" t="s">
        <v>627</v>
      </c>
    </row>
    <row r="27" spans="2:4" ht="15.75" thickBot="1">
      <c r="B27" s="430" t="s">
        <v>575</v>
      </c>
      <c r="C27" s="427" t="s">
        <v>628</v>
      </c>
      <c r="D27" s="423" t="s">
        <v>629</v>
      </c>
    </row>
    <row r="28" spans="2:4" ht="15.75" thickBot="1">
      <c r="B28" s="430" t="s">
        <v>575</v>
      </c>
      <c r="C28" s="427" t="s">
        <v>630</v>
      </c>
      <c r="D28" s="423" t="s">
        <v>631</v>
      </c>
    </row>
    <row r="29" spans="2:4" ht="15.75" thickBot="1">
      <c r="B29" s="430" t="s">
        <v>575</v>
      </c>
      <c r="C29" s="427" t="s">
        <v>632</v>
      </c>
      <c r="D29" s="423" t="s">
        <v>633</v>
      </c>
    </row>
    <row r="30" spans="2:4" ht="15.75" thickBot="1">
      <c r="B30" s="430" t="s">
        <v>575</v>
      </c>
      <c r="C30" s="427" t="s">
        <v>634</v>
      </c>
      <c r="D30" s="423" t="s">
        <v>635</v>
      </c>
    </row>
    <row r="31" spans="2:4" ht="15.75" thickBot="1">
      <c r="B31" s="430" t="s">
        <v>575</v>
      </c>
      <c r="C31" s="427" t="s">
        <v>636</v>
      </c>
      <c r="D31" s="423" t="s">
        <v>637</v>
      </c>
    </row>
    <row r="32" spans="2:4" ht="15.75" thickBot="1">
      <c r="B32" s="430" t="s">
        <v>575</v>
      </c>
      <c r="C32" s="427" t="s">
        <v>638</v>
      </c>
      <c r="D32" s="423" t="s">
        <v>639</v>
      </c>
    </row>
    <row r="33" spans="2:4" ht="15.75" thickBot="1">
      <c r="B33" s="430" t="s">
        <v>575</v>
      </c>
      <c r="C33" s="427" t="s">
        <v>640</v>
      </c>
      <c r="D33" s="423" t="s">
        <v>641</v>
      </c>
    </row>
    <row r="34" spans="2:4" ht="15.75" thickBot="1">
      <c r="B34" s="430" t="s">
        <v>575</v>
      </c>
      <c r="C34" s="427" t="s">
        <v>642</v>
      </c>
      <c r="D34" s="423" t="s">
        <v>643</v>
      </c>
    </row>
    <row r="35" spans="2:4" ht="15.75" thickBot="1">
      <c r="B35" s="430" t="s">
        <v>575</v>
      </c>
      <c r="C35" s="427" t="s">
        <v>644</v>
      </c>
      <c r="D35" s="423" t="s">
        <v>645</v>
      </c>
    </row>
    <row r="36" spans="2:4" ht="15.75" thickBot="1">
      <c r="B36" s="430" t="s">
        <v>575</v>
      </c>
      <c r="C36" s="427" t="s">
        <v>646</v>
      </c>
      <c r="D36" s="423" t="s">
        <v>647</v>
      </c>
    </row>
    <row r="37" spans="2:4" ht="15.75" thickBot="1">
      <c r="B37" s="430" t="s">
        <v>575</v>
      </c>
      <c r="C37" s="427" t="s">
        <v>648</v>
      </c>
      <c r="D37" s="423" t="s">
        <v>649</v>
      </c>
    </row>
    <row r="38" spans="2:4" ht="15.75" thickBot="1">
      <c r="B38" s="430" t="s">
        <v>610</v>
      </c>
      <c r="C38" s="427" t="s">
        <v>611</v>
      </c>
      <c r="D38" s="423" t="s">
        <v>612</v>
      </c>
    </row>
    <row r="39" spans="2:4" ht="15.75" thickBot="1">
      <c r="B39" s="430" t="s">
        <v>610</v>
      </c>
      <c r="C39" s="427" t="s">
        <v>613</v>
      </c>
      <c r="D39" s="423" t="s">
        <v>614</v>
      </c>
    </row>
    <row r="40" spans="2:4" ht="15.75" thickBot="1">
      <c r="B40" s="430" t="s">
        <v>615</v>
      </c>
      <c r="C40" s="427" t="s">
        <v>616</v>
      </c>
      <c r="D40" s="423" t="s">
        <v>617</v>
      </c>
    </row>
    <row r="41" spans="2:4" ht="15.75" thickBot="1">
      <c r="B41" s="430" t="s">
        <v>615</v>
      </c>
      <c r="C41" s="427" t="s">
        <v>618</v>
      </c>
      <c r="D41" s="423" t="s">
        <v>619</v>
      </c>
    </row>
    <row r="42" spans="2:4" ht="15.75" thickBot="1">
      <c r="B42" s="430" t="s">
        <v>650</v>
      </c>
      <c r="C42" s="427" t="s">
        <v>651</v>
      </c>
      <c r="D42" s="423" t="s">
        <v>652</v>
      </c>
    </row>
    <row r="43" spans="2:4" ht="15.75" thickBot="1">
      <c r="B43" s="430" t="s">
        <v>650</v>
      </c>
      <c r="C43" s="427" t="s">
        <v>653</v>
      </c>
      <c r="D43" s="423" t="s">
        <v>654</v>
      </c>
    </row>
    <row r="44" spans="2:4" ht="15.75" thickBot="1">
      <c r="B44" s="430" t="s">
        <v>655</v>
      </c>
      <c r="C44" s="427" t="s">
        <v>656</v>
      </c>
      <c r="D44" s="423" t="s">
        <v>657</v>
      </c>
    </row>
    <row r="45" spans="2:4" ht="15.75" thickBot="1">
      <c r="B45" s="430" t="s">
        <v>658</v>
      </c>
      <c r="C45" s="427" t="s">
        <v>659</v>
      </c>
      <c r="D45" s="423" t="s">
        <v>660</v>
      </c>
    </row>
    <row r="46" spans="2:4" ht="15.75" thickBot="1">
      <c r="B46" s="430" t="s">
        <v>658</v>
      </c>
      <c r="C46" s="427" t="s">
        <v>661</v>
      </c>
      <c r="D46" s="423" t="s">
        <v>662</v>
      </c>
    </row>
    <row r="47" spans="2:4" ht="15.75" thickBot="1">
      <c r="B47" s="430" t="s">
        <v>663</v>
      </c>
      <c r="C47" s="427" t="s">
        <v>664</v>
      </c>
      <c r="D47" s="423" t="s">
        <v>665</v>
      </c>
    </row>
    <row r="48" spans="2:4" ht="15.75" thickBot="1">
      <c r="B48" s="430" t="s">
        <v>663</v>
      </c>
      <c r="C48" s="427" t="s">
        <v>666</v>
      </c>
      <c r="D48" s="423" t="s">
        <v>667</v>
      </c>
    </row>
    <row r="49" spans="2:4" ht="15.75" thickBot="1">
      <c r="B49" s="430" t="s">
        <v>668</v>
      </c>
      <c r="C49" s="427" t="s">
        <v>669</v>
      </c>
      <c r="D49" s="423" t="s">
        <v>670</v>
      </c>
    </row>
    <row r="50" spans="2:4" ht="15.75" thickBot="1">
      <c r="B50" s="430" t="s">
        <v>668</v>
      </c>
      <c r="C50" s="427" t="s">
        <v>671</v>
      </c>
      <c r="D50" s="423" t="s">
        <v>672</v>
      </c>
    </row>
    <row r="51" spans="2:4" ht="15.75" thickBot="1">
      <c r="B51" s="432" t="s">
        <v>668</v>
      </c>
      <c r="C51" s="433" t="s">
        <v>673</v>
      </c>
      <c r="D51" s="426" t="s">
        <v>674</v>
      </c>
    </row>
    <row r="52" spans="2:4" ht="15.75" thickBot="1">
      <c r="B52" s="469" t="s">
        <v>789</v>
      </c>
      <c r="C52" s="470" t="s">
        <v>790</v>
      </c>
      <c r="D52" s="471" t="s">
        <v>794</v>
      </c>
    </row>
    <row r="53" spans="2:4" ht="15.75" thickBot="1">
      <c r="B53" s="469" t="s">
        <v>789</v>
      </c>
      <c r="C53" s="470" t="s">
        <v>791</v>
      </c>
      <c r="D53" s="471" t="s">
        <v>795</v>
      </c>
    </row>
    <row r="54" spans="2:4" ht="15.75" thickBot="1">
      <c r="B54" s="469" t="s">
        <v>789</v>
      </c>
      <c r="C54" s="470" t="s">
        <v>792</v>
      </c>
      <c r="D54" s="471" t="s">
        <v>796</v>
      </c>
    </row>
    <row r="55" spans="2:4">
      <c r="B55" s="472" t="s">
        <v>789</v>
      </c>
      <c r="C55" s="473" t="s">
        <v>793</v>
      </c>
      <c r="D55" s="474" t="s">
        <v>797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abSelected="1" topLeftCell="E1" zoomScaleNormal="100" workbookViewId="0">
      <selection activeCell="N23" sqref="N23"/>
    </sheetView>
  </sheetViews>
  <sheetFormatPr defaultRowHeight="15"/>
  <cols>
    <col min="2" max="2" width="23" customWidth="1"/>
    <col min="3" max="3" width="22.5703125" customWidth="1"/>
    <col min="4" max="4" width="12.42578125" customWidth="1"/>
    <col min="5" max="5" width="15.710937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8.28515625" customWidth="1"/>
    <col min="12" max="13" width="10.7109375" customWidth="1"/>
    <col min="14" max="14" width="21.85546875" customWidth="1"/>
    <col min="15" max="15" width="18.140625" customWidth="1"/>
    <col min="16" max="16" width="23.28515625" customWidth="1"/>
    <col min="17" max="17" width="10" customWidth="1"/>
  </cols>
  <sheetData>
    <row r="2" spans="1:22">
      <c r="B2" s="100" t="s">
        <v>1107</v>
      </c>
      <c r="F2" s="100" t="s">
        <v>1108</v>
      </c>
      <c r="J2" s="100" t="s">
        <v>1109</v>
      </c>
      <c r="N2" s="100" t="s">
        <v>1076</v>
      </c>
    </row>
    <row r="3" spans="1:22" ht="15.75" thickBot="1">
      <c r="B3" s="424" t="s">
        <v>1061</v>
      </c>
      <c r="C3" s="486" t="s">
        <v>1062</v>
      </c>
      <c r="D3" s="486" t="s">
        <v>554</v>
      </c>
      <c r="F3" s="424" t="s">
        <v>1061</v>
      </c>
      <c r="G3" s="486" t="s">
        <v>1062</v>
      </c>
      <c r="H3" s="486" t="s">
        <v>554</v>
      </c>
      <c r="J3" s="424" t="s">
        <v>1061</v>
      </c>
      <c r="K3" s="486" t="s">
        <v>1062</v>
      </c>
      <c r="L3" s="486" t="s">
        <v>554</v>
      </c>
      <c r="N3" s="424" t="s">
        <v>1061</v>
      </c>
      <c r="O3" s="486" t="s">
        <v>1062</v>
      </c>
      <c r="P3" s="486" t="s">
        <v>554</v>
      </c>
    </row>
    <row r="4" spans="1:22" ht="15.75" thickBot="1">
      <c r="A4" s="487"/>
      <c r="B4" s="565" t="s">
        <v>711</v>
      </c>
      <c r="C4" s="566" t="s">
        <v>711</v>
      </c>
      <c r="D4" s="566" t="s">
        <v>555</v>
      </c>
      <c r="F4" s="565" t="s">
        <v>1073</v>
      </c>
      <c r="G4" s="566" t="s">
        <v>711</v>
      </c>
      <c r="H4" s="566" t="s">
        <v>555</v>
      </c>
      <c r="J4" s="570" t="s">
        <v>567</v>
      </c>
      <c r="K4" s="571" t="s">
        <v>567</v>
      </c>
      <c r="L4" s="571" t="s">
        <v>556</v>
      </c>
      <c r="N4" s="502" t="s">
        <v>703</v>
      </c>
      <c r="O4" s="503" t="s">
        <v>703</v>
      </c>
      <c r="P4" s="503" t="s">
        <v>560</v>
      </c>
      <c r="S4" s="451"/>
      <c r="V4" s="451"/>
    </row>
    <row r="5" spans="1:22" ht="15.75" thickBot="1">
      <c r="A5" s="487"/>
      <c r="B5" s="565" t="s">
        <v>712</v>
      </c>
      <c r="C5" s="566" t="s">
        <v>712</v>
      </c>
      <c r="D5" s="566" t="s">
        <v>556</v>
      </c>
      <c r="F5" s="565" t="s">
        <v>1074</v>
      </c>
      <c r="G5" s="566" t="s">
        <v>712</v>
      </c>
      <c r="H5" s="566" t="s">
        <v>556</v>
      </c>
      <c r="J5" s="570" t="s">
        <v>568</v>
      </c>
      <c r="K5" s="571" t="s">
        <v>568</v>
      </c>
      <c r="L5" s="571" t="s">
        <v>557</v>
      </c>
      <c r="N5" s="502" t="s">
        <v>704</v>
      </c>
      <c r="O5" s="503" t="s">
        <v>704</v>
      </c>
      <c r="P5" s="503" t="s">
        <v>560</v>
      </c>
      <c r="S5" s="488"/>
      <c r="V5" s="451"/>
    </row>
    <row r="6" spans="1:22" ht="15.75" thickBot="1">
      <c r="A6" s="487"/>
      <c r="B6" s="565" t="s">
        <v>713</v>
      </c>
      <c r="C6" s="566" t="s">
        <v>713</v>
      </c>
      <c r="D6" s="566" t="s">
        <v>557</v>
      </c>
      <c r="F6" s="565" t="s">
        <v>1075</v>
      </c>
      <c r="G6" s="566" t="s">
        <v>713</v>
      </c>
      <c r="H6" s="566" t="s">
        <v>557</v>
      </c>
      <c r="J6" s="572" t="s">
        <v>698</v>
      </c>
      <c r="K6" s="571" t="s">
        <v>698</v>
      </c>
      <c r="L6" s="571" t="s">
        <v>557</v>
      </c>
      <c r="N6" s="555" t="s">
        <v>705</v>
      </c>
      <c r="O6" s="503" t="s">
        <v>705</v>
      </c>
      <c r="P6" s="559" t="s">
        <v>561</v>
      </c>
      <c r="S6" s="451"/>
      <c r="V6" s="451"/>
    </row>
    <row r="7" spans="1:22" ht="15.75" thickBot="1">
      <c r="A7" s="487"/>
      <c r="B7" s="565" t="s">
        <v>693</v>
      </c>
      <c r="C7" s="566" t="s">
        <v>693</v>
      </c>
      <c r="D7" s="566" t="s">
        <v>555</v>
      </c>
      <c r="F7" s="565" t="s">
        <v>1063</v>
      </c>
      <c r="G7" s="566" t="s">
        <v>693</v>
      </c>
      <c r="H7" s="566" t="s">
        <v>555</v>
      </c>
      <c r="J7" s="572" t="s">
        <v>695</v>
      </c>
      <c r="K7" s="571" t="s">
        <v>695</v>
      </c>
      <c r="L7" s="571" t="s">
        <v>556</v>
      </c>
      <c r="N7" s="555" t="s">
        <v>706</v>
      </c>
      <c r="O7" s="503" t="s">
        <v>706</v>
      </c>
      <c r="P7" s="559" t="s">
        <v>561</v>
      </c>
      <c r="S7" s="451"/>
      <c r="V7" s="451"/>
    </row>
    <row r="8" spans="1:22" ht="15.75" thickBot="1">
      <c r="A8" s="487"/>
      <c r="B8" s="565" t="s">
        <v>694</v>
      </c>
      <c r="C8" s="566" t="s">
        <v>694</v>
      </c>
      <c r="D8" s="566" t="s">
        <v>555</v>
      </c>
      <c r="F8" s="565" t="s">
        <v>1064</v>
      </c>
      <c r="G8" s="566" t="s">
        <v>694</v>
      </c>
      <c r="H8" s="566" t="s">
        <v>555</v>
      </c>
      <c r="J8" s="572" t="s">
        <v>1065</v>
      </c>
      <c r="K8" s="571" t="s">
        <v>695</v>
      </c>
      <c r="L8" s="571" t="s">
        <v>556</v>
      </c>
      <c r="N8" s="555" t="s">
        <v>707</v>
      </c>
      <c r="O8" s="503" t="s">
        <v>707</v>
      </c>
      <c r="P8" s="559" t="s">
        <v>562</v>
      </c>
      <c r="S8" s="451"/>
      <c r="V8" s="451"/>
    </row>
    <row r="9" spans="1:22" ht="15.75" thickBot="1">
      <c r="A9" s="487"/>
      <c r="B9" s="565" t="s">
        <v>696</v>
      </c>
      <c r="C9" s="566" t="s">
        <v>696</v>
      </c>
      <c r="D9" s="566" t="s">
        <v>556</v>
      </c>
      <c r="F9" s="565" t="s">
        <v>1066</v>
      </c>
      <c r="G9" s="566" t="s">
        <v>696</v>
      </c>
      <c r="H9" s="566" t="s">
        <v>556</v>
      </c>
      <c r="J9" s="451"/>
      <c r="K9" s="451"/>
      <c r="L9" s="451"/>
      <c r="N9" s="555" t="s">
        <v>708</v>
      </c>
      <c r="O9" s="503" t="s">
        <v>708</v>
      </c>
      <c r="P9" s="559" t="s">
        <v>562</v>
      </c>
      <c r="S9" s="451"/>
      <c r="V9" s="451"/>
    </row>
    <row r="10" spans="1:22" ht="15.75" thickBot="1">
      <c r="A10" s="487"/>
      <c r="B10" s="565" t="s">
        <v>697</v>
      </c>
      <c r="C10" s="566" t="s">
        <v>697</v>
      </c>
      <c r="D10" s="566" t="s">
        <v>557</v>
      </c>
      <c r="F10" s="565" t="s">
        <v>1067</v>
      </c>
      <c r="G10" s="566" t="s">
        <v>697</v>
      </c>
      <c r="H10" s="566" t="s">
        <v>557</v>
      </c>
      <c r="J10" s="451"/>
      <c r="K10" s="451"/>
      <c r="L10" s="451"/>
      <c r="N10" s="555" t="s">
        <v>709</v>
      </c>
      <c r="O10" s="503" t="s">
        <v>709</v>
      </c>
      <c r="P10" s="559" t="s">
        <v>563</v>
      </c>
      <c r="S10" s="451"/>
      <c r="V10" s="451"/>
    </row>
    <row r="11" spans="1:22" ht="15.75" thickBot="1">
      <c r="A11" s="487"/>
      <c r="B11" s="565" t="s">
        <v>699</v>
      </c>
      <c r="C11" s="566" t="s">
        <v>699</v>
      </c>
      <c r="D11" s="566" t="s">
        <v>558</v>
      </c>
      <c r="F11" s="565" t="s">
        <v>1079</v>
      </c>
      <c r="G11" s="566" t="s">
        <v>699</v>
      </c>
      <c r="H11" s="566" t="s">
        <v>558</v>
      </c>
      <c r="N11" s="555" t="s">
        <v>710</v>
      </c>
      <c r="O11" s="503" t="s">
        <v>710</v>
      </c>
      <c r="P11" s="559" t="s">
        <v>563</v>
      </c>
      <c r="S11" s="451"/>
      <c r="V11" s="451"/>
    </row>
    <row r="12" spans="1:22" ht="15.75" thickBot="1">
      <c r="A12" s="487"/>
      <c r="B12" s="565" t="s">
        <v>700</v>
      </c>
      <c r="C12" s="566" t="s">
        <v>700</v>
      </c>
      <c r="D12" s="566" t="s">
        <v>558</v>
      </c>
      <c r="F12" s="565" t="s">
        <v>1080</v>
      </c>
      <c r="G12" s="566" t="s">
        <v>700</v>
      </c>
      <c r="H12" s="566" t="s">
        <v>558</v>
      </c>
      <c r="J12" s="451"/>
      <c r="K12" s="451"/>
      <c r="L12" s="451"/>
      <c r="N12" s="555" t="s">
        <v>569</v>
      </c>
      <c r="O12" s="503" t="s">
        <v>569</v>
      </c>
      <c r="P12" s="559" t="s">
        <v>559</v>
      </c>
      <c r="S12" s="451"/>
      <c r="V12" s="451"/>
    </row>
    <row r="13" spans="1:22" ht="15.75" thickBot="1">
      <c r="A13" s="487"/>
      <c r="B13" s="565" t="s">
        <v>564</v>
      </c>
      <c r="C13" s="566" t="s">
        <v>564</v>
      </c>
      <c r="D13" s="566" t="s">
        <v>565</v>
      </c>
      <c r="F13" s="565" t="s">
        <v>1069</v>
      </c>
      <c r="G13" s="566" t="s">
        <v>564</v>
      </c>
      <c r="H13" s="566" t="s">
        <v>565</v>
      </c>
      <c r="J13" s="451"/>
      <c r="K13" s="451"/>
      <c r="L13" s="451"/>
      <c r="N13" s="555" t="s">
        <v>570</v>
      </c>
      <c r="O13" s="503" t="s">
        <v>570</v>
      </c>
      <c r="P13" s="556" t="s">
        <v>562</v>
      </c>
      <c r="S13" s="451"/>
      <c r="V13" s="451"/>
    </row>
    <row r="14" spans="1:22" ht="15.75" thickBot="1">
      <c r="A14" s="487"/>
      <c r="B14" s="565" t="s">
        <v>566</v>
      </c>
      <c r="C14" s="566" t="s">
        <v>566</v>
      </c>
      <c r="D14" s="566" t="s">
        <v>556</v>
      </c>
      <c r="F14" s="565" t="s">
        <v>1070</v>
      </c>
      <c r="G14" s="566" t="s">
        <v>566</v>
      </c>
      <c r="H14" s="566" t="s">
        <v>556</v>
      </c>
      <c r="J14" s="451"/>
      <c r="K14" s="451"/>
      <c r="L14" s="451"/>
      <c r="N14" s="555" t="s">
        <v>1096</v>
      </c>
      <c r="O14" s="503" t="s">
        <v>1097</v>
      </c>
      <c r="P14" s="556" t="s">
        <v>558</v>
      </c>
      <c r="S14" s="451"/>
      <c r="V14" s="451"/>
    </row>
    <row r="15" spans="1:22" ht="15.75" thickBot="1">
      <c r="A15" s="487"/>
      <c r="B15" s="565" t="s">
        <v>702</v>
      </c>
      <c r="C15" s="566" t="s">
        <v>702</v>
      </c>
      <c r="D15" s="566" t="s">
        <v>559</v>
      </c>
      <c r="F15" s="565" t="s">
        <v>1089</v>
      </c>
      <c r="G15" s="566" t="s">
        <v>702</v>
      </c>
      <c r="H15" s="566" t="s">
        <v>559</v>
      </c>
      <c r="J15" s="451"/>
      <c r="K15" s="451"/>
      <c r="L15" s="451"/>
      <c r="N15" s="557" t="s">
        <v>701</v>
      </c>
      <c r="O15" s="558" t="s">
        <v>701</v>
      </c>
      <c r="P15" s="558" t="s">
        <v>559</v>
      </c>
      <c r="S15" s="451"/>
      <c r="V15" s="451"/>
    </row>
    <row r="16" spans="1:22" ht="15.75" thickBot="1">
      <c r="A16" s="487"/>
      <c r="B16" s="565" t="s">
        <v>1121</v>
      </c>
      <c r="C16" s="566" t="s">
        <v>1124</v>
      </c>
      <c r="D16" s="566" t="s">
        <v>555</v>
      </c>
      <c r="E16" s="451"/>
      <c r="F16" s="565" t="s">
        <v>1127</v>
      </c>
      <c r="G16" s="566" t="s">
        <v>1124</v>
      </c>
      <c r="H16" s="566" t="s">
        <v>555</v>
      </c>
      <c r="I16" s="451"/>
      <c r="J16" s="451"/>
      <c r="K16" s="451"/>
      <c r="L16" s="451"/>
      <c r="N16" s="562" t="s">
        <v>1071</v>
      </c>
      <c r="O16" s="563" t="s">
        <v>567</v>
      </c>
      <c r="P16" s="564" t="s">
        <v>556</v>
      </c>
      <c r="S16" s="451"/>
      <c r="T16" s="451"/>
      <c r="U16" s="451"/>
      <c r="V16" s="451"/>
    </row>
    <row r="17" spans="2:16" s="451" customFormat="1" ht="15.75" thickBot="1">
      <c r="B17" s="565" t="s">
        <v>1122</v>
      </c>
      <c r="C17" s="566" t="s">
        <v>1125</v>
      </c>
      <c r="D17" s="566" t="s">
        <v>556</v>
      </c>
      <c r="F17" s="565" t="s">
        <v>1128</v>
      </c>
      <c r="G17" s="566" t="s">
        <v>1125</v>
      </c>
      <c r="H17" s="566" t="s">
        <v>556</v>
      </c>
      <c r="N17" s="562" t="s">
        <v>1072</v>
      </c>
      <c r="O17" s="563" t="s">
        <v>568</v>
      </c>
      <c r="P17" s="564" t="s">
        <v>557</v>
      </c>
    </row>
    <row r="18" spans="2:16" s="451" customFormat="1" ht="15.75" thickBot="1">
      <c r="B18" s="565" t="s">
        <v>1123</v>
      </c>
      <c r="C18" s="566" t="s">
        <v>1126</v>
      </c>
      <c r="D18" s="566" t="s">
        <v>557</v>
      </c>
      <c r="F18" s="565" t="s">
        <v>1129</v>
      </c>
      <c r="G18" s="566" t="s">
        <v>1126</v>
      </c>
      <c r="H18" s="566" t="s">
        <v>557</v>
      </c>
      <c r="N18" s="562" t="s">
        <v>1068</v>
      </c>
      <c r="O18" s="563" t="s">
        <v>698</v>
      </c>
      <c r="P18" s="564" t="s">
        <v>557</v>
      </c>
    </row>
    <row r="19" spans="2:16" s="451" customFormat="1" ht="15.75" thickBot="1">
      <c r="N19" s="555" t="s">
        <v>1088</v>
      </c>
      <c r="O19" s="503" t="s">
        <v>701</v>
      </c>
      <c r="P19" s="474" t="s">
        <v>559</v>
      </c>
    </row>
    <row r="20" spans="2:16" s="451" customFormat="1"/>
    <row r="21" spans="2:16" s="451" customFormat="1" ht="15.75" thickBot="1">
      <c r="B21" s="488" t="s">
        <v>1103</v>
      </c>
      <c r="E21" s="488" t="s">
        <v>1084</v>
      </c>
    </row>
    <row r="22" spans="2:16" s="451" customFormat="1">
      <c r="B22" s="451" t="s">
        <v>1112</v>
      </c>
      <c r="E22" s="504" t="s">
        <v>1110</v>
      </c>
      <c r="F22" s="505"/>
      <c r="G22" s="505"/>
      <c r="H22" s="505"/>
      <c r="I22" s="505"/>
      <c r="J22" s="505"/>
      <c r="K22" s="505"/>
      <c r="L22" s="506"/>
    </row>
    <row r="23" spans="2:16" s="451" customFormat="1">
      <c r="C23" s="451" t="s">
        <v>1111</v>
      </c>
      <c r="E23" s="507" t="s">
        <v>1082</v>
      </c>
      <c r="F23" s="508" t="s">
        <v>46</v>
      </c>
      <c r="G23" s="508" t="s">
        <v>1077</v>
      </c>
      <c r="H23" s="508" t="s">
        <v>1093</v>
      </c>
      <c r="I23" s="508"/>
      <c r="J23" s="508"/>
      <c r="K23" s="508"/>
      <c r="L23" s="509"/>
    </row>
    <row r="24" spans="2:16" s="451" customFormat="1">
      <c r="C24" s="451" t="s">
        <v>1133</v>
      </c>
      <c r="E24" s="507"/>
      <c r="F24" s="510" t="s">
        <v>1081</v>
      </c>
      <c r="G24" s="510" t="s">
        <v>564</v>
      </c>
      <c r="H24" s="511" t="s">
        <v>1095</v>
      </c>
      <c r="I24" s="511"/>
      <c r="J24" s="511"/>
      <c r="K24" s="511"/>
      <c r="L24" s="509"/>
    </row>
    <row r="25" spans="2:16" s="451" customFormat="1">
      <c r="C25" s="451" t="s">
        <v>1104</v>
      </c>
      <c r="E25" s="507"/>
      <c r="F25" s="510" t="s">
        <v>1052</v>
      </c>
      <c r="G25" s="510" t="s">
        <v>694</v>
      </c>
      <c r="H25" s="511" t="s">
        <v>1099</v>
      </c>
      <c r="I25" s="511"/>
      <c r="J25" s="511"/>
      <c r="K25" s="511"/>
      <c r="L25" s="509"/>
    </row>
    <row r="26" spans="2:16" s="451" customFormat="1">
      <c r="B26" s="488"/>
      <c r="C26" s="451" t="s">
        <v>1105</v>
      </c>
      <c r="E26" s="507"/>
      <c r="F26" s="510" t="s">
        <v>1053</v>
      </c>
      <c r="G26" s="510" t="s">
        <v>566</v>
      </c>
      <c r="H26" s="511" t="s">
        <v>1094</v>
      </c>
      <c r="I26" s="511"/>
      <c r="J26" s="511"/>
      <c r="K26" s="511"/>
      <c r="L26" s="509"/>
    </row>
    <row r="27" spans="2:16" s="451" customFormat="1">
      <c r="C27" s="451" t="s">
        <v>1132</v>
      </c>
      <c r="E27" s="512"/>
      <c r="F27" s="510"/>
      <c r="G27" s="510"/>
      <c r="H27" s="510"/>
      <c r="I27" s="510"/>
      <c r="J27" s="510"/>
      <c r="K27" s="510"/>
      <c r="L27" s="509"/>
    </row>
    <row r="28" spans="2:16" s="451" customFormat="1">
      <c r="E28" s="507" t="s">
        <v>1083</v>
      </c>
      <c r="F28" s="508" t="s">
        <v>46</v>
      </c>
      <c r="G28" s="508" t="s">
        <v>1077</v>
      </c>
      <c r="H28" s="508" t="s">
        <v>1090</v>
      </c>
      <c r="I28" s="508"/>
      <c r="J28" s="508"/>
      <c r="K28" s="508"/>
      <c r="L28" s="509"/>
    </row>
    <row r="29" spans="2:16" s="451" customFormat="1">
      <c r="E29" s="507"/>
      <c r="F29" s="510" t="s">
        <v>1081</v>
      </c>
      <c r="G29" s="510" t="s">
        <v>1069</v>
      </c>
      <c r="H29" s="511" t="s">
        <v>1091</v>
      </c>
      <c r="I29" s="511"/>
      <c r="J29" s="511"/>
      <c r="K29" s="511"/>
      <c r="L29" s="509"/>
      <c r="N29" s="488" t="s">
        <v>1055</v>
      </c>
    </row>
    <row r="30" spans="2:16" s="451" customFormat="1" ht="15.75" thickBot="1">
      <c r="E30" s="507"/>
      <c r="F30" s="510" t="s">
        <v>1052</v>
      </c>
      <c r="G30" s="510" t="s">
        <v>1064</v>
      </c>
      <c r="H30" s="511" t="s">
        <v>1098</v>
      </c>
      <c r="I30" s="511"/>
      <c r="J30" s="511"/>
      <c r="K30" s="511"/>
      <c r="L30" s="509"/>
      <c r="N30" s="488" t="s">
        <v>1044</v>
      </c>
      <c r="O30" s="488" t="s">
        <v>1045</v>
      </c>
      <c r="P30" s="488" t="s">
        <v>554</v>
      </c>
    </row>
    <row r="31" spans="2:16" s="451" customFormat="1" ht="15.75" thickBot="1">
      <c r="E31" s="507"/>
      <c r="F31" s="510" t="s">
        <v>1053</v>
      </c>
      <c r="G31" s="510" t="s">
        <v>1070</v>
      </c>
      <c r="H31" s="511" t="s">
        <v>1092</v>
      </c>
      <c r="I31" s="511"/>
      <c r="J31" s="511"/>
      <c r="K31" s="511"/>
      <c r="L31" s="509"/>
      <c r="N31" s="490" t="s">
        <v>1057</v>
      </c>
      <c r="O31" s="491" t="s">
        <v>1046</v>
      </c>
      <c r="P31" s="492" t="s">
        <v>1081</v>
      </c>
    </row>
    <row r="32" spans="2:16" s="451" customFormat="1" ht="15.75" thickBot="1">
      <c r="E32" s="507"/>
      <c r="F32" s="510"/>
      <c r="G32" s="510"/>
      <c r="H32" s="511"/>
      <c r="I32" s="508"/>
      <c r="J32" s="508"/>
      <c r="K32" s="508"/>
      <c r="L32" s="509"/>
      <c r="N32" s="490" t="s">
        <v>1057</v>
      </c>
      <c r="O32" s="491" t="s">
        <v>1049</v>
      </c>
      <c r="P32" s="492" t="s">
        <v>1052</v>
      </c>
    </row>
    <row r="33" spans="1:16" s="451" customFormat="1" ht="15.75" thickBot="1">
      <c r="E33" s="507" t="s">
        <v>1100</v>
      </c>
      <c r="F33" s="508" t="s">
        <v>46</v>
      </c>
      <c r="G33" s="508" t="s">
        <v>1077</v>
      </c>
      <c r="H33" s="561" t="s">
        <v>1101</v>
      </c>
      <c r="I33" s="511"/>
      <c r="J33" s="511"/>
      <c r="K33" s="511"/>
      <c r="L33" s="509"/>
      <c r="N33" s="490" t="s">
        <v>1057</v>
      </c>
      <c r="O33" s="491" t="s">
        <v>1047</v>
      </c>
      <c r="P33" s="492" t="s">
        <v>1052</v>
      </c>
    </row>
    <row r="34" spans="1:16" s="451" customFormat="1" ht="15.75" thickBot="1">
      <c r="E34" s="513"/>
      <c r="F34" s="560" t="s">
        <v>1053</v>
      </c>
      <c r="G34" s="560" t="s">
        <v>567</v>
      </c>
      <c r="H34" s="560" t="s">
        <v>1102</v>
      </c>
      <c r="I34" s="514"/>
      <c r="J34" s="514"/>
      <c r="K34" s="514"/>
      <c r="L34" s="515"/>
      <c r="N34" s="490" t="s">
        <v>1057</v>
      </c>
      <c r="O34" s="491" t="s">
        <v>1048</v>
      </c>
      <c r="P34" s="492" t="s">
        <v>1053</v>
      </c>
    </row>
    <row r="35" spans="1:16" s="451" customFormat="1" ht="15.75" thickBot="1">
      <c r="N35" s="573" t="s">
        <v>1106</v>
      </c>
      <c r="O35" s="574" t="s">
        <v>1046</v>
      </c>
      <c r="P35" s="575" t="s">
        <v>1053</v>
      </c>
    </row>
    <row r="36" spans="1:16" s="451" customFormat="1" ht="15.75" thickBot="1">
      <c r="E36" s="516" t="s">
        <v>1131</v>
      </c>
      <c r="F36" s="517"/>
      <c r="G36" s="517"/>
      <c r="H36" s="517"/>
      <c r="I36" s="517"/>
      <c r="J36" s="517"/>
      <c r="K36" s="517"/>
      <c r="L36" s="518"/>
      <c r="N36" s="573" t="s">
        <v>1106</v>
      </c>
      <c r="O36" s="574" t="s">
        <v>1049</v>
      </c>
      <c r="P36" s="575" t="s">
        <v>1054</v>
      </c>
    </row>
    <row r="37" spans="1:16" s="451" customFormat="1" ht="15.75" thickBot="1">
      <c r="E37" s="519" t="s">
        <v>1082</v>
      </c>
      <c r="F37" s="520" t="s">
        <v>46</v>
      </c>
      <c r="G37" s="520" t="s">
        <v>1077</v>
      </c>
      <c r="H37" s="520" t="s">
        <v>1093</v>
      </c>
      <c r="I37" s="520"/>
      <c r="J37" s="520"/>
      <c r="K37" s="520"/>
      <c r="L37" s="521"/>
      <c r="N37" s="573" t="s">
        <v>1106</v>
      </c>
      <c r="O37" s="574" t="s">
        <v>1047</v>
      </c>
      <c r="P37" s="575" t="s">
        <v>1053</v>
      </c>
    </row>
    <row r="38" spans="1:16" s="451" customFormat="1" ht="15.75" thickBot="1">
      <c r="E38" s="519"/>
      <c r="F38" s="522" t="s">
        <v>1052</v>
      </c>
      <c r="G38" s="522" t="s">
        <v>693</v>
      </c>
      <c r="H38" s="523" t="s">
        <v>1095</v>
      </c>
      <c r="I38" s="523"/>
      <c r="J38" s="523"/>
      <c r="K38" s="523"/>
      <c r="L38" s="521"/>
      <c r="N38" s="573" t="s">
        <v>1106</v>
      </c>
      <c r="O38" s="574" t="s">
        <v>1048</v>
      </c>
      <c r="P38" s="575" t="s">
        <v>1054</v>
      </c>
    </row>
    <row r="39" spans="1:16" s="451" customFormat="1" ht="15.75" thickBot="1">
      <c r="A39"/>
      <c r="E39" s="519"/>
      <c r="F39" s="522" t="s">
        <v>1053</v>
      </c>
      <c r="G39" s="522" t="s">
        <v>712</v>
      </c>
      <c r="H39" s="523" t="s">
        <v>1099</v>
      </c>
      <c r="I39" s="523"/>
      <c r="J39" s="523"/>
      <c r="K39" s="523"/>
      <c r="L39" s="521"/>
      <c r="N39" s="493" t="s">
        <v>1050</v>
      </c>
      <c r="O39" s="497" t="s">
        <v>1046</v>
      </c>
      <c r="P39" s="494" t="s">
        <v>1052</v>
      </c>
    </row>
    <row r="40" spans="1:16" s="451" customFormat="1" ht="15.75" thickBot="1">
      <c r="A40"/>
      <c r="E40" s="519"/>
      <c r="F40" s="522" t="s">
        <v>1054</v>
      </c>
      <c r="G40" s="522" t="s">
        <v>713</v>
      </c>
      <c r="H40" s="523" t="s">
        <v>1094</v>
      </c>
      <c r="I40" s="523"/>
      <c r="J40" s="523"/>
      <c r="K40" s="523"/>
      <c r="L40" s="521"/>
      <c r="N40" s="493" t="s">
        <v>1050</v>
      </c>
      <c r="O40" s="497" t="s">
        <v>1049</v>
      </c>
      <c r="P40" s="494" t="s">
        <v>1054</v>
      </c>
    </row>
    <row r="41" spans="1:16" s="451" customFormat="1" ht="15.75" thickBot="1">
      <c r="A41"/>
      <c r="E41" s="524"/>
      <c r="F41" s="522"/>
      <c r="G41" s="522"/>
      <c r="H41" s="522"/>
      <c r="I41" s="522"/>
      <c r="J41" s="522"/>
      <c r="K41" s="522"/>
      <c r="L41" s="521"/>
      <c r="N41" s="493" t="s">
        <v>1050</v>
      </c>
      <c r="O41" s="497" t="s">
        <v>1047</v>
      </c>
      <c r="P41" s="494" t="s">
        <v>1053</v>
      </c>
    </row>
    <row r="42" spans="1:16" s="451" customFormat="1" ht="15.75" thickBot="1">
      <c r="A42"/>
      <c r="E42" s="519" t="s">
        <v>1083</v>
      </c>
      <c r="F42" s="520" t="s">
        <v>46</v>
      </c>
      <c r="G42" s="520" t="s">
        <v>1077</v>
      </c>
      <c r="H42" s="520" t="s">
        <v>1090</v>
      </c>
      <c r="I42" s="520"/>
      <c r="J42" s="520"/>
      <c r="K42" s="520"/>
      <c r="L42" s="521"/>
      <c r="N42" s="493" t="s">
        <v>1050</v>
      </c>
      <c r="O42" s="497" t="s">
        <v>1048</v>
      </c>
      <c r="P42" s="494" t="s">
        <v>1078</v>
      </c>
    </row>
    <row r="43" spans="1:16" s="451" customFormat="1" ht="15.75" thickBot="1">
      <c r="A43"/>
      <c r="E43" s="519"/>
      <c r="F43" s="522" t="s">
        <v>1052</v>
      </c>
      <c r="G43" s="522" t="s">
        <v>1063</v>
      </c>
      <c r="H43" s="523" t="s">
        <v>1091</v>
      </c>
      <c r="I43" s="523"/>
      <c r="J43" s="523"/>
      <c r="K43" s="523"/>
      <c r="L43" s="521"/>
      <c r="N43" s="499" t="s">
        <v>1051</v>
      </c>
      <c r="O43" s="500" t="s">
        <v>1046</v>
      </c>
      <c r="P43" s="501" t="s">
        <v>1053</v>
      </c>
    </row>
    <row r="44" spans="1:16" s="451" customFormat="1" ht="15.75" thickBot="1">
      <c r="A44"/>
      <c r="E44" s="519"/>
      <c r="F44" s="522" t="s">
        <v>1053</v>
      </c>
      <c r="G44" s="522" t="s">
        <v>1074</v>
      </c>
      <c r="H44" s="523" t="s">
        <v>1098</v>
      </c>
      <c r="I44" s="523"/>
      <c r="J44" s="523"/>
      <c r="K44" s="523"/>
      <c r="L44" s="521"/>
      <c r="N44" s="499" t="s">
        <v>1051</v>
      </c>
      <c r="O44" s="500" t="s">
        <v>1049</v>
      </c>
      <c r="P44" s="501" t="s">
        <v>1078</v>
      </c>
    </row>
    <row r="45" spans="1:16" s="451" customFormat="1" ht="15.75" thickBot="1">
      <c r="A45"/>
      <c r="E45" s="519"/>
      <c r="F45" s="522" t="s">
        <v>1054</v>
      </c>
      <c r="G45" s="522" t="s">
        <v>1075</v>
      </c>
      <c r="H45" s="523" t="s">
        <v>1092</v>
      </c>
      <c r="I45" s="523"/>
      <c r="J45" s="523"/>
      <c r="K45" s="523"/>
      <c r="L45" s="521"/>
      <c r="N45" s="499" t="s">
        <v>1051</v>
      </c>
      <c r="O45" s="500" t="s">
        <v>1047</v>
      </c>
      <c r="P45" s="501" t="s">
        <v>1054</v>
      </c>
    </row>
    <row r="46" spans="1:16" s="451" customFormat="1" ht="15.75" thickBot="1">
      <c r="A46"/>
      <c r="E46" s="519"/>
      <c r="F46" s="522"/>
      <c r="G46" s="522"/>
      <c r="H46" s="523"/>
      <c r="I46" s="523"/>
      <c r="J46" s="523"/>
      <c r="K46" s="523"/>
      <c r="L46" s="521"/>
      <c r="N46" s="499" t="s">
        <v>1051</v>
      </c>
      <c r="O46" s="500" t="s">
        <v>1048</v>
      </c>
      <c r="P46" s="501" t="s">
        <v>1087</v>
      </c>
    </row>
    <row r="47" spans="1:16" s="451" customFormat="1">
      <c r="A47"/>
      <c r="B47" s="488"/>
      <c r="C47" s="488"/>
      <c r="E47" s="519" t="s">
        <v>1100</v>
      </c>
      <c r="F47" s="520" t="s">
        <v>46</v>
      </c>
      <c r="G47" s="520" t="s">
        <v>1077</v>
      </c>
      <c r="H47" s="567" t="s">
        <v>1101</v>
      </c>
      <c r="I47" s="523"/>
      <c r="J47" s="523"/>
      <c r="K47" s="523"/>
      <c r="L47" s="521"/>
    </row>
    <row r="48" spans="1:16" s="451" customFormat="1" ht="15.75" thickBot="1">
      <c r="A48"/>
      <c r="D48" s="489"/>
      <c r="E48" s="525"/>
      <c r="F48" s="526" t="s">
        <v>1053</v>
      </c>
      <c r="G48" s="526" t="s">
        <v>695</v>
      </c>
      <c r="H48" s="527" t="s">
        <v>1102</v>
      </c>
      <c r="I48" s="527"/>
      <c r="J48" s="527"/>
      <c r="K48" s="527"/>
      <c r="L48" s="528"/>
      <c r="N48" s="488" t="s">
        <v>1056</v>
      </c>
    </row>
    <row r="49" spans="1:15" s="451" customFormat="1" ht="15.75" thickBot="1">
      <c r="A49"/>
      <c r="D49" s="489"/>
      <c r="N49" s="488" t="s">
        <v>1044</v>
      </c>
      <c r="O49" s="488" t="s">
        <v>554</v>
      </c>
    </row>
    <row r="50" spans="1:15" s="451" customFormat="1" ht="15.75" thickBot="1">
      <c r="A50"/>
      <c r="D50" s="489"/>
      <c r="E50" s="529" t="s">
        <v>1085</v>
      </c>
      <c r="F50" s="530"/>
      <c r="G50" s="530"/>
      <c r="H50" s="530"/>
      <c r="I50" s="530"/>
      <c r="J50" s="530"/>
      <c r="K50" s="530"/>
      <c r="L50" s="531"/>
      <c r="N50" s="490" t="s">
        <v>1057</v>
      </c>
      <c r="O50" s="492" t="s">
        <v>1052</v>
      </c>
    </row>
    <row r="51" spans="1:15" s="451" customFormat="1" ht="15.75" thickBot="1">
      <c r="A51"/>
      <c r="B51" s="488"/>
      <c r="C51" s="488"/>
      <c r="E51" s="532" t="s">
        <v>1082</v>
      </c>
      <c r="F51" s="533" t="s">
        <v>46</v>
      </c>
      <c r="G51" s="533" t="s">
        <v>1077</v>
      </c>
      <c r="H51" s="533" t="s">
        <v>1093</v>
      </c>
      <c r="I51" s="533"/>
      <c r="J51" s="533"/>
      <c r="K51" s="533"/>
      <c r="L51" s="534"/>
      <c r="N51" s="493" t="s">
        <v>1050</v>
      </c>
      <c r="O51" s="494" t="s">
        <v>1053</v>
      </c>
    </row>
    <row r="52" spans="1:15" s="451" customFormat="1">
      <c r="A52"/>
      <c r="D52" s="489"/>
      <c r="E52" s="532"/>
      <c r="F52" s="535" t="s">
        <v>1053</v>
      </c>
      <c r="G52" s="535" t="s">
        <v>696</v>
      </c>
      <c r="H52" s="536" t="s">
        <v>1095</v>
      </c>
      <c r="I52" s="536"/>
      <c r="J52" s="536"/>
      <c r="K52" s="536"/>
      <c r="L52" s="534"/>
      <c r="N52" s="495" t="s">
        <v>1051</v>
      </c>
      <c r="O52" s="496" t="s">
        <v>1054</v>
      </c>
    </row>
    <row r="53" spans="1:15" s="451" customFormat="1">
      <c r="A53"/>
      <c r="D53" s="489"/>
      <c r="E53" s="532"/>
      <c r="F53" s="535" t="s">
        <v>1078</v>
      </c>
      <c r="G53" s="535" t="s">
        <v>700</v>
      </c>
      <c r="H53" s="536" t="s">
        <v>1099</v>
      </c>
      <c r="I53" s="536"/>
      <c r="J53" s="536"/>
      <c r="K53" s="536"/>
      <c r="L53" s="534"/>
    </row>
    <row r="54" spans="1:15" s="451" customFormat="1" ht="15.75" thickBot="1">
      <c r="A54"/>
      <c r="D54" s="489"/>
      <c r="E54" s="532"/>
      <c r="F54" s="535" t="s">
        <v>1087</v>
      </c>
      <c r="G54" s="535" t="s">
        <v>702</v>
      </c>
      <c r="H54" s="536" t="s">
        <v>1094</v>
      </c>
      <c r="I54" s="536"/>
      <c r="J54" s="536"/>
      <c r="K54" s="536"/>
      <c r="L54" s="534"/>
      <c r="N54" s="488" t="s">
        <v>1058</v>
      </c>
    </row>
    <row r="55" spans="1:15" s="451" customFormat="1" ht="15.75" thickBot="1">
      <c r="A55"/>
      <c r="E55" s="537"/>
      <c r="F55" s="535"/>
      <c r="G55" s="535"/>
      <c r="H55" s="536"/>
      <c r="I55" s="536"/>
      <c r="J55" s="536"/>
      <c r="K55" s="536"/>
      <c r="L55" s="534"/>
      <c r="N55" s="498" t="s">
        <v>1059</v>
      </c>
    </row>
    <row r="56" spans="1:15" s="451" customFormat="1" ht="15.75" thickBot="1">
      <c r="A56"/>
      <c r="E56" s="532" t="s">
        <v>1083</v>
      </c>
      <c r="F56" s="533" t="s">
        <v>46</v>
      </c>
      <c r="G56" s="533" t="s">
        <v>1077</v>
      </c>
      <c r="H56" s="533" t="s">
        <v>1090</v>
      </c>
      <c r="I56" s="533"/>
      <c r="J56" s="533"/>
      <c r="K56" s="533"/>
      <c r="L56" s="534"/>
      <c r="N56" s="498" t="s">
        <v>1060</v>
      </c>
    </row>
    <row r="57" spans="1:15" s="451" customFormat="1" ht="15.75" thickBot="1">
      <c r="A57"/>
      <c r="E57" s="532"/>
      <c r="F57" s="535" t="s">
        <v>1053</v>
      </c>
      <c r="G57" s="535" t="s">
        <v>1066</v>
      </c>
      <c r="H57" s="536" t="s">
        <v>1091</v>
      </c>
      <c r="I57" s="536"/>
      <c r="J57" s="536"/>
      <c r="K57" s="536"/>
      <c r="L57" s="534"/>
      <c r="N57" s="498" t="s">
        <v>1042</v>
      </c>
    </row>
    <row r="58" spans="1:15" s="451" customFormat="1" ht="15.75" thickBot="1">
      <c r="A58"/>
      <c r="E58" s="532"/>
      <c r="F58" s="535" t="s">
        <v>1078</v>
      </c>
      <c r="G58" s="535" t="s">
        <v>1080</v>
      </c>
      <c r="H58" s="536" t="s">
        <v>1098</v>
      </c>
      <c r="I58" s="536"/>
      <c r="J58" s="536"/>
      <c r="K58" s="536"/>
      <c r="L58" s="534"/>
      <c r="N58" s="498" t="s">
        <v>1043</v>
      </c>
    </row>
    <row r="59" spans="1:15" s="451" customFormat="1">
      <c r="A59"/>
      <c r="E59" s="532"/>
      <c r="F59" s="535" t="s">
        <v>1087</v>
      </c>
      <c r="G59" s="535" t="s">
        <v>1089</v>
      </c>
      <c r="H59" s="536" t="s">
        <v>1092</v>
      </c>
      <c r="I59" s="536"/>
      <c r="J59" s="536"/>
      <c r="K59" s="536"/>
      <c r="L59" s="534"/>
      <c r="N59" s="588" t="s">
        <v>1120</v>
      </c>
    </row>
    <row r="60" spans="1:15">
      <c r="B60" s="451"/>
      <c r="C60" s="451"/>
      <c r="D60" s="451"/>
      <c r="E60" s="532"/>
      <c r="F60" s="535"/>
      <c r="G60" s="535"/>
      <c r="H60" s="536"/>
      <c r="I60" s="536"/>
      <c r="J60" s="536"/>
      <c r="K60" s="536"/>
      <c r="L60" s="534"/>
    </row>
    <row r="61" spans="1:15">
      <c r="B61" s="451"/>
      <c r="C61" s="451"/>
      <c r="D61" s="451"/>
      <c r="E61" s="532" t="s">
        <v>1100</v>
      </c>
      <c r="F61" s="533" t="s">
        <v>46</v>
      </c>
      <c r="G61" s="533" t="s">
        <v>1077</v>
      </c>
      <c r="H61" s="568" t="s">
        <v>1101</v>
      </c>
      <c r="I61" s="536"/>
      <c r="J61" s="536"/>
      <c r="K61" s="536"/>
      <c r="L61" s="534"/>
    </row>
    <row r="62" spans="1:15" ht="15.75" thickBot="1">
      <c r="B62" s="451"/>
      <c r="C62" s="451"/>
      <c r="D62" s="451"/>
      <c r="E62" s="538"/>
      <c r="F62" s="539" t="s">
        <v>1054</v>
      </c>
      <c r="G62" s="539" t="s">
        <v>568</v>
      </c>
      <c r="H62" s="540" t="s">
        <v>1102</v>
      </c>
      <c r="I62" s="540"/>
      <c r="J62" s="540"/>
      <c r="K62" s="540"/>
      <c r="L62" s="541"/>
    </row>
    <row r="63" spans="1:15" ht="15.75" thickBot="1"/>
    <row r="64" spans="1:15">
      <c r="E64" s="542" t="s">
        <v>1086</v>
      </c>
      <c r="F64" s="543"/>
      <c r="G64" s="543"/>
      <c r="H64" s="543"/>
      <c r="I64" s="543"/>
      <c r="J64" s="543"/>
      <c r="K64" s="543"/>
      <c r="L64" s="544"/>
    </row>
    <row r="65" spans="5:12">
      <c r="E65" s="545" t="s">
        <v>1082</v>
      </c>
      <c r="F65" s="546" t="s">
        <v>46</v>
      </c>
      <c r="G65" s="546" t="s">
        <v>1077</v>
      </c>
      <c r="H65" s="546" t="s">
        <v>1093</v>
      </c>
      <c r="I65" s="546"/>
      <c r="J65" s="546"/>
      <c r="K65" s="546"/>
      <c r="L65" s="547"/>
    </row>
    <row r="66" spans="5:12">
      <c r="E66" s="545"/>
      <c r="F66" s="548" t="s">
        <v>1052</v>
      </c>
      <c r="G66" s="548" t="s">
        <v>711</v>
      </c>
      <c r="H66" s="549" t="s">
        <v>1095</v>
      </c>
      <c r="I66" s="549"/>
      <c r="J66" s="549"/>
      <c r="K66" s="549"/>
      <c r="L66" s="547"/>
    </row>
    <row r="67" spans="5:12">
      <c r="E67" s="545"/>
      <c r="F67" s="548" t="s">
        <v>1054</v>
      </c>
      <c r="G67" s="548" t="s">
        <v>697</v>
      </c>
      <c r="H67" s="549" t="s">
        <v>1099</v>
      </c>
      <c r="I67" s="549"/>
      <c r="J67" s="549"/>
      <c r="K67" s="549"/>
      <c r="L67" s="547"/>
    </row>
    <row r="68" spans="5:12">
      <c r="E68" s="545"/>
      <c r="F68" s="548" t="s">
        <v>1078</v>
      </c>
      <c r="G68" s="548" t="s">
        <v>699</v>
      </c>
      <c r="H68" s="549" t="s">
        <v>1094</v>
      </c>
      <c r="I68" s="549"/>
      <c r="J68" s="549"/>
      <c r="K68" s="549"/>
      <c r="L68" s="547"/>
    </row>
    <row r="69" spans="5:12">
      <c r="E69" s="550"/>
      <c r="F69" s="548"/>
      <c r="G69" s="548"/>
      <c r="H69" s="548"/>
      <c r="I69" s="548"/>
      <c r="J69" s="548"/>
      <c r="K69" s="548"/>
      <c r="L69" s="547"/>
    </row>
    <row r="70" spans="5:12">
      <c r="E70" s="545" t="s">
        <v>1083</v>
      </c>
      <c r="F70" s="546" t="s">
        <v>46</v>
      </c>
      <c r="G70" s="546" t="s">
        <v>1077</v>
      </c>
      <c r="H70" s="546" t="s">
        <v>1090</v>
      </c>
      <c r="I70" s="546"/>
      <c r="J70" s="546"/>
      <c r="K70" s="546"/>
      <c r="L70" s="547"/>
    </row>
    <row r="71" spans="5:12">
      <c r="E71" s="545"/>
      <c r="F71" s="548" t="s">
        <v>1052</v>
      </c>
      <c r="G71" s="548" t="s">
        <v>1073</v>
      </c>
      <c r="H71" s="549" t="s">
        <v>1091</v>
      </c>
      <c r="I71" s="549"/>
      <c r="J71" s="549"/>
      <c r="K71" s="549"/>
      <c r="L71" s="547"/>
    </row>
    <row r="72" spans="5:12">
      <c r="E72" s="545"/>
      <c r="F72" s="548" t="s">
        <v>1054</v>
      </c>
      <c r="G72" s="548" t="s">
        <v>1067</v>
      </c>
      <c r="H72" s="549" t="s">
        <v>1098</v>
      </c>
      <c r="I72" s="549"/>
      <c r="J72" s="549"/>
      <c r="K72" s="549"/>
      <c r="L72" s="547"/>
    </row>
    <row r="73" spans="5:12">
      <c r="E73" s="545"/>
      <c r="F73" s="548" t="s">
        <v>1078</v>
      </c>
      <c r="G73" s="548" t="s">
        <v>1079</v>
      </c>
      <c r="H73" s="549" t="s">
        <v>1092</v>
      </c>
      <c r="I73" s="549"/>
      <c r="J73" s="549"/>
      <c r="K73" s="549"/>
      <c r="L73" s="547"/>
    </row>
    <row r="74" spans="5:12">
      <c r="E74" s="545"/>
      <c r="F74" s="548"/>
      <c r="G74" s="548"/>
      <c r="H74" s="549"/>
      <c r="I74" s="549"/>
      <c r="J74" s="549"/>
      <c r="K74" s="549"/>
      <c r="L74" s="547"/>
    </row>
    <row r="75" spans="5:12">
      <c r="E75" s="545" t="s">
        <v>1100</v>
      </c>
      <c r="F75" s="546" t="s">
        <v>46</v>
      </c>
      <c r="G75" s="546" t="s">
        <v>1077</v>
      </c>
      <c r="H75" s="569" t="s">
        <v>1101</v>
      </c>
      <c r="I75" s="549"/>
      <c r="J75" s="549"/>
      <c r="K75" s="549"/>
      <c r="L75" s="547"/>
    </row>
    <row r="76" spans="5:12" ht="15.75" thickBot="1">
      <c r="E76" s="551"/>
      <c r="F76" s="552" t="s">
        <v>1054</v>
      </c>
      <c r="G76" s="552" t="s">
        <v>698</v>
      </c>
      <c r="H76" s="553" t="s">
        <v>1102</v>
      </c>
      <c r="I76" s="553"/>
      <c r="J76" s="553"/>
      <c r="K76" s="553"/>
      <c r="L76" s="554"/>
    </row>
    <row r="77" spans="5:12" ht="15.75" thickBot="1"/>
    <row r="78" spans="5:12">
      <c r="E78" s="589" t="s">
        <v>1130</v>
      </c>
      <c r="F78" s="590"/>
      <c r="G78" s="590"/>
      <c r="H78" s="590"/>
      <c r="I78" s="590"/>
      <c r="J78" s="590"/>
      <c r="K78" s="590"/>
      <c r="L78" s="591"/>
    </row>
    <row r="79" spans="5:12">
      <c r="E79" s="592" t="s">
        <v>1082</v>
      </c>
      <c r="F79" s="593" t="s">
        <v>46</v>
      </c>
      <c r="G79" s="593" t="s">
        <v>1077</v>
      </c>
      <c r="H79" s="593" t="s">
        <v>1093</v>
      </c>
      <c r="I79" s="593"/>
      <c r="J79" s="593"/>
      <c r="K79" s="593"/>
      <c r="L79" s="594"/>
    </row>
    <row r="80" spans="5:12">
      <c r="E80" s="592"/>
      <c r="F80" s="595" t="s">
        <v>1052</v>
      </c>
      <c r="G80" s="595" t="s">
        <v>1121</v>
      </c>
      <c r="H80" s="596" t="s">
        <v>1095</v>
      </c>
      <c r="I80" s="596"/>
      <c r="J80" s="596"/>
      <c r="K80" s="596"/>
      <c r="L80" s="594"/>
    </row>
    <row r="81" spans="5:12">
      <c r="E81" s="592"/>
      <c r="F81" s="595" t="s">
        <v>1053</v>
      </c>
      <c r="G81" s="595" t="s">
        <v>1122</v>
      </c>
      <c r="H81" s="596" t="s">
        <v>1099</v>
      </c>
      <c r="I81" s="596"/>
      <c r="J81" s="596"/>
      <c r="K81" s="596"/>
      <c r="L81" s="594"/>
    </row>
    <row r="82" spans="5:12">
      <c r="E82" s="592"/>
      <c r="F82" s="595" t="s">
        <v>1054</v>
      </c>
      <c r="G82" s="595" t="s">
        <v>1123</v>
      </c>
      <c r="H82" s="596" t="s">
        <v>1094</v>
      </c>
      <c r="I82" s="596"/>
      <c r="J82" s="596"/>
      <c r="K82" s="596"/>
      <c r="L82" s="594"/>
    </row>
    <row r="83" spans="5:12">
      <c r="E83" s="597"/>
      <c r="F83" s="595"/>
      <c r="G83" s="595"/>
      <c r="H83" s="595"/>
      <c r="I83" s="595"/>
      <c r="J83" s="595"/>
      <c r="K83" s="595"/>
      <c r="L83" s="594"/>
    </row>
    <row r="84" spans="5:12">
      <c r="E84" s="592" t="s">
        <v>1083</v>
      </c>
      <c r="F84" s="593" t="s">
        <v>46</v>
      </c>
      <c r="G84" s="593" t="s">
        <v>1077</v>
      </c>
      <c r="H84" s="593" t="s">
        <v>1090</v>
      </c>
      <c r="I84" s="593"/>
      <c r="J84" s="593"/>
      <c r="K84" s="593"/>
      <c r="L84" s="594"/>
    </row>
    <row r="85" spans="5:12">
      <c r="E85" s="592"/>
      <c r="F85" s="595" t="s">
        <v>1052</v>
      </c>
      <c r="G85" s="595" t="s">
        <v>1127</v>
      </c>
      <c r="H85" s="596" t="s">
        <v>1091</v>
      </c>
      <c r="I85" s="596"/>
      <c r="J85" s="596"/>
      <c r="K85" s="596"/>
      <c r="L85" s="594"/>
    </row>
    <row r="86" spans="5:12">
      <c r="E86" s="592"/>
      <c r="F86" s="595" t="s">
        <v>1053</v>
      </c>
      <c r="G86" s="595" t="s">
        <v>1065</v>
      </c>
      <c r="H86" s="596" t="s">
        <v>1098</v>
      </c>
      <c r="I86" s="596"/>
      <c r="J86" s="596"/>
      <c r="K86" s="596"/>
      <c r="L86" s="594"/>
    </row>
    <row r="87" spans="5:12">
      <c r="E87" s="592"/>
      <c r="F87" s="595" t="s">
        <v>1054</v>
      </c>
      <c r="G87" s="595" t="s">
        <v>1129</v>
      </c>
      <c r="H87" s="596" t="s">
        <v>1092</v>
      </c>
      <c r="I87" s="596"/>
      <c r="J87" s="596"/>
      <c r="K87" s="596"/>
      <c r="L87" s="594"/>
    </row>
    <row r="88" spans="5:12">
      <c r="E88" s="592"/>
      <c r="F88" s="595"/>
      <c r="G88" s="595"/>
      <c r="H88" s="596"/>
      <c r="I88" s="596"/>
      <c r="J88" s="596"/>
      <c r="K88" s="596"/>
      <c r="L88" s="594"/>
    </row>
    <row r="89" spans="5:12">
      <c r="E89" s="592" t="s">
        <v>1100</v>
      </c>
      <c r="F89" s="593" t="s">
        <v>46</v>
      </c>
      <c r="G89" s="593" t="s">
        <v>1077</v>
      </c>
      <c r="H89" s="598" t="s">
        <v>1101</v>
      </c>
      <c r="I89" s="596"/>
      <c r="J89" s="596"/>
      <c r="K89" s="596"/>
      <c r="L89" s="594"/>
    </row>
    <row r="90" spans="5:12" ht="15.75" thickBot="1">
      <c r="E90" s="599"/>
      <c r="F90" s="600" t="s">
        <v>1053</v>
      </c>
      <c r="G90" s="600" t="s">
        <v>1128</v>
      </c>
      <c r="H90" s="601" t="s">
        <v>1102</v>
      </c>
      <c r="I90" s="601"/>
      <c r="J90" s="601"/>
      <c r="K90" s="601"/>
      <c r="L90" s="602"/>
    </row>
    <row r="91" spans="5:12">
      <c r="H91" s="451"/>
    </row>
    <row r="92" spans="5:12">
      <c r="H92" s="451"/>
    </row>
    <row r="93" spans="5:12">
      <c r="H93" s="451"/>
    </row>
    <row r="94" spans="5:12">
      <c r="H94" s="451"/>
    </row>
    <row r="95" spans="5:12">
      <c r="H95" s="451"/>
    </row>
    <row r="96" spans="5:12">
      <c r="H96" s="451"/>
    </row>
    <row r="97" spans="2:8">
      <c r="B97" s="451"/>
      <c r="C97" s="451"/>
      <c r="D97" s="451"/>
      <c r="E97" s="451"/>
      <c r="F97" s="451"/>
      <c r="G97" s="451"/>
      <c r="H97" s="451"/>
    </row>
  </sheetData>
  <conditionalFormatting sqref="B22 C31:C38 C24:C27">
    <cfRule type="expression" dxfId="2" priority="7">
      <formula>B22="COULD"</formula>
    </cfRule>
    <cfRule type="expression" dxfId="1" priority="8">
      <formula>B22="NO"</formula>
    </cfRule>
    <cfRule type="expression" dxfId="0" priority="9">
      <formula>B22="YES"</formula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rgb="FF7030A0"/>
  </sheetPr>
  <dimension ref="A1:O77"/>
  <sheetViews>
    <sheetView topLeftCell="A16" zoomScaleNormal="100" workbookViewId="0">
      <selection activeCell="K32" sqref="K32"/>
    </sheetView>
  </sheetViews>
  <sheetFormatPr defaultRowHeight="15"/>
  <cols>
    <col min="1" max="1" width="12.42578125" customWidth="1"/>
    <col min="2" max="2" width="15.7109375" customWidth="1"/>
    <col min="3" max="3" width="24.140625" customWidth="1"/>
    <col min="4" max="4" width="25.140625" customWidth="1"/>
    <col min="5" max="5" width="12.42578125" customWidth="1"/>
    <col min="6" max="6" width="21.140625" customWidth="1"/>
    <col min="7" max="7" width="25.5703125" customWidth="1"/>
    <col min="8" max="8" width="18.28515625" customWidth="1"/>
    <col min="9" max="10" width="10.7109375" customWidth="1"/>
    <col min="11" max="11" width="21.85546875" customWidth="1"/>
    <col min="12" max="12" width="18.140625" customWidth="1"/>
    <col min="13" max="13" width="23.28515625" customWidth="1"/>
    <col min="14" max="14" width="12" customWidth="1"/>
  </cols>
  <sheetData>
    <row r="1" spans="2:15" s="451" customFormat="1" ht="15.75" thickBot="1">
      <c r="B1" s="488" t="s">
        <v>1145</v>
      </c>
      <c r="K1" s="488" t="s">
        <v>1137</v>
      </c>
    </row>
    <row r="2" spans="2:15" s="451" customFormat="1" ht="15.75" thickBot="1">
      <c r="B2" s="504" t="s">
        <v>1110</v>
      </c>
      <c r="C2" s="505"/>
      <c r="D2" s="505"/>
      <c r="E2" s="505"/>
      <c r="F2" s="505"/>
      <c r="G2" s="505"/>
      <c r="H2" s="505"/>
      <c r="I2" s="506"/>
      <c r="K2" s="488" t="s">
        <v>1044</v>
      </c>
      <c r="L2" s="488" t="s">
        <v>1045</v>
      </c>
      <c r="M2" s="488" t="s">
        <v>1134</v>
      </c>
      <c r="N2" s="603" t="s">
        <v>1135</v>
      </c>
      <c r="O2" s="603" t="s">
        <v>1136</v>
      </c>
    </row>
    <row r="3" spans="2:15" s="451" customFormat="1" ht="15.75" thickBot="1">
      <c r="B3" s="507" t="s">
        <v>1082</v>
      </c>
      <c r="C3" s="508" t="s">
        <v>1146</v>
      </c>
      <c r="D3" s="508" t="s">
        <v>1077</v>
      </c>
      <c r="E3" s="508" t="s">
        <v>1093</v>
      </c>
      <c r="F3" s="508"/>
      <c r="G3" s="508"/>
      <c r="H3" s="508"/>
      <c r="I3" s="509"/>
      <c r="K3" s="490" t="s">
        <v>1057</v>
      </c>
      <c r="L3" s="491" t="s">
        <v>1046</v>
      </c>
      <c r="M3" s="492">
        <v>100</v>
      </c>
      <c r="N3" s="492">
        <v>50</v>
      </c>
      <c r="O3" s="492" t="str">
        <f>CONCATENATE(100 - ROUND(((Table1415[[#This Row],[DSC PRICE]]/Table1415[[#This Row],[NORMAL PRICE]])*100),0),"%")</f>
        <v>50%</v>
      </c>
    </row>
    <row r="4" spans="2:15" s="451" customFormat="1" ht="15.75" thickBot="1">
      <c r="B4" s="507"/>
      <c r="C4" s="604">
        <f>N3</f>
        <v>50</v>
      </c>
      <c r="D4" s="510" t="s">
        <v>1138</v>
      </c>
      <c r="E4" s="511" t="s">
        <v>1095</v>
      </c>
      <c r="F4" s="511"/>
      <c r="G4" s="511"/>
      <c r="H4" s="511"/>
      <c r="I4" s="509"/>
      <c r="K4" s="490" t="s">
        <v>1057</v>
      </c>
      <c r="L4" s="491" t="s">
        <v>1049</v>
      </c>
      <c r="M4" s="492">
        <v>100</v>
      </c>
      <c r="N4" s="492">
        <v>50</v>
      </c>
      <c r="O4" s="492" t="str">
        <f>CONCATENATE(100 - ROUND(((Table1415[[#This Row],[DSC PRICE]]/Table1415[[#This Row],[NORMAL PRICE]])*100),0),"%")</f>
        <v>50%</v>
      </c>
    </row>
    <row r="5" spans="2:15" s="451" customFormat="1" ht="15.75" thickBot="1">
      <c r="B5" s="507"/>
      <c r="C5" s="604">
        <f>N11</f>
        <v>70</v>
      </c>
      <c r="D5" s="510" t="s">
        <v>1139</v>
      </c>
      <c r="E5" s="511" t="s">
        <v>1099</v>
      </c>
      <c r="F5" s="511"/>
      <c r="G5" s="511"/>
      <c r="H5" s="511"/>
      <c r="I5" s="509"/>
      <c r="K5" s="490" t="s">
        <v>1057</v>
      </c>
      <c r="L5" s="491" t="s">
        <v>1047</v>
      </c>
      <c r="M5" s="492">
        <v>250</v>
      </c>
      <c r="N5" s="492">
        <v>125</v>
      </c>
      <c r="O5" s="492" t="str">
        <f>CONCATENATE(100 - ROUND(((Table1415[[#This Row],[DSC PRICE]]/Table1415[[#This Row],[NORMAL PRICE]])*100),0),"%")</f>
        <v>50%</v>
      </c>
    </row>
    <row r="6" spans="2:15" s="451" customFormat="1" ht="15.75" thickBot="1">
      <c r="B6" s="507"/>
      <c r="C6" s="604">
        <f>N15</f>
        <v>80</v>
      </c>
      <c r="D6" s="510" t="s">
        <v>1140</v>
      </c>
      <c r="E6" s="511" t="s">
        <v>1094</v>
      </c>
      <c r="F6" s="511"/>
      <c r="G6" s="511"/>
      <c r="H6" s="511"/>
      <c r="I6" s="509"/>
      <c r="K6" s="490" t="s">
        <v>1057</v>
      </c>
      <c r="L6" s="491" t="s">
        <v>1048</v>
      </c>
      <c r="M6" s="492">
        <v>550</v>
      </c>
      <c r="N6" s="492">
        <v>275</v>
      </c>
      <c r="O6" s="492" t="str">
        <f>CONCATENATE(100 - ROUND(((Table1415[[#This Row],[DSC PRICE]]/Table1415[[#This Row],[NORMAL PRICE]])*100),0),"%")</f>
        <v>50%</v>
      </c>
    </row>
    <row r="7" spans="2:15" s="451" customFormat="1" ht="15.75" thickBot="1">
      <c r="B7" s="512"/>
      <c r="C7" s="510"/>
      <c r="D7" s="510"/>
      <c r="E7" s="510"/>
      <c r="F7" s="510"/>
      <c r="G7" s="510"/>
      <c r="H7" s="510"/>
      <c r="I7" s="509"/>
      <c r="K7" s="573" t="s">
        <v>1106</v>
      </c>
      <c r="L7" s="574" t="s">
        <v>1046</v>
      </c>
      <c r="M7" s="575">
        <v>100</v>
      </c>
      <c r="N7" s="575">
        <v>50</v>
      </c>
      <c r="O7" s="575" t="str">
        <f>CONCATENATE(100 - ROUND(((Table1415[[#This Row],[DSC PRICE]]/Table1415[[#This Row],[NORMAL PRICE]])*100),0),"%")</f>
        <v>50%</v>
      </c>
    </row>
    <row r="8" spans="2:15" s="451" customFormat="1" ht="15.75" thickBot="1">
      <c r="B8" s="507" t="s">
        <v>1083</v>
      </c>
      <c r="C8" s="508" t="s">
        <v>1146</v>
      </c>
      <c r="D8" s="508" t="s">
        <v>1077</v>
      </c>
      <c r="E8" s="508" t="s">
        <v>1090</v>
      </c>
      <c r="F8" s="508"/>
      <c r="G8" s="508"/>
      <c r="H8" s="508"/>
      <c r="I8" s="509"/>
      <c r="K8" s="573" t="s">
        <v>1106</v>
      </c>
      <c r="L8" s="574" t="s">
        <v>1049</v>
      </c>
      <c r="M8" s="575">
        <v>100</v>
      </c>
      <c r="N8" s="575">
        <v>50</v>
      </c>
      <c r="O8" s="575" t="str">
        <f>CONCATENATE(100 - ROUND(((Table1415[[#This Row],[DSC PRICE]]/Table1415[[#This Row],[NORMAL PRICE]])*100),0),"%")</f>
        <v>50%</v>
      </c>
    </row>
    <row r="9" spans="2:15" s="451" customFormat="1" ht="15.75" thickBot="1">
      <c r="B9" s="507"/>
      <c r="C9" s="604">
        <f>N3</f>
        <v>50</v>
      </c>
      <c r="D9" s="510" t="s">
        <v>1141</v>
      </c>
      <c r="E9" s="511" t="s">
        <v>1091</v>
      </c>
      <c r="F9" s="511"/>
      <c r="G9" s="511"/>
      <c r="H9" s="511"/>
      <c r="I9" s="509"/>
      <c r="K9" s="573" t="s">
        <v>1106</v>
      </c>
      <c r="L9" s="574" t="s">
        <v>1047</v>
      </c>
      <c r="M9" s="575">
        <v>250</v>
      </c>
      <c r="N9" s="575">
        <v>125</v>
      </c>
      <c r="O9" s="575" t="str">
        <f>CONCATENATE(100 - ROUND(((Table1415[[#This Row],[DSC PRICE]]/Table1415[[#This Row],[NORMAL PRICE]])*100),0),"%")</f>
        <v>50%</v>
      </c>
    </row>
    <row r="10" spans="2:15" s="451" customFormat="1" ht="15.75" thickBot="1">
      <c r="B10" s="507"/>
      <c r="C10" s="604">
        <f>N11</f>
        <v>70</v>
      </c>
      <c r="D10" s="510" t="s">
        <v>1142</v>
      </c>
      <c r="E10" s="511" t="s">
        <v>1098</v>
      </c>
      <c r="F10" s="511"/>
      <c r="G10" s="511"/>
      <c r="H10" s="511"/>
      <c r="I10" s="509"/>
      <c r="K10" s="573" t="s">
        <v>1106</v>
      </c>
      <c r="L10" s="574" t="s">
        <v>1048</v>
      </c>
      <c r="M10" s="575">
        <v>550</v>
      </c>
      <c r="N10" s="575">
        <v>275</v>
      </c>
      <c r="O10" s="575" t="str">
        <f>CONCATENATE(100 - ROUND(((Table1415[[#This Row],[DSC PRICE]]/Table1415[[#This Row],[NORMAL PRICE]])*100),0),"%")</f>
        <v>50%</v>
      </c>
    </row>
    <row r="11" spans="2:15" s="451" customFormat="1" ht="15.75" thickBot="1">
      <c r="B11" s="507"/>
      <c r="C11" s="604">
        <f>N15</f>
        <v>80</v>
      </c>
      <c r="D11" s="510" t="s">
        <v>1143</v>
      </c>
      <c r="E11" s="511" t="s">
        <v>1092</v>
      </c>
      <c r="F11" s="511"/>
      <c r="G11" s="511"/>
      <c r="H11" s="511"/>
      <c r="I11" s="509"/>
      <c r="K11" s="493" t="s">
        <v>1050</v>
      </c>
      <c r="L11" s="497" t="s">
        <v>1046</v>
      </c>
      <c r="M11" s="494">
        <v>100</v>
      </c>
      <c r="N11" s="494">
        <v>70</v>
      </c>
      <c r="O11" s="494" t="str">
        <f>CONCATENATE(100 - ROUND(((Table1415[[#This Row],[DSC PRICE]]/Table1415[[#This Row],[NORMAL PRICE]])*100),0),"%")</f>
        <v>30%</v>
      </c>
    </row>
    <row r="12" spans="2:15" s="451" customFormat="1" ht="15.75" thickBot="1">
      <c r="B12" s="507"/>
      <c r="C12" s="510"/>
      <c r="D12" s="510"/>
      <c r="E12" s="511"/>
      <c r="F12" s="508"/>
      <c r="G12" s="508"/>
      <c r="H12" s="508"/>
      <c r="I12" s="509"/>
      <c r="K12" s="493" t="s">
        <v>1050</v>
      </c>
      <c r="L12" s="497" t="s">
        <v>1049</v>
      </c>
      <c r="M12" s="494">
        <v>100</v>
      </c>
      <c r="N12" s="494">
        <v>70</v>
      </c>
      <c r="O12" s="494" t="str">
        <f>CONCATENATE(100 - ROUND(((Table1415[[#This Row],[DSC PRICE]]/Table1415[[#This Row],[NORMAL PRICE]])*100),0),"%")</f>
        <v>30%</v>
      </c>
    </row>
    <row r="13" spans="2:15" s="451" customFormat="1" ht="15.75" thickBot="1">
      <c r="B13" s="507" t="s">
        <v>1100</v>
      </c>
      <c r="C13" s="508" t="s">
        <v>1146</v>
      </c>
      <c r="D13" s="508" t="s">
        <v>1077</v>
      </c>
      <c r="E13" s="561" t="s">
        <v>1101</v>
      </c>
      <c r="F13" s="511"/>
      <c r="G13" s="511"/>
      <c r="H13" s="511"/>
      <c r="I13" s="509"/>
      <c r="K13" s="493" t="s">
        <v>1050</v>
      </c>
      <c r="L13" s="497" t="s">
        <v>1047</v>
      </c>
      <c r="M13" s="494">
        <v>250</v>
      </c>
      <c r="N13" s="494">
        <v>175</v>
      </c>
      <c r="O13" s="494" t="str">
        <f>CONCATENATE(100 - ROUND(((Table1415[[#This Row],[DSC PRICE]]/Table1415[[#This Row],[NORMAL PRICE]])*100),0),"%")</f>
        <v>30%</v>
      </c>
    </row>
    <row r="14" spans="2:15" s="451" customFormat="1" ht="15.75" thickBot="1">
      <c r="B14" s="513"/>
      <c r="C14" s="605">
        <f>N7</f>
        <v>50</v>
      </c>
      <c r="D14" s="560" t="s">
        <v>1144</v>
      </c>
      <c r="E14" s="560" t="s">
        <v>1102</v>
      </c>
      <c r="F14" s="514"/>
      <c r="G14" s="514"/>
      <c r="H14" s="514"/>
      <c r="I14" s="515"/>
      <c r="K14" s="493" t="s">
        <v>1050</v>
      </c>
      <c r="L14" s="497" t="s">
        <v>1048</v>
      </c>
      <c r="M14" s="494">
        <v>550</v>
      </c>
      <c r="N14" s="494">
        <v>385</v>
      </c>
      <c r="O14" s="494" t="str">
        <f>CONCATENATE(100 - ROUND(((Table1415[[#This Row],[DSC PRICE]]/Table1415[[#This Row],[NORMAL PRICE]])*100),0),"%")</f>
        <v>30%</v>
      </c>
    </row>
    <row r="15" spans="2:15" s="451" customFormat="1" ht="15.75" thickBot="1">
      <c r="K15" s="499" t="s">
        <v>1051</v>
      </c>
      <c r="L15" s="500" t="s">
        <v>1046</v>
      </c>
      <c r="M15" s="501">
        <v>100</v>
      </c>
      <c r="N15" s="501">
        <v>80</v>
      </c>
      <c r="O15" s="501" t="str">
        <f>CONCATENATE(100 - ROUND(((Table1415[[#This Row],[DSC PRICE]]/Table1415[[#This Row],[NORMAL PRICE]])*100),0),"%")</f>
        <v>20%</v>
      </c>
    </row>
    <row r="16" spans="2:15" s="451" customFormat="1" ht="15.75" thickBot="1">
      <c r="B16" s="516" t="s">
        <v>1131</v>
      </c>
      <c r="C16" s="517"/>
      <c r="D16" s="517"/>
      <c r="E16" s="517"/>
      <c r="F16" s="517"/>
      <c r="G16" s="517"/>
      <c r="H16" s="517"/>
      <c r="I16" s="518"/>
      <c r="K16" s="499" t="s">
        <v>1051</v>
      </c>
      <c r="L16" s="500" t="s">
        <v>1049</v>
      </c>
      <c r="M16" s="501">
        <v>100</v>
      </c>
      <c r="N16" s="501">
        <v>80</v>
      </c>
      <c r="O16" s="501" t="str">
        <f>CONCATENATE(100 - ROUND(((Table1415[[#This Row],[DSC PRICE]]/Table1415[[#This Row],[NORMAL PRICE]])*100),0),"%")</f>
        <v>20%</v>
      </c>
    </row>
    <row r="17" spans="1:15" s="451" customFormat="1" ht="15.75" thickBot="1">
      <c r="B17" s="519" t="s">
        <v>1082</v>
      </c>
      <c r="C17" s="520" t="s">
        <v>1146</v>
      </c>
      <c r="D17" s="520" t="s">
        <v>1077</v>
      </c>
      <c r="E17" s="520" t="s">
        <v>1093</v>
      </c>
      <c r="F17" s="520"/>
      <c r="G17" s="520"/>
      <c r="H17" s="520"/>
      <c r="I17" s="521"/>
      <c r="K17" s="499" t="s">
        <v>1051</v>
      </c>
      <c r="L17" s="500" t="s">
        <v>1047</v>
      </c>
      <c r="M17" s="501">
        <v>250</v>
      </c>
      <c r="N17" s="501">
        <v>200</v>
      </c>
      <c r="O17" s="501" t="str">
        <f>CONCATENATE(100 - ROUND(((Table1415[[#This Row],[DSC PRICE]]/Table1415[[#This Row],[NORMAL PRICE]])*100),0),"%")</f>
        <v>20%</v>
      </c>
    </row>
    <row r="18" spans="1:15" s="451" customFormat="1" ht="15.75" thickBot="1">
      <c r="B18" s="519"/>
      <c r="C18" s="607">
        <f>N5</f>
        <v>125</v>
      </c>
      <c r="D18" s="522" t="s">
        <v>1138</v>
      </c>
      <c r="E18" s="523" t="s">
        <v>1095</v>
      </c>
      <c r="F18" s="523"/>
      <c r="G18" s="523"/>
      <c r="H18" s="523"/>
      <c r="I18" s="521"/>
      <c r="K18" s="499" t="s">
        <v>1051</v>
      </c>
      <c r="L18" s="500" t="s">
        <v>1048</v>
      </c>
      <c r="M18" s="501">
        <v>550</v>
      </c>
      <c r="N18" s="501">
        <v>440</v>
      </c>
      <c r="O18" s="501" t="str">
        <f>CONCATENATE(100 - ROUND(((Table1415[[#This Row],[DSC PRICE]]/Table1415[[#This Row],[NORMAL PRICE]])*100),0),"%")</f>
        <v>20%</v>
      </c>
    </row>
    <row r="19" spans="1:15" s="451" customFormat="1">
      <c r="B19" s="519"/>
      <c r="C19" s="607">
        <f>N13</f>
        <v>175</v>
      </c>
      <c r="D19" s="522" t="s">
        <v>1139</v>
      </c>
      <c r="E19" s="523" t="s">
        <v>1099</v>
      </c>
      <c r="F19" s="523"/>
      <c r="G19" s="523"/>
      <c r="H19" s="523"/>
      <c r="I19" s="521"/>
    </row>
    <row r="20" spans="1:15" s="451" customFormat="1" ht="15.75" thickBot="1">
      <c r="B20" s="519"/>
      <c r="C20" s="607">
        <f>N17</f>
        <v>200</v>
      </c>
      <c r="D20" s="522" t="s">
        <v>1140</v>
      </c>
      <c r="E20" s="523" t="s">
        <v>1094</v>
      </c>
      <c r="F20" s="523"/>
      <c r="G20" s="523"/>
      <c r="H20" s="523"/>
      <c r="I20" s="521"/>
      <c r="K20" s="488" t="s">
        <v>1058</v>
      </c>
    </row>
    <row r="21" spans="1:15" s="451" customFormat="1" ht="15.75" thickBot="1">
      <c r="B21" s="524"/>
      <c r="C21" s="522"/>
      <c r="D21" s="522"/>
      <c r="E21" s="522"/>
      <c r="F21" s="522"/>
      <c r="G21" s="522"/>
      <c r="H21" s="522"/>
      <c r="I21" s="521"/>
      <c r="K21" s="498" t="s">
        <v>1059</v>
      </c>
    </row>
    <row r="22" spans="1:15" s="451" customFormat="1" ht="15.75" thickBot="1">
      <c r="B22" s="519" t="s">
        <v>1083</v>
      </c>
      <c r="C22" s="520" t="s">
        <v>1146</v>
      </c>
      <c r="D22" s="520" t="s">
        <v>1077</v>
      </c>
      <c r="E22" s="520" t="s">
        <v>1090</v>
      </c>
      <c r="F22" s="520"/>
      <c r="G22" s="520"/>
      <c r="H22" s="520"/>
      <c r="I22" s="521"/>
      <c r="K22" s="498" t="s">
        <v>1060</v>
      </c>
    </row>
    <row r="23" spans="1:15" s="451" customFormat="1" ht="15.75" thickBot="1">
      <c r="B23" s="519"/>
      <c r="C23" s="607">
        <f>N5</f>
        <v>125</v>
      </c>
      <c r="D23" s="522" t="s">
        <v>1141</v>
      </c>
      <c r="E23" s="523" t="s">
        <v>1091</v>
      </c>
      <c r="F23" s="523"/>
      <c r="G23" s="523"/>
      <c r="H23" s="523"/>
      <c r="I23" s="521"/>
      <c r="K23" s="498" t="s">
        <v>1042</v>
      </c>
    </row>
    <row r="24" spans="1:15" s="451" customFormat="1" ht="15.75" thickBot="1">
      <c r="B24" s="519"/>
      <c r="C24" s="607">
        <f>N13</f>
        <v>175</v>
      </c>
      <c r="D24" s="522" t="s">
        <v>1142</v>
      </c>
      <c r="E24" s="523" t="s">
        <v>1098</v>
      </c>
      <c r="F24" s="523"/>
      <c r="G24" s="523"/>
      <c r="H24" s="523"/>
      <c r="I24" s="521"/>
      <c r="K24" s="498" t="s">
        <v>1043</v>
      </c>
    </row>
    <row r="25" spans="1:15" s="451" customFormat="1">
      <c r="B25" s="519"/>
      <c r="C25" s="607">
        <f>N17</f>
        <v>200</v>
      </c>
      <c r="D25" s="522" t="s">
        <v>1143</v>
      </c>
      <c r="E25" s="523" t="s">
        <v>1092</v>
      </c>
      <c r="F25" s="523"/>
      <c r="G25" s="523"/>
      <c r="H25" s="523"/>
      <c r="I25" s="521"/>
      <c r="K25" s="588" t="s">
        <v>1120</v>
      </c>
    </row>
    <row r="26" spans="1:15" s="451" customFormat="1">
      <c r="B26" s="519"/>
      <c r="C26" s="522"/>
      <c r="D26" s="522"/>
      <c r="E26" s="523"/>
      <c r="F26" s="523"/>
      <c r="G26" s="523"/>
      <c r="H26" s="523"/>
      <c r="I26" s="521"/>
    </row>
    <row r="27" spans="1:15" s="451" customFormat="1">
      <c r="B27" s="519" t="s">
        <v>1100</v>
      </c>
      <c r="C27" s="520" t="s">
        <v>1146</v>
      </c>
      <c r="D27" s="520" t="s">
        <v>1077</v>
      </c>
      <c r="E27" s="567" t="s">
        <v>1101</v>
      </c>
      <c r="F27" s="523"/>
      <c r="G27" s="523"/>
      <c r="H27" s="523"/>
      <c r="I27" s="521"/>
    </row>
    <row r="28" spans="1:15" s="451" customFormat="1" ht="15.75" thickBot="1">
      <c r="A28" s="489"/>
      <c r="B28" s="525"/>
      <c r="C28" s="606">
        <f>N9</f>
        <v>125</v>
      </c>
      <c r="D28" s="526" t="s">
        <v>1144</v>
      </c>
      <c r="E28" s="527" t="s">
        <v>1102</v>
      </c>
      <c r="F28" s="527"/>
      <c r="G28" s="527"/>
      <c r="H28" s="527"/>
      <c r="I28" s="528"/>
    </row>
    <row r="29" spans="1:15" s="451" customFormat="1" ht="15.75" thickBot="1">
      <c r="A29" s="489"/>
    </row>
    <row r="30" spans="1:15" s="451" customFormat="1">
      <c r="A30" s="489"/>
      <c r="B30" s="529" t="s">
        <v>1085</v>
      </c>
      <c r="C30" s="530"/>
      <c r="D30" s="530"/>
      <c r="E30" s="530"/>
      <c r="F30" s="530"/>
      <c r="G30" s="530"/>
      <c r="H30" s="530"/>
      <c r="I30" s="531"/>
    </row>
    <row r="31" spans="1:15" s="451" customFormat="1">
      <c r="B31" s="532" t="s">
        <v>1082</v>
      </c>
      <c r="C31" s="533" t="s">
        <v>1146</v>
      </c>
      <c r="D31" s="533" t="s">
        <v>1077</v>
      </c>
      <c r="E31" s="533" t="s">
        <v>1093</v>
      </c>
      <c r="F31" s="533"/>
      <c r="G31" s="533"/>
      <c r="H31" s="533"/>
      <c r="I31" s="534"/>
    </row>
    <row r="32" spans="1:15" s="451" customFormat="1">
      <c r="A32" s="489"/>
      <c r="B32" s="532"/>
      <c r="C32" s="609">
        <f>N6</f>
        <v>275</v>
      </c>
      <c r="D32" s="535" t="s">
        <v>1138</v>
      </c>
      <c r="E32" s="536" t="s">
        <v>1095</v>
      </c>
      <c r="F32" s="536"/>
      <c r="G32" s="536"/>
      <c r="H32" s="536"/>
      <c r="I32" s="534"/>
    </row>
    <row r="33" spans="1:9" s="451" customFormat="1">
      <c r="A33" s="489"/>
      <c r="B33" s="532"/>
      <c r="C33" s="609">
        <f>N14</f>
        <v>385</v>
      </c>
      <c r="D33" s="535" t="s">
        <v>1139</v>
      </c>
      <c r="E33" s="536" t="s">
        <v>1099</v>
      </c>
      <c r="F33" s="536"/>
      <c r="G33" s="536"/>
      <c r="H33" s="536"/>
      <c r="I33" s="534"/>
    </row>
    <row r="34" spans="1:9" s="451" customFormat="1">
      <c r="A34" s="489"/>
      <c r="B34" s="532"/>
      <c r="C34" s="609">
        <f>N18</f>
        <v>440</v>
      </c>
      <c r="D34" s="535" t="s">
        <v>1140</v>
      </c>
      <c r="E34" s="536" t="s">
        <v>1094</v>
      </c>
      <c r="F34" s="536"/>
      <c r="G34" s="536"/>
      <c r="H34" s="536"/>
      <c r="I34" s="534"/>
    </row>
    <row r="35" spans="1:9" s="451" customFormat="1">
      <c r="B35" s="537"/>
      <c r="C35" s="535"/>
      <c r="D35" s="535"/>
      <c r="E35" s="536"/>
      <c r="F35" s="536"/>
      <c r="G35" s="536"/>
      <c r="H35" s="536"/>
      <c r="I35" s="534"/>
    </row>
    <row r="36" spans="1:9" s="451" customFormat="1">
      <c r="B36" s="532" t="s">
        <v>1083</v>
      </c>
      <c r="C36" s="533" t="s">
        <v>1146</v>
      </c>
      <c r="D36" s="533" t="s">
        <v>1077</v>
      </c>
      <c r="E36" s="533" t="s">
        <v>1090</v>
      </c>
      <c r="F36" s="533"/>
      <c r="G36" s="533"/>
      <c r="H36" s="533"/>
      <c r="I36" s="534"/>
    </row>
    <row r="37" spans="1:9" s="451" customFormat="1">
      <c r="B37" s="532"/>
      <c r="C37" s="609">
        <f>N6</f>
        <v>275</v>
      </c>
      <c r="D37" s="535" t="s">
        <v>1141</v>
      </c>
      <c r="E37" s="536" t="s">
        <v>1091</v>
      </c>
      <c r="F37" s="536"/>
      <c r="G37" s="536"/>
      <c r="H37" s="536"/>
      <c r="I37" s="534"/>
    </row>
    <row r="38" spans="1:9" s="451" customFormat="1">
      <c r="B38" s="532"/>
      <c r="C38" s="609">
        <f>N14</f>
        <v>385</v>
      </c>
      <c r="D38" s="535" t="s">
        <v>1142</v>
      </c>
      <c r="E38" s="536" t="s">
        <v>1098</v>
      </c>
      <c r="F38" s="536"/>
      <c r="G38" s="536"/>
      <c r="H38" s="536"/>
      <c r="I38" s="534"/>
    </row>
    <row r="39" spans="1:9" s="451" customFormat="1">
      <c r="B39" s="532"/>
      <c r="C39" s="609">
        <f>N18</f>
        <v>440</v>
      </c>
      <c r="D39" s="535" t="s">
        <v>1143</v>
      </c>
      <c r="E39" s="536" t="s">
        <v>1092</v>
      </c>
      <c r="F39" s="536"/>
      <c r="G39" s="536"/>
      <c r="H39" s="536"/>
      <c r="I39" s="534"/>
    </row>
    <row r="40" spans="1:9">
      <c r="A40" s="451"/>
      <c r="B40" s="532"/>
      <c r="C40" s="535"/>
      <c r="D40" s="535"/>
      <c r="E40" s="536"/>
      <c r="F40" s="536"/>
      <c r="G40" s="536"/>
      <c r="H40" s="536"/>
      <c r="I40" s="534"/>
    </row>
    <row r="41" spans="1:9">
      <c r="A41" s="451"/>
      <c r="B41" s="532" t="s">
        <v>1100</v>
      </c>
      <c r="C41" s="533" t="s">
        <v>1146</v>
      </c>
      <c r="D41" s="533" t="s">
        <v>1077</v>
      </c>
      <c r="E41" s="568" t="s">
        <v>1101</v>
      </c>
      <c r="F41" s="536"/>
      <c r="G41" s="536"/>
      <c r="H41" s="536"/>
      <c r="I41" s="534"/>
    </row>
    <row r="42" spans="1:9" ht="15.75" thickBot="1">
      <c r="A42" s="451"/>
      <c r="B42" s="538"/>
      <c r="C42" s="608">
        <f>N10</f>
        <v>275</v>
      </c>
      <c r="D42" s="539" t="s">
        <v>1144</v>
      </c>
      <c r="E42" s="540" t="s">
        <v>1102</v>
      </c>
      <c r="F42" s="540"/>
      <c r="G42" s="540"/>
      <c r="H42" s="540"/>
      <c r="I42" s="541"/>
    </row>
    <row r="43" spans="1:9" ht="15.75" thickBot="1"/>
    <row r="44" spans="1:9">
      <c r="B44" s="542" t="s">
        <v>1086</v>
      </c>
      <c r="C44" s="543"/>
      <c r="D44" s="543"/>
      <c r="E44" s="543"/>
      <c r="F44" s="543"/>
      <c r="G44" s="543"/>
      <c r="H44" s="543"/>
      <c r="I44" s="544"/>
    </row>
    <row r="45" spans="1:9">
      <c r="B45" s="545" t="s">
        <v>1082</v>
      </c>
      <c r="C45" s="546" t="s">
        <v>1146</v>
      </c>
      <c r="D45" s="546" t="s">
        <v>1077</v>
      </c>
      <c r="E45" s="546" t="s">
        <v>1093</v>
      </c>
      <c r="F45" s="546"/>
      <c r="G45" s="546"/>
      <c r="H45" s="546"/>
      <c r="I45" s="547"/>
    </row>
    <row r="46" spans="1:9">
      <c r="B46" s="545"/>
      <c r="C46" s="611">
        <f>N4</f>
        <v>50</v>
      </c>
      <c r="D46" s="548" t="s">
        <v>1138</v>
      </c>
      <c r="E46" s="549" t="s">
        <v>1095</v>
      </c>
      <c r="F46" s="549"/>
      <c r="G46" s="549"/>
      <c r="H46" s="549"/>
      <c r="I46" s="547"/>
    </row>
    <row r="47" spans="1:9">
      <c r="B47" s="545"/>
      <c r="C47" s="611">
        <f>N12</f>
        <v>70</v>
      </c>
      <c r="D47" s="548" t="s">
        <v>1139</v>
      </c>
      <c r="E47" s="549" t="s">
        <v>1099</v>
      </c>
      <c r="F47" s="549"/>
      <c r="G47" s="549"/>
      <c r="H47" s="549"/>
      <c r="I47" s="547"/>
    </row>
    <row r="48" spans="1:9">
      <c r="B48" s="545"/>
      <c r="C48" s="611">
        <f>N16</f>
        <v>80</v>
      </c>
      <c r="D48" s="548" t="s">
        <v>1140</v>
      </c>
      <c r="E48" s="549" t="s">
        <v>1094</v>
      </c>
      <c r="F48" s="549"/>
      <c r="G48" s="549"/>
      <c r="H48" s="549"/>
      <c r="I48" s="547"/>
    </row>
    <row r="49" spans="2:9">
      <c r="B49" s="550"/>
      <c r="C49" s="548"/>
      <c r="D49" s="548"/>
      <c r="E49" s="548"/>
      <c r="F49" s="548"/>
      <c r="G49" s="548"/>
      <c r="H49" s="548"/>
      <c r="I49" s="547"/>
    </row>
    <row r="50" spans="2:9">
      <c r="B50" s="545" t="s">
        <v>1083</v>
      </c>
      <c r="C50" s="546" t="s">
        <v>1146</v>
      </c>
      <c r="D50" s="546" t="s">
        <v>1077</v>
      </c>
      <c r="E50" s="546" t="s">
        <v>1090</v>
      </c>
      <c r="F50" s="546"/>
      <c r="G50" s="546"/>
      <c r="H50" s="546"/>
      <c r="I50" s="547"/>
    </row>
    <row r="51" spans="2:9">
      <c r="B51" s="545"/>
      <c r="C51" s="611">
        <f>N4</f>
        <v>50</v>
      </c>
      <c r="D51" s="548" t="s">
        <v>1141</v>
      </c>
      <c r="E51" s="549" t="s">
        <v>1091</v>
      </c>
      <c r="F51" s="549"/>
      <c r="G51" s="549"/>
      <c r="H51" s="549"/>
      <c r="I51" s="547"/>
    </row>
    <row r="52" spans="2:9">
      <c r="B52" s="545"/>
      <c r="C52" s="611">
        <f>N12</f>
        <v>70</v>
      </c>
      <c r="D52" s="548" t="s">
        <v>1142</v>
      </c>
      <c r="E52" s="549" t="s">
        <v>1098</v>
      </c>
      <c r="F52" s="549"/>
      <c r="G52" s="549"/>
      <c r="H52" s="549"/>
      <c r="I52" s="547"/>
    </row>
    <row r="53" spans="2:9">
      <c r="B53" s="545"/>
      <c r="C53" s="611">
        <f>N16</f>
        <v>80</v>
      </c>
      <c r="D53" s="548" t="s">
        <v>1143</v>
      </c>
      <c r="E53" s="549" t="s">
        <v>1092</v>
      </c>
      <c r="F53" s="549"/>
      <c r="G53" s="549"/>
      <c r="H53" s="549"/>
      <c r="I53" s="547"/>
    </row>
    <row r="54" spans="2:9">
      <c r="B54" s="545"/>
      <c r="C54" s="548"/>
      <c r="D54" s="548"/>
      <c r="E54" s="549"/>
      <c r="F54" s="549"/>
      <c r="G54" s="549"/>
      <c r="H54" s="549"/>
      <c r="I54" s="547"/>
    </row>
    <row r="55" spans="2:9">
      <c r="B55" s="545" t="s">
        <v>1100</v>
      </c>
      <c r="C55" s="546" t="s">
        <v>1146</v>
      </c>
      <c r="D55" s="546" t="s">
        <v>1077</v>
      </c>
      <c r="E55" s="569" t="s">
        <v>1101</v>
      </c>
      <c r="F55" s="549"/>
      <c r="G55" s="549"/>
      <c r="H55" s="549"/>
      <c r="I55" s="547"/>
    </row>
    <row r="56" spans="2:9" ht="15.75" thickBot="1">
      <c r="B56" s="551"/>
      <c r="C56" s="610">
        <f>N8</f>
        <v>50</v>
      </c>
      <c r="D56" s="552" t="s">
        <v>1144</v>
      </c>
      <c r="E56" s="553" t="s">
        <v>1102</v>
      </c>
      <c r="F56" s="553"/>
      <c r="G56" s="553"/>
      <c r="H56" s="553"/>
      <c r="I56" s="554"/>
    </row>
    <row r="73" spans="1:5">
      <c r="E73" s="451"/>
    </row>
    <row r="74" spans="1:5">
      <c r="E74" s="451"/>
    </row>
    <row r="75" spans="1:5">
      <c r="E75" s="451"/>
    </row>
    <row r="76" spans="1:5">
      <c r="E76" s="451"/>
    </row>
    <row r="77" spans="1:5">
      <c r="A77" s="451"/>
      <c r="B77" s="451"/>
      <c r="C77" s="451"/>
      <c r="D77" s="451"/>
      <c r="E77" s="451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6"/>
  <sheetViews>
    <sheetView topLeftCell="A112" workbookViewId="0">
      <selection activeCell="E140" sqref="E140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6.5703125" customWidth="1"/>
    <col min="13" max="13" width="15.140625" customWidth="1"/>
  </cols>
  <sheetData>
    <row r="6" spans="4:13">
      <c r="D6" s="578" t="s">
        <v>824</v>
      </c>
      <c r="E6" s="579" t="s">
        <v>825</v>
      </c>
      <c r="F6" s="579" t="s">
        <v>826</v>
      </c>
      <c r="G6" s="579" t="s">
        <v>827</v>
      </c>
      <c r="H6" s="579" t="s">
        <v>828</v>
      </c>
      <c r="I6" s="579" t="s">
        <v>46</v>
      </c>
      <c r="J6" s="579" t="s">
        <v>829</v>
      </c>
      <c r="K6" s="579" t="s">
        <v>830</v>
      </c>
      <c r="L6" s="579" t="s">
        <v>831</v>
      </c>
      <c r="M6" s="580" t="s">
        <v>832</v>
      </c>
    </row>
    <row r="7" spans="4:13">
      <c r="D7" s="576">
        <v>16078</v>
      </c>
      <c r="E7" s="483" t="s">
        <v>833</v>
      </c>
      <c r="F7" s="483" t="s">
        <v>834</v>
      </c>
      <c r="G7" s="483" t="s">
        <v>867</v>
      </c>
      <c r="H7" s="483" t="s">
        <v>868</v>
      </c>
      <c r="I7" s="483" t="s">
        <v>847</v>
      </c>
      <c r="J7" s="483" t="s">
        <v>848</v>
      </c>
      <c r="K7" s="483" t="s">
        <v>839</v>
      </c>
      <c r="L7" s="483" t="s">
        <v>132</v>
      </c>
      <c r="M7" s="577" t="s">
        <v>840</v>
      </c>
    </row>
    <row r="8" spans="4:13">
      <c r="D8" s="576">
        <v>16096</v>
      </c>
      <c r="E8" s="483" t="s">
        <v>833</v>
      </c>
      <c r="F8" s="483" t="s">
        <v>834</v>
      </c>
      <c r="G8" s="483" t="s">
        <v>885</v>
      </c>
      <c r="H8" s="483" t="s">
        <v>886</v>
      </c>
      <c r="I8" s="483" t="s">
        <v>847</v>
      </c>
      <c r="J8" s="483" t="s">
        <v>848</v>
      </c>
      <c r="K8" s="483" t="s">
        <v>839</v>
      </c>
      <c r="L8" s="483" t="s">
        <v>132</v>
      </c>
      <c r="M8" s="577" t="s">
        <v>840</v>
      </c>
    </row>
    <row r="9" spans="4:13">
      <c r="D9" s="576">
        <v>17798</v>
      </c>
      <c r="E9" s="483" t="s">
        <v>833</v>
      </c>
      <c r="F9" s="483" t="s">
        <v>834</v>
      </c>
      <c r="G9" s="483" t="s">
        <v>1023</v>
      </c>
      <c r="H9" s="483" t="s">
        <v>1023</v>
      </c>
      <c r="I9" s="483" t="s">
        <v>997</v>
      </c>
      <c r="J9" s="483" t="s">
        <v>998</v>
      </c>
      <c r="K9" s="483" t="s">
        <v>839</v>
      </c>
      <c r="L9" s="483" t="s">
        <v>132</v>
      </c>
      <c r="M9" s="577" t="s">
        <v>840</v>
      </c>
    </row>
    <row r="10" spans="4:13">
      <c r="D10" s="576">
        <v>16092</v>
      </c>
      <c r="E10" s="483" t="s">
        <v>833</v>
      </c>
      <c r="F10" s="483" t="s">
        <v>834</v>
      </c>
      <c r="G10" s="483" t="s">
        <v>881</v>
      </c>
      <c r="H10" s="483" t="s">
        <v>882</v>
      </c>
      <c r="I10" s="483" t="s">
        <v>863</v>
      </c>
      <c r="J10" s="483" t="s">
        <v>864</v>
      </c>
      <c r="K10" s="483" t="s">
        <v>839</v>
      </c>
      <c r="L10" s="483" t="s">
        <v>132</v>
      </c>
      <c r="M10" s="577" t="s">
        <v>840</v>
      </c>
    </row>
    <row r="11" spans="4:13">
      <c r="D11" s="576">
        <v>16098</v>
      </c>
      <c r="E11" s="483" t="s">
        <v>833</v>
      </c>
      <c r="F11" s="483" t="s">
        <v>834</v>
      </c>
      <c r="G11" s="483" t="s">
        <v>887</v>
      </c>
      <c r="H11" s="483" t="s">
        <v>888</v>
      </c>
      <c r="I11" s="483" t="s">
        <v>851</v>
      </c>
      <c r="J11" s="483" t="s">
        <v>852</v>
      </c>
      <c r="K11" s="483" t="s">
        <v>839</v>
      </c>
      <c r="L11" s="483" t="s">
        <v>132</v>
      </c>
      <c r="M11" s="577" t="s">
        <v>840</v>
      </c>
    </row>
    <row r="12" spans="4:13">
      <c r="D12" s="576">
        <v>17790</v>
      </c>
      <c r="E12" s="483" t="s">
        <v>833</v>
      </c>
      <c r="F12" s="483" t="s">
        <v>834</v>
      </c>
      <c r="G12" s="483" t="s">
        <v>1017</v>
      </c>
      <c r="H12" s="483" t="s">
        <v>1017</v>
      </c>
      <c r="I12" s="483" t="s">
        <v>1018</v>
      </c>
      <c r="J12" s="483" t="s">
        <v>1019</v>
      </c>
      <c r="K12" s="483" t="s">
        <v>839</v>
      </c>
      <c r="L12" s="483" t="s">
        <v>132</v>
      </c>
      <c r="M12" s="577" t="s">
        <v>840</v>
      </c>
    </row>
    <row r="13" spans="4:13">
      <c r="D13" s="576">
        <v>17792</v>
      </c>
      <c r="E13" s="483" t="s">
        <v>833</v>
      </c>
      <c r="F13" s="483" t="s">
        <v>834</v>
      </c>
      <c r="G13" s="483" t="s">
        <v>1020</v>
      </c>
      <c r="H13" s="483" t="s">
        <v>1020</v>
      </c>
      <c r="I13" s="483" t="s">
        <v>962</v>
      </c>
      <c r="J13" s="483" t="s">
        <v>963</v>
      </c>
      <c r="K13" s="483" t="s">
        <v>839</v>
      </c>
      <c r="L13" s="483" t="s">
        <v>132</v>
      </c>
      <c r="M13" s="577" t="s">
        <v>840</v>
      </c>
    </row>
    <row r="14" spans="4:13">
      <c r="D14" s="576">
        <v>16100</v>
      </c>
      <c r="E14" s="483" t="s">
        <v>833</v>
      </c>
      <c r="F14" s="483" t="s">
        <v>834</v>
      </c>
      <c r="G14" s="483" t="s">
        <v>889</v>
      </c>
      <c r="H14" s="483" t="s">
        <v>890</v>
      </c>
      <c r="I14" s="483" t="s">
        <v>855</v>
      </c>
      <c r="J14" s="483" t="s">
        <v>856</v>
      </c>
      <c r="K14" s="483" t="s">
        <v>839</v>
      </c>
      <c r="L14" s="483" t="s">
        <v>132</v>
      </c>
      <c r="M14" s="577" t="s">
        <v>840</v>
      </c>
    </row>
    <row r="15" spans="4:13">
      <c r="D15" s="576">
        <v>16094</v>
      </c>
      <c r="E15" s="483" t="s">
        <v>833</v>
      </c>
      <c r="F15" s="483" t="s">
        <v>834</v>
      </c>
      <c r="G15" s="483" t="s">
        <v>883</v>
      </c>
      <c r="H15" s="483" t="s">
        <v>884</v>
      </c>
      <c r="I15" s="483" t="s">
        <v>843</v>
      </c>
      <c r="J15" s="483" t="s">
        <v>844</v>
      </c>
      <c r="K15" s="483" t="s">
        <v>839</v>
      </c>
      <c r="L15" s="483" t="s">
        <v>132</v>
      </c>
      <c r="M15" s="577" t="s">
        <v>840</v>
      </c>
    </row>
    <row r="16" spans="4:13">
      <c r="D16" s="576">
        <v>16102</v>
      </c>
      <c r="E16" s="483" t="s">
        <v>833</v>
      </c>
      <c r="F16" s="483" t="s">
        <v>834</v>
      </c>
      <c r="G16" s="483" t="s">
        <v>891</v>
      </c>
      <c r="H16" s="483" t="s">
        <v>892</v>
      </c>
      <c r="I16" s="483" t="s">
        <v>893</v>
      </c>
      <c r="J16" s="483" t="s">
        <v>894</v>
      </c>
      <c r="K16" s="483" t="s">
        <v>839</v>
      </c>
      <c r="L16" s="483" t="s">
        <v>132</v>
      </c>
      <c r="M16" s="577" t="s">
        <v>840</v>
      </c>
    </row>
    <row r="17" spans="4:13">
      <c r="D17" s="576">
        <v>16108</v>
      </c>
      <c r="E17" s="483" t="s">
        <v>833</v>
      </c>
      <c r="F17" s="483" t="s">
        <v>834</v>
      </c>
      <c r="G17" s="483" t="s">
        <v>899</v>
      </c>
      <c r="H17" s="483" t="s">
        <v>900</v>
      </c>
      <c r="I17" s="483" t="s">
        <v>847</v>
      </c>
      <c r="J17" s="483" t="s">
        <v>848</v>
      </c>
      <c r="K17" s="483" t="s">
        <v>839</v>
      </c>
      <c r="L17" s="483" t="s">
        <v>132</v>
      </c>
      <c r="M17" s="577" t="s">
        <v>840</v>
      </c>
    </row>
    <row r="18" spans="4:13">
      <c r="D18" s="576">
        <v>17800</v>
      </c>
      <c r="E18" s="483" t="s">
        <v>833</v>
      </c>
      <c r="F18" s="483" t="s">
        <v>834</v>
      </c>
      <c r="G18" s="483" t="s">
        <v>1024</v>
      </c>
      <c r="H18" s="483" t="s">
        <v>1024</v>
      </c>
      <c r="I18" s="483" t="s">
        <v>997</v>
      </c>
      <c r="J18" s="483" t="s">
        <v>998</v>
      </c>
      <c r="K18" s="483" t="s">
        <v>839</v>
      </c>
      <c r="L18" s="483" t="s">
        <v>132</v>
      </c>
      <c r="M18" s="577" t="s">
        <v>840</v>
      </c>
    </row>
    <row r="19" spans="4:13">
      <c r="D19" s="576">
        <v>16104</v>
      </c>
      <c r="E19" s="483" t="s">
        <v>833</v>
      </c>
      <c r="F19" s="483" t="s">
        <v>834</v>
      </c>
      <c r="G19" s="483" t="s">
        <v>895</v>
      </c>
      <c r="H19" s="483" t="s">
        <v>896</v>
      </c>
      <c r="I19" s="483" t="s">
        <v>863</v>
      </c>
      <c r="J19" s="483" t="s">
        <v>864</v>
      </c>
      <c r="K19" s="483" t="s">
        <v>839</v>
      </c>
      <c r="L19" s="483" t="s">
        <v>132</v>
      </c>
      <c r="M19" s="577" t="s">
        <v>840</v>
      </c>
    </row>
    <row r="20" spans="4:13">
      <c r="D20" s="576">
        <v>16110</v>
      </c>
      <c r="E20" s="483" t="s">
        <v>833</v>
      </c>
      <c r="F20" s="483" t="s">
        <v>834</v>
      </c>
      <c r="G20" s="483" t="s">
        <v>901</v>
      </c>
      <c r="H20" s="483" t="s">
        <v>902</v>
      </c>
      <c r="I20" s="483" t="s">
        <v>851</v>
      </c>
      <c r="J20" s="483" t="s">
        <v>852</v>
      </c>
      <c r="K20" s="483" t="s">
        <v>839</v>
      </c>
      <c r="L20" s="483" t="s">
        <v>132</v>
      </c>
      <c r="M20" s="577" t="s">
        <v>840</v>
      </c>
    </row>
    <row r="21" spans="4:13">
      <c r="D21" s="576">
        <v>17794</v>
      </c>
      <c r="E21" s="483" t="s">
        <v>833</v>
      </c>
      <c r="F21" s="483" t="s">
        <v>834</v>
      </c>
      <c r="G21" s="483" t="s">
        <v>1021</v>
      </c>
      <c r="H21" s="483" t="s">
        <v>1021</v>
      </c>
      <c r="I21" s="483" t="s">
        <v>1018</v>
      </c>
      <c r="J21" s="483" t="s">
        <v>1019</v>
      </c>
      <c r="K21" s="483" t="s">
        <v>839</v>
      </c>
      <c r="L21" s="483" t="s">
        <v>132</v>
      </c>
      <c r="M21" s="577" t="s">
        <v>840</v>
      </c>
    </row>
    <row r="22" spans="4:13">
      <c r="D22" s="576">
        <v>17796</v>
      </c>
      <c r="E22" s="483" t="s">
        <v>833</v>
      </c>
      <c r="F22" s="483" t="s">
        <v>834</v>
      </c>
      <c r="G22" s="483" t="s">
        <v>1022</v>
      </c>
      <c r="H22" s="483" t="s">
        <v>1022</v>
      </c>
      <c r="I22" s="483" t="s">
        <v>962</v>
      </c>
      <c r="J22" s="483" t="s">
        <v>963</v>
      </c>
      <c r="K22" s="483" t="s">
        <v>839</v>
      </c>
      <c r="L22" s="483" t="s">
        <v>132</v>
      </c>
      <c r="M22" s="577" t="s">
        <v>840</v>
      </c>
    </row>
    <row r="23" spans="4:13">
      <c r="D23" s="576">
        <v>16112</v>
      </c>
      <c r="E23" s="483" t="s">
        <v>833</v>
      </c>
      <c r="F23" s="483" t="s">
        <v>834</v>
      </c>
      <c r="G23" s="483" t="s">
        <v>903</v>
      </c>
      <c r="H23" s="483" t="s">
        <v>904</v>
      </c>
      <c r="I23" s="483" t="s">
        <v>855</v>
      </c>
      <c r="J23" s="483" t="s">
        <v>856</v>
      </c>
      <c r="K23" s="483" t="s">
        <v>839</v>
      </c>
      <c r="L23" s="483" t="s">
        <v>132</v>
      </c>
      <c r="M23" s="577" t="s">
        <v>840</v>
      </c>
    </row>
    <row r="24" spans="4:13">
      <c r="D24" s="576">
        <v>16106</v>
      </c>
      <c r="E24" s="483" t="s">
        <v>833</v>
      </c>
      <c r="F24" s="483" t="s">
        <v>834</v>
      </c>
      <c r="G24" s="483" t="s">
        <v>897</v>
      </c>
      <c r="H24" s="483" t="s">
        <v>898</v>
      </c>
      <c r="I24" s="483" t="s">
        <v>843</v>
      </c>
      <c r="J24" s="483" t="s">
        <v>844</v>
      </c>
      <c r="K24" s="483" t="s">
        <v>839</v>
      </c>
      <c r="L24" s="483" t="s">
        <v>132</v>
      </c>
      <c r="M24" s="577" t="s">
        <v>840</v>
      </c>
    </row>
    <row r="25" spans="4:13">
      <c r="D25" s="576">
        <v>16114</v>
      </c>
      <c r="E25" s="483" t="s">
        <v>833</v>
      </c>
      <c r="F25" s="483" t="s">
        <v>834</v>
      </c>
      <c r="G25" s="483" t="s">
        <v>905</v>
      </c>
      <c r="H25" s="483" t="s">
        <v>906</v>
      </c>
      <c r="I25" s="483" t="s">
        <v>893</v>
      </c>
      <c r="J25" s="483" t="s">
        <v>894</v>
      </c>
      <c r="K25" s="483" t="s">
        <v>839</v>
      </c>
      <c r="L25" s="483" t="s">
        <v>132</v>
      </c>
      <c r="M25" s="577" t="s">
        <v>840</v>
      </c>
    </row>
    <row r="26" spans="4:13">
      <c r="D26" s="576">
        <v>17446</v>
      </c>
      <c r="E26" s="483" t="s">
        <v>833</v>
      </c>
      <c r="F26" s="483" t="s">
        <v>834</v>
      </c>
      <c r="G26" s="483" t="s">
        <v>959</v>
      </c>
      <c r="H26" s="483" t="s">
        <v>959</v>
      </c>
      <c r="I26" s="483" t="s">
        <v>847</v>
      </c>
      <c r="J26" s="483" t="s">
        <v>848</v>
      </c>
      <c r="K26" s="483" t="s">
        <v>936</v>
      </c>
      <c r="L26" s="483" t="s">
        <v>149</v>
      </c>
      <c r="M26" s="577" t="s">
        <v>840</v>
      </c>
    </row>
    <row r="27" spans="4:13">
      <c r="D27" s="576">
        <v>17448</v>
      </c>
      <c r="E27" s="483" t="s">
        <v>833</v>
      </c>
      <c r="F27" s="483" t="s">
        <v>834</v>
      </c>
      <c r="G27" s="483" t="s">
        <v>960</v>
      </c>
      <c r="H27" s="483" t="s">
        <v>960</v>
      </c>
      <c r="I27" s="483" t="s">
        <v>851</v>
      </c>
      <c r="J27" s="483" t="s">
        <v>852</v>
      </c>
      <c r="K27" s="483" t="s">
        <v>936</v>
      </c>
      <c r="L27" s="483" t="s">
        <v>149</v>
      </c>
      <c r="M27" s="577" t="s">
        <v>840</v>
      </c>
    </row>
    <row r="28" spans="4:13">
      <c r="D28" s="576">
        <v>17450</v>
      </c>
      <c r="E28" s="483" t="s">
        <v>833</v>
      </c>
      <c r="F28" s="483" t="s">
        <v>834</v>
      </c>
      <c r="G28" s="483" t="s">
        <v>961</v>
      </c>
      <c r="H28" s="483" t="s">
        <v>961</v>
      </c>
      <c r="I28" s="483" t="s">
        <v>962</v>
      </c>
      <c r="J28" s="483" t="s">
        <v>963</v>
      </c>
      <c r="K28" s="483" t="s">
        <v>936</v>
      </c>
      <c r="L28" s="483" t="s">
        <v>149</v>
      </c>
      <c r="M28" s="577" t="s">
        <v>840</v>
      </c>
    </row>
    <row r="29" spans="4:13">
      <c r="D29" s="576">
        <v>17452</v>
      </c>
      <c r="E29" s="483" t="s">
        <v>833</v>
      </c>
      <c r="F29" s="483" t="s">
        <v>834</v>
      </c>
      <c r="G29" s="483" t="s">
        <v>964</v>
      </c>
      <c r="H29" s="483" t="s">
        <v>964</v>
      </c>
      <c r="I29" s="483" t="s">
        <v>855</v>
      </c>
      <c r="J29" s="483" t="s">
        <v>856</v>
      </c>
      <c r="K29" s="483" t="s">
        <v>936</v>
      </c>
      <c r="L29" s="483" t="s">
        <v>149</v>
      </c>
      <c r="M29" s="577" t="s">
        <v>840</v>
      </c>
    </row>
    <row r="30" spans="4:13">
      <c r="D30" s="576">
        <v>17454</v>
      </c>
      <c r="E30" s="483" t="s">
        <v>833</v>
      </c>
      <c r="F30" s="483" t="s">
        <v>834</v>
      </c>
      <c r="G30" s="483" t="s">
        <v>965</v>
      </c>
      <c r="H30" s="483" t="s">
        <v>965</v>
      </c>
      <c r="I30" s="483" t="s">
        <v>940</v>
      </c>
      <c r="J30" s="483" t="s">
        <v>941</v>
      </c>
      <c r="K30" s="483" t="s">
        <v>936</v>
      </c>
      <c r="L30" s="483" t="s">
        <v>149</v>
      </c>
      <c r="M30" s="577" t="s">
        <v>840</v>
      </c>
    </row>
    <row r="31" spans="4:13">
      <c r="D31" s="576">
        <v>17456</v>
      </c>
      <c r="E31" s="483" t="s">
        <v>833</v>
      </c>
      <c r="F31" s="483" t="s">
        <v>834</v>
      </c>
      <c r="G31" s="483" t="s">
        <v>966</v>
      </c>
      <c r="H31" s="483" t="s">
        <v>966</v>
      </c>
      <c r="I31" s="483" t="s">
        <v>893</v>
      </c>
      <c r="J31" s="483" t="s">
        <v>894</v>
      </c>
      <c r="K31" s="483" t="s">
        <v>936</v>
      </c>
      <c r="L31" s="483" t="s">
        <v>149</v>
      </c>
      <c r="M31" s="577" t="s">
        <v>840</v>
      </c>
    </row>
    <row r="32" spans="4:13">
      <c r="D32" s="576">
        <v>17458</v>
      </c>
      <c r="E32" s="483" t="s">
        <v>833</v>
      </c>
      <c r="F32" s="483" t="s">
        <v>834</v>
      </c>
      <c r="G32" s="483" t="s">
        <v>967</v>
      </c>
      <c r="H32" s="483" t="s">
        <v>967</v>
      </c>
      <c r="I32" s="483" t="s">
        <v>847</v>
      </c>
      <c r="J32" s="483" t="s">
        <v>848</v>
      </c>
      <c r="K32" s="483" t="s">
        <v>936</v>
      </c>
      <c r="L32" s="483" t="s">
        <v>149</v>
      </c>
      <c r="M32" s="577" t="s">
        <v>840</v>
      </c>
    </row>
    <row r="33" spans="4:13">
      <c r="D33" s="576">
        <v>17460</v>
      </c>
      <c r="E33" s="483" t="s">
        <v>833</v>
      </c>
      <c r="F33" s="483" t="s">
        <v>834</v>
      </c>
      <c r="G33" s="483" t="s">
        <v>968</v>
      </c>
      <c r="H33" s="483" t="s">
        <v>968</v>
      </c>
      <c r="I33" s="483" t="s">
        <v>851</v>
      </c>
      <c r="J33" s="483" t="s">
        <v>852</v>
      </c>
      <c r="K33" s="483" t="s">
        <v>936</v>
      </c>
      <c r="L33" s="483" t="s">
        <v>149</v>
      </c>
      <c r="M33" s="577" t="s">
        <v>840</v>
      </c>
    </row>
    <row r="34" spans="4:13">
      <c r="D34" s="576">
        <v>17462</v>
      </c>
      <c r="E34" s="483" t="s">
        <v>833</v>
      </c>
      <c r="F34" s="483" t="s">
        <v>834</v>
      </c>
      <c r="G34" s="483" t="s">
        <v>969</v>
      </c>
      <c r="H34" s="483" t="s">
        <v>969</v>
      </c>
      <c r="I34" s="483" t="s">
        <v>962</v>
      </c>
      <c r="J34" s="483" t="s">
        <v>963</v>
      </c>
      <c r="K34" s="483" t="s">
        <v>936</v>
      </c>
      <c r="L34" s="483" t="s">
        <v>149</v>
      </c>
      <c r="M34" s="577" t="s">
        <v>840</v>
      </c>
    </row>
    <row r="35" spans="4:13">
      <c r="D35" s="576">
        <v>17464</v>
      </c>
      <c r="E35" s="483" t="s">
        <v>833</v>
      </c>
      <c r="F35" s="483" t="s">
        <v>834</v>
      </c>
      <c r="G35" s="483" t="s">
        <v>970</v>
      </c>
      <c r="H35" s="483" t="s">
        <v>970</v>
      </c>
      <c r="I35" s="483" t="s">
        <v>855</v>
      </c>
      <c r="J35" s="483" t="s">
        <v>856</v>
      </c>
      <c r="K35" s="483" t="s">
        <v>936</v>
      </c>
      <c r="L35" s="483" t="s">
        <v>149</v>
      </c>
      <c r="M35" s="577" t="s">
        <v>840</v>
      </c>
    </row>
    <row r="36" spans="4:13">
      <c r="D36" s="576">
        <v>17466</v>
      </c>
      <c r="E36" s="483" t="s">
        <v>833</v>
      </c>
      <c r="F36" s="483" t="s">
        <v>834</v>
      </c>
      <c r="G36" s="483" t="s">
        <v>971</v>
      </c>
      <c r="H36" s="483" t="s">
        <v>971</v>
      </c>
      <c r="I36" s="483" t="s">
        <v>940</v>
      </c>
      <c r="J36" s="483" t="s">
        <v>941</v>
      </c>
      <c r="K36" s="483" t="s">
        <v>936</v>
      </c>
      <c r="L36" s="483" t="s">
        <v>149</v>
      </c>
      <c r="M36" s="577" t="s">
        <v>840</v>
      </c>
    </row>
    <row r="37" spans="4:13">
      <c r="D37" s="576">
        <v>17468</v>
      </c>
      <c r="E37" s="483" t="s">
        <v>833</v>
      </c>
      <c r="F37" s="483" t="s">
        <v>834</v>
      </c>
      <c r="G37" s="483" t="s">
        <v>972</v>
      </c>
      <c r="H37" s="483" t="s">
        <v>972</v>
      </c>
      <c r="I37" s="483" t="s">
        <v>893</v>
      </c>
      <c r="J37" s="483" t="s">
        <v>894</v>
      </c>
      <c r="K37" s="483" t="s">
        <v>936</v>
      </c>
      <c r="L37" s="483" t="s">
        <v>149</v>
      </c>
      <c r="M37" s="577" t="s">
        <v>840</v>
      </c>
    </row>
    <row r="38" spans="4:13">
      <c r="D38" s="576">
        <v>17470</v>
      </c>
      <c r="E38" s="483" t="s">
        <v>833</v>
      </c>
      <c r="F38" s="483" t="s">
        <v>834</v>
      </c>
      <c r="G38" s="483" t="s">
        <v>973</v>
      </c>
      <c r="H38" s="483" t="s">
        <v>973</v>
      </c>
      <c r="I38" s="483" t="s">
        <v>847</v>
      </c>
      <c r="J38" s="483" t="s">
        <v>848</v>
      </c>
      <c r="K38" s="483" t="s">
        <v>936</v>
      </c>
      <c r="L38" s="483" t="s">
        <v>149</v>
      </c>
      <c r="M38" s="577" t="s">
        <v>840</v>
      </c>
    </row>
    <row r="39" spans="4:13">
      <c r="D39" s="576">
        <v>17472</v>
      </c>
      <c r="E39" s="483" t="s">
        <v>833</v>
      </c>
      <c r="F39" s="483" t="s">
        <v>834</v>
      </c>
      <c r="G39" s="483" t="s">
        <v>974</v>
      </c>
      <c r="H39" s="483" t="s">
        <v>974</v>
      </c>
      <c r="I39" s="483" t="s">
        <v>851</v>
      </c>
      <c r="J39" s="483" t="s">
        <v>852</v>
      </c>
      <c r="K39" s="483" t="s">
        <v>936</v>
      </c>
      <c r="L39" s="483" t="s">
        <v>149</v>
      </c>
      <c r="M39" s="577" t="s">
        <v>840</v>
      </c>
    </row>
    <row r="40" spans="4:13">
      <c r="D40" s="576">
        <v>17474</v>
      </c>
      <c r="E40" s="483" t="s">
        <v>833</v>
      </c>
      <c r="F40" s="483" t="s">
        <v>834</v>
      </c>
      <c r="G40" s="483" t="s">
        <v>975</v>
      </c>
      <c r="H40" s="483" t="s">
        <v>975</v>
      </c>
      <c r="I40" s="483" t="s">
        <v>962</v>
      </c>
      <c r="J40" s="483" t="s">
        <v>963</v>
      </c>
      <c r="K40" s="483" t="s">
        <v>936</v>
      </c>
      <c r="L40" s="483" t="s">
        <v>149</v>
      </c>
      <c r="M40" s="577" t="s">
        <v>840</v>
      </c>
    </row>
    <row r="41" spans="4:13">
      <c r="D41" s="576">
        <v>17476</v>
      </c>
      <c r="E41" s="483" t="s">
        <v>833</v>
      </c>
      <c r="F41" s="483" t="s">
        <v>834</v>
      </c>
      <c r="G41" s="483" t="s">
        <v>976</v>
      </c>
      <c r="H41" s="483" t="s">
        <v>976</v>
      </c>
      <c r="I41" s="483" t="s">
        <v>855</v>
      </c>
      <c r="J41" s="483" t="s">
        <v>856</v>
      </c>
      <c r="K41" s="483" t="s">
        <v>936</v>
      </c>
      <c r="L41" s="483" t="s">
        <v>149</v>
      </c>
      <c r="M41" s="577" t="s">
        <v>840</v>
      </c>
    </row>
    <row r="42" spans="4:13">
      <c r="D42" s="576">
        <v>17478</v>
      </c>
      <c r="E42" s="483" t="s">
        <v>833</v>
      </c>
      <c r="F42" s="483" t="s">
        <v>834</v>
      </c>
      <c r="G42" s="483" t="s">
        <v>977</v>
      </c>
      <c r="H42" s="483" t="s">
        <v>977</v>
      </c>
      <c r="I42" s="483" t="s">
        <v>940</v>
      </c>
      <c r="J42" s="483" t="s">
        <v>941</v>
      </c>
      <c r="K42" s="483" t="s">
        <v>936</v>
      </c>
      <c r="L42" s="483" t="s">
        <v>149</v>
      </c>
      <c r="M42" s="577" t="s">
        <v>840</v>
      </c>
    </row>
    <row r="43" spans="4:13">
      <c r="D43" s="576">
        <v>17480</v>
      </c>
      <c r="E43" s="483" t="s">
        <v>833</v>
      </c>
      <c r="F43" s="483" t="s">
        <v>834</v>
      </c>
      <c r="G43" s="483" t="s">
        <v>978</v>
      </c>
      <c r="H43" s="483" t="s">
        <v>978</v>
      </c>
      <c r="I43" s="483" t="s">
        <v>893</v>
      </c>
      <c r="J43" s="483" t="s">
        <v>894</v>
      </c>
      <c r="K43" s="483" t="s">
        <v>936</v>
      </c>
      <c r="L43" s="483" t="s">
        <v>149</v>
      </c>
      <c r="M43" s="577" t="s">
        <v>840</v>
      </c>
    </row>
    <row r="44" spans="4:13">
      <c r="D44" s="576">
        <v>17420</v>
      </c>
      <c r="E44" s="483" t="s">
        <v>833</v>
      </c>
      <c r="F44" s="483" t="s">
        <v>834</v>
      </c>
      <c r="G44" s="483" t="s">
        <v>946</v>
      </c>
      <c r="H44" s="483" t="s">
        <v>946</v>
      </c>
      <c r="I44" s="483" t="s">
        <v>863</v>
      </c>
      <c r="J44" s="483" t="s">
        <v>864</v>
      </c>
      <c r="K44" s="483" t="s">
        <v>936</v>
      </c>
      <c r="L44" s="483" t="s">
        <v>149</v>
      </c>
      <c r="M44" s="577" t="s">
        <v>840</v>
      </c>
    </row>
    <row r="45" spans="4:13">
      <c r="D45" s="576">
        <v>17422</v>
      </c>
      <c r="E45" s="483" t="s">
        <v>833</v>
      </c>
      <c r="F45" s="483" t="s">
        <v>834</v>
      </c>
      <c r="G45" s="483" t="s">
        <v>947</v>
      </c>
      <c r="H45" s="483" t="s">
        <v>947</v>
      </c>
      <c r="I45" s="483" t="s">
        <v>843</v>
      </c>
      <c r="J45" s="483" t="s">
        <v>844</v>
      </c>
      <c r="K45" s="483" t="s">
        <v>936</v>
      </c>
      <c r="L45" s="483" t="s">
        <v>149</v>
      </c>
      <c r="M45" s="577" t="s">
        <v>840</v>
      </c>
    </row>
    <row r="46" spans="4:13">
      <c r="D46" s="576">
        <v>17424</v>
      </c>
      <c r="E46" s="483" t="s">
        <v>833</v>
      </c>
      <c r="F46" s="483" t="s">
        <v>834</v>
      </c>
      <c r="G46" s="483" t="s">
        <v>948</v>
      </c>
      <c r="H46" s="483" t="s">
        <v>948</v>
      </c>
      <c r="I46" s="483" t="s">
        <v>863</v>
      </c>
      <c r="J46" s="483" t="s">
        <v>864</v>
      </c>
      <c r="K46" s="483" t="s">
        <v>936</v>
      </c>
      <c r="L46" s="483" t="s">
        <v>149</v>
      </c>
      <c r="M46" s="577" t="s">
        <v>840</v>
      </c>
    </row>
    <row r="47" spans="4:13">
      <c r="D47" s="576">
        <v>17426</v>
      </c>
      <c r="E47" s="483" t="s">
        <v>833</v>
      </c>
      <c r="F47" s="483" t="s">
        <v>834</v>
      </c>
      <c r="G47" s="483" t="s">
        <v>949</v>
      </c>
      <c r="H47" s="483" t="s">
        <v>949</v>
      </c>
      <c r="I47" s="483" t="s">
        <v>843</v>
      </c>
      <c r="J47" s="483" t="s">
        <v>844</v>
      </c>
      <c r="K47" s="483" t="s">
        <v>936</v>
      </c>
      <c r="L47" s="483" t="s">
        <v>149</v>
      </c>
      <c r="M47" s="577" t="s">
        <v>840</v>
      </c>
    </row>
    <row r="48" spans="4:13">
      <c r="D48" s="576">
        <v>16304</v>
      </c>
      <c r="E48" s="483" t="s">
        <v>833</v>
      </c>
      <c r="F48" s="483" t="s">
        <v>834</v>
      </c>
      <c r="G48" s="483" t="s">
        <v>913</v>
      </c>
      <c r="H48" s="483" t="s">
        <v>914</v>
      </c>
      <c r="I48" s="483" t="s">
        <v>843</v>
      </c>
      <c r="J48" s="483" t="s">
        <v>844</v>
      </c>
      <c r="K48" s="483" t="s">
        <v>839</v>
      </c>
      <c r="L48" s="483" t="s">
        <v>132</v>
      </c>
      <c r="M48" s="577" t="s">
        <v>840</v>
      </c>
    </row>
    <row r="49" spans="4:13">
      <c r="D49" s="576">
        <v>16312</v>
      </c>
      <c r="E49" s="483" t="s">
        <v>833</v>
      </c>
      <c r="F49" s="483" t="s">
        <v>834</v>
      </c>
      <c r="G49" s="483" t="s">
        <v>921</v>
      </c>
      <c r="H49" s="483" t="s">
        <v>922</v>
      </c>
      <c r="I49" s="483" t="s">
        <v>847</v>
      </c>
      <c r="J49" s="483" t="s">
        <v>848</v>
      </c>
      <c r="K49" s="483" t="s">
        <v>839</v>
      </c>
      <c r="L49" s="483" t="s">
        <v>132</v>
      </c>
      <c r="M49" s="577" t="s">
        <v>840</v>
      </c>
    </row>
    <row r="50" spans="4:13">
      <c r="D50" s="576">
        <v>17428</v>
      </c>
      <c r="E50" s="483" t="s">
        <v>833</v>
      </c>
      <c r="F50" s="483" t="s">
        <v>834</v>
      </c>
      <c r="G50" s="483" t="s">
        <v>950</v>
      </c>
      <c r="H50" s="483" t="s">
        <v>950</v>
      </c>
      <c r="I50" s="483" t="s">
        <v>940</v>
      </c>
      <c r="J50" s="483" t="s">
        <v>941</v>
      </c>
      <c r="K50" s="483" t="s">
        <v>936</v>
      </c>
      <c r="L50" s="483" t="s">
        <v>149</v>
      </c>
      <c r="M50" s="577" t="s">
        <v>840</v>
      </c>
    </row>
    <row r="51" spans="4:13">
      <c r="D51" s="576">
        <v>17430</v>
      </c>
      <c r="E51" s="483" t="s">
        <v>833</v>
      </c>
      <c r="F51" s="483" t="s">
        <v>834</v>
      </c>
      <c r="G51" s="483" t="s">
        <v>951</v>
      </c>
      <c r="H51" s="483" t="s">
        <v>951</v>
      </c>
      <c r="I51" s="483" t="s">
        <v>940</v>
      </c>
      <c r="J51" s="483" t="s">
        <v>941</v>
      </c>
      <c r="K51" s="483" t="s">
        <v>936</v>
      </c>
      <c r="L51" s="483" t="s">
        <v>149</v>
      </c>
      <c r="M51" s="577" t="s">
        <v>840</v>
      </c>
    </row>
    <row r="52" spans="4:13">
      <c r="D52" s="576">
        <v>17432</v>
      </c>
      <c r="E52" s="483" t="s">
        <v>833</v>
      </c>
      <c r="F52" s="483" t="s">
        <v>834</v>
      </c>
      <c r="G52" s="483" t="s">
        <v>952</v>
      </c>
      <c r="H52" s="483" t="s">
        <v>952</v>
      </c>
      <c r="I52" s="483" t="s">
        <v>851</v>
      </c>
      <c r="J52" s="483" t="s">
        <v>852</v>
      </c>
      <c r="K52" s="483" t="s">
        <v>936</v>
      </c>
      <c r="L52" s="483" t="s">
        <v>149</v>
      </c>
      <c r="M52" s="577" t="s">
        <v>840</v>
      </c>
    </row>
    <row r="53" spans="4:13">
      <c r="D53" s="576">
        <v>17434</v>
      </c>
      <c r="E53" s="483" t="s">
        <v>833</v>
      </c>
      <c r="F53" s="483" t="s">
        <v>834</v>
      </c>
      <c r="G53" s="483" t="s">
        <v>953</v>
      </c>
      <c r="H53" s="483" t="s">
        <v>953</v>
      </c>
      <c r="I53" s="483" t="s">
        <v>847</v>
      </c>
      <c r="J53" s="483" t="s">
        <v>848</v>
      </c>
      <c r="K53" s="483" t="s">
        <v>936</v>
      </c>
      <c r="L53" s="483" t="s">
        <v>149</v>
      </c>
      <c r="M53" s="577" t="s">
        <v>840</v>
      </c>
    </row>
    <row r="54" spans="4:13">
      <c r="D54" s="576">
        <v>17436</v>
      </c>
      <c r="E54" s="483" t="s">
        <v>833</v>
      </c>
      <c r="F54" s="483" t="s">
        <v>834</v>
      </c>
      <c r="G54" s="483" t="s">
        <v>954</v>
      </c>
      <c r="H54" s="483" t="s">
        <v>954</v>
      </c>
      <c r="I54" s="483" t="s">
        <v>851</v>
      </c>
      <c r="J54" s="483" t="s">
        <v>852</v>
      </c>
      <c r="K54" s="483" t="s">
        <v>936</v>
      </c>
      <c r="L54" s="483" t="s">
        <v>149</v>
      </c>
      <c r="M54" s="577" t="s">
        <v>840</v>
      </c>
    </row>
    <row r="55" spans="4:13">
      <c r="D55" s="576">
        <v>17412</v>
      </c>
      <c r="E55" s="483" t="s">
        <v>833</v>
      </c>
      <c r="F55" s="483" t="s">
        <v>834</v>
      </c>
      <c r="G55" s="483" t="s">
        <v>938</v>
      </c>
      <c r="H55" s="483" t="s">
        <v>938</v>
      </c>
      <c r="I55" s="483" t="s">
        <v>893</v>
      </c>
      <c r="J55" s="483" t="s">
        <v>894</v>
      </c>
      <c r="K55" s="483" t="s">
        <v>936</v>
      </c>
      <c r="L55" s="483" t="s">
        <v>149</v>
      </c>
      <c r="M55" s="577" t="s">
        <v>840</v>
      </c>
    </row>
    <row r="56" spans="4:13">
      <c r="D56" s="576">
        <v>17414</v>
      </c>
      <c r="E56" s="483" t="s">
        <v>833</v>
      </c>
      <c r="F56" s="483" t="s">
        <v>834</v>
      </c>
      <c r="G56" s="483" t="s">
        <v>939</v>
      </c>
      <c r="H56" s="483" t="s">
        <v>939</v>
      </c>
      <c r="I56" s="483" t="s">
        <v>940</v>
      </c>
      <c r="J56" s="483" t="s">
        <v>941</v>
      </c>
      <c r="K56" s="483" t="s">
        <v>936</v>
      </c>
      <c r="L56" s="483" t="s">
        <v>149</v>
      </c>
      <c r="M56" s="577" t="s">
        <v>840</v>
      </c>
    </row>
    <row r="57" spans="4:13">
      <c r="D57" s="576">
        <v>17416</v>
      </c>
      <c r="E57" s="483" t="s">
        <v>833</v>
      </c>
      <c r="F57" s="483" t="s">
        <v>834</v>
      </c>
      <c r="G57" s="483" t="s">
        <v>942</v>
      </c>
      <c r="H57" s="483" t="s">
        <v>942</v>
      </c>
      <c r="I57" s="483" t="s">
        <v>943</v>
      </c>
      <c r="J57" s="483" t="s">
        <v>944</v>
      </c>
      <c r="K57" s="483" t="s">
        <v>936</v>
      </c>
      <c r="L57" s="483" t="s">
        <v>149</v>
      </c>
      <c r="M57" s="577" t="s">
        <v>840</v>
      </c>
    </row>
    <row r="58" spans="4:13">
      <c r="D58" s="576">
        <v>17418</v>
      </c>
      <c r="E58" s="483" t="s">
        <v>833</v>
      </c>
      <c r="F58" s="483" t="s">
        <v>834</v>
      </c>
      <c r="G58" s="483" t="s">
        <v>945</v>
      </c>
      <c r="H58" s="483" t="s">
        <v>945</v>
      </c>
      <c r="I58" s="483" t="s">
        <v>943</v>
      </c>
      <c r="J58" s="483" t="s">
        <v>944</v>
      </c>
      <c r="K58" s="483" t="s">
        <v>936</v>
      </c>
      <c r="L58" s="483" t="s">
        <v>149</v>
      </c>
      <c r="M58" s="577" t="s">
        <v>840</v>
      </c>
    </row>
    <row r="59" spans="4:13">
      <c r="D59" s="576">
        <v>16076</v>
      </c>
      <c r="E59" s="483" t="s">
        <v>833</v>
      </c>
      <c r="F59" s="483" t="s">
        <v>834</v>
      </c>
      <c r="G59" s="483" t="s">
        <v>865</v>
      </c>
      <c r="H59" s="483" t="s">
        <v>866</v>
      </c>
      <c r="I59" s="483" t="s">
        <v>843</v>
      </c>
      <c r="J59" s="483" t="s">
        <v>844</v>
      </c>
      <c r="K59" s="483" t="s">
        <v>839</v>
      </c>
      <c r="L59" s="483" t="s">
        <v>132</v>
      </c>
      <c r="M59" s="577" t="s">
        <v>840</v>
      </c>
    </row>
    <row r="60" spans="4:13">
      <c r="D60" s="576">
        <v>16302</v>
      </c>
      <c r="E60" s="483" t="s">
        <v>833</v>
      </c>
      <c r="F60" s="483" t="s">
        <v>834</v>
      </c>
      <c r="G60" s="483" t="s">
        <v>911</v>
      </c>
      <c r="H60" s="483" t="s">
        <v>912</v>
      </c>
      <c r="I60" s="483" t="s">
        <v>843</v>
      </c>
      <c r="J60" s="483" t="s">
        <v>844</v>
      </c>
      <c r="K60" s="483" t="s">
        <v>839</v>
      </c>
      <c r="L60" s="483" t="s">
        <v>132</v>
      </c>
      <c r="M60" s="577" t="s">
        <v>840</v>
      </c>
    </row>
    <row r="61" spans="4:13">
      <c r="D61" s="576">
        <v>16310</v>
      </c>
      <c r="E61" s="483" t="s">
        <v>833</v>
      </c>
      <c r="F61" s="483" t="s">
        <v>834</v>
      </c>
      <c r="G61" s="483" t="s">
        <v>919</v>
      </c>
      <c r="H61" s="483" t="s">
        <v>920</v>
      </c>
      <c r="I61" s="483" t="s">
        <v>843</v>
      </c>
      <c r="J61" s="483" t="s">
        <v>844</v>
      </c>
      <c r="K61" s="483" t="s">
        <v>839</v>
      </c>
      <c r="L61" s="483" t="s">
        <v>132</v>
      </c>
      <c r="M61" s="577" t="s">
        <v>840</v>
      </c>
    </row>
    <row r="62" spans="4:13">
      <c r="D62" s="576">
        <v>16314</v>
      </c>
      <c r="E62" s="483" t="s">
        <v>833</v>
      </c>
      <c r="F62" s="483" t="s">
        <v>834</v>
      </c>
      <c r="G62" s="483" t="s">
        <v>923</v>
      </c>
      <c r="H62" s="483" t="s">
        <v>924</v>
      </c>
      <c r="I62" s="483" t="s">
        <v>851</v>
      </c>
      <c r="J62" s="483" t="s">
        <v>852</v>
      </c>
      <c r="K62" s="483" t="s">
        <v>839</v>
      </c>
      <c r="L62" s="483" t="s">
        <v>132</v>
      </c>
      <c r="M62" s="577" t="s">
        <v>840</v>
      </c>
    </row>
    <row r="63" spans="4:13">
      <c r="D63" s="576">
        <v>17438</v>
      </c>
      <c r="E63" s="483" t="s">
        <v>833</v>
      </c>
      <c r="F63" s="483" t="s">
        <v>834</v>
      </c>
      <c r="G63" s="483" t="s">
        <v>955</v>
      </c>
      <c r="H63" s="483" t="s">
        <v>955</v>
      </c>
      <c r="I63" s="483" t="s">
        <v>847</v>
      </c>
      <c r="J63" s="483" t="s">
        <v>848</v>
      </c>
      <c r="K63" s="483" t="s">
        <v>936</v>
      </c>
      <c r="L63" s="483" t="s">
        <v>149</v>
      </c>
      <c r="M63" s="577" t="s">
        <v>840</v>
      </c>
    </row>
    <row r="64" spans="4:13">
      <c r="D64" s="576">
        <v>17440</v>
      </c>
      <c r="E64" s="483" t="s">
        <v>833</v>
      </c>
      <c r="F64" s="483" t="s">
        <v>834</v>
      </c>
      <c r="G64" s="483" t="s">
        <v>956</v>
      </c>
      <c r="H64" s="483" t="s">
        <v>956</v>
      </c>
      <c r="I64" s="483" t="s">
        <v>847</v>
      </c>
      <c r="J64" s="483" t="s">
        <v>848</v>
      </c>
      <c r="K64" s="483" t="s">
        <v>936</v>
      </c>
      <c r="L64" s="483" t="s">
        <v>149</v>
      </c>
      <c r="M64" s="577" t="s">
        <v>840</v>
      </c>
    </row>
    <row r="65" spans="4:13">
      <c r="D65" s="576">
        <v>17442</v>
      </c>
      <c r="E65" s="483" t="s">
        <v>833</v>
      </c>
      <c r="F65" s="483" t="s">
        <v>834</v>
      </c>
      <c r="G65" s="483" t="s">
        <v>957</v>
      </c>
      <c r="H65" s="483" t="s">
        <v>957</v>
      </c>
      <c r="I65" s="483" t="s">
        <v>847</v>
      </c>
      <c r="J65" s="483" t="s">
        <v>848</v>
      </c>
      <c r="K65" s="483" t="s">
        <v>936</v>
      </c>
      <c r="L65" s="483" t="s">
        <v>149</v>
      </c>
      <c r="M65" s="577" t="s">
        <v>840</v>
      </c>
    </row>
    <row r="66" spans="4:13">
      <c r="D66" s="576">
        <v>17444</v>
      </c>
      <c r="E66" s="483" t="s">
        <v>833</v>
      </c>
      <c r="F66" s="483" t="s">
        <v>834</v>
      </c>
      <c r="G66" s="483" t="s">
        <v>958</v>
      </c>
      <c r="H66" s="483" t="s">
        <v>958</v>
      </c>
      <c r="I66" s="483" t="s">
        <v>847</v>
      </c>
      <c r="J66" s="483" t="s">
        <v>848</v>
      </c>
      <c r="K66" s="483" t="s">
        <v>936</v>
      </c>
      <c r="L66" s="483" t="s">
        <v>149</v>
      </c>
      <c r="M66" s="577" t="s">
        <v>840</v>
      </c>
    </row>
    <row r="67" spans="4:13">
      <c r="D67" s="576">
        <v>16080</v>
      </c>
      <c r="E67" s="483" t="s">
        <v>833</v>
      </c>
      <c r="F67" s="483" t="s">
        <v>834</v>
      </c>
      <c r="G67" s="483" t="s">
        <v>869</v>
      </c>
      <c r="H67" s="483" t="s">
        <v>870</v>
      </c>
      <c r="I67" s="483" t="s">
        <v>863</v>
      </c>
      <c r="J67" s="483" t="s">
        <v>864</v>
      </c>
      <c r="K67" s="483" t="s">
        <v>839</v>
      </c>
      <c r="L67" s="483" t="s">
        <v>132</v>
      </c>
      <c r="M67" s="577" t="s">
        <v>840</v>
      </c>
    </row>
    <row r="68" spans="4:13">
      <c r="D68" s="576">
        <v>16082</v>
      </c>
      <c r="E68" s="483" t="s">
        <v>833</v>
      </c>
      <c r="F68" s="483" t="s">
        <v>834</v>
      </c>
      <c r="G68" s="483" t="s">
        <v>871</v>
      </c>
      <c r="H68" s="483" t="s">
        <v>872</v>
      </c>
      <c r="I68" s="483" t="s">
        <v>843</v>
      </c>
      <c r="J68" s="483" t="s">
        <v>844</v>
      </c>
      <c r="K68" s="483" t="s">
        <v>839</v>
      </c>
      <c r="L68" s="483" t="s">
        <v>132</v>
      </c>
      <c r="M68" s="577" t="s">
        <v>840</v>
      </c>
    </row>
    <row r="69" spans="4:13">
      <c r="D69" s="576">
        <v>16084</v>
      </c>
      <c r="E69" s="483" t="s">
        <v>833</v>
      </c>
      <c r="F69" s="483" t="s">
        <v>834</v>
      </c>
      <c r="G69" s="483" t="s">
        <v>873</v>
      </c>
      <c r="H69" s="483" t="s">
        <v>874</v>
      </c>
      <c r="I69" s="483" t="s">
        <v>847</v>
      </c>
      <c r="J69" s="483" t="s">
        <v>848</v>
      </c>
      <c r="K69" s="483" t="s">
        <v>839</v>
      </c>
      <c r="L69" s="483" t="s">
        <v>132</v>
      </c>
      <c r="M69" s="577" t="s">
        <v>840</v>
      </c>
    </row>
    <row r="70" spans="4:13">
      <c r="D70" s="576">
        <v>16588</v>
      </c>
      <c r="E70" s="483" t="s">
        <v>833</v>
      </c>
      <c r="F70" s="483" t="s">
        <v>834</v>
      </c>
      <c r="G70" s="483" t="s">
        <v>925</v>
      </c>
      <c r="H70" s="483" t="s">
        <v>926</v>
      </c>
      <c r="I70" s="483" t="s">
        <v>837</v>
      </c>
      <c r="J70" s="483" t="s">
        <v>838</v>
      </c>
      <c r="K70" s="483" t="s">
        <v>839</v>
      </c>
      <c r="L70" s="483" t="s">
        <v>132</v>
      </c>
      <c r="M70" s="577" t="s">
        <v>840</v>
      </c>
    </row>
    <row r="71" spans="4:13">
      <c r="D71" s="576">
        <v>16590</v>
      </c>
      <c r="E71" s="483" t="s">
        <v>833</v>
      </c>
      <c r="F71" s="483" t="s">
        <v>834</v>
      </c>
      <c r="G71" s="483" t="s">
        <v>629</v>
      </c>
      <c r="H71" s="483" t="s">
        <v>927</v>
      </c>
      <c r="I71" s="483" t="s">
        <v>843</v>
      </c>
      <c r="J71" s="483" t="s">
        <v>844</v>
      </c>
      <c r="K71" s="483" t="s">
        <v>839</v>
      </c>
      <c r="L71" s="483" t="s">
        <v>132</v>
      </c>
      <c r="M71" s="577" t="s">
        <v>840</v>
      </c>
    </row>
    <row r="72" spans="4:13">
      <c r="D72" s="576">
        <v>16592</v>
      </c>
      <c r="E72" s="483" t="s">
        <v>833</v>
      </c>
      <c r="F72" s="483" t="s">
        <v>834</v>
      </c>
      <c r="G72" s="483" t="s">
        <v>928</v>
      </c>
      <c r="H72" s="483" t="s">
        <v>929</v>
      </c>
      <c r="I72" s="483" t="s">
        <v>843</v>
      </c>
      <c r="J72" s="483" t="s">
        <v>844</v>
      </c>
      <c r="K72" s="483" t="s">
        <v>839</v>
      </c>
      <c r="L72" s="483" t="s">
        <v>132</v>
      </c>
      <c r="M72" s="577" t="s">
        <v>840</v>
      </c>
    </row>
    <row r="73" spans="4:13">
      <c r="D73" s="576">
        <v>16594</v>
      </c>
      <c r="E73" s="483" t="s">
        <v>833</v>
      </c>
      <c r="F73" s="483" t="s">
        <v>834</v>
      </c>
      <c r="G73" s="483" t="s">
        <v>639</v>
      </c>
      <c r="H73" s="483" t="s">
        <v>930</v>
      </c>
      <c r="I73" s="483" t="s">
        <v>847</v>
      </c>
      <c r="J73" s="483" t="s">
        <v>848</v>
      </c>
      <c r="K73" s="483" t="s">
        <v>839</v>
      </c>
      <c r="L73" s="483" t="s">
        <v>132</v>
      </c>
      <c r="M73" s="577" t="s">
        <v>840</v>
      </c>
    </row>
    <row r="74" spans="4:13">
      <c r="D74" s="576">
        <v>16596</v>
      </c>
      <c r="E74" s="483" t="s">
        <v>833</v>
      </c>
      <c r="F74" s="483" t="s">
        <v>834</v>
      </c>
      <c r="G74" s="483" t="s">
        <v>931</v>
      </c>
      <c r="H74" s="483" t="s">
        <v>932</v>
      </c>
      <c r="I74" s="483" t="s">
        <v>851</v>
      </c>
      <c r="J74" s="483" t="s">
        <v>852</v>
      </c>
      <c r="K74" s="483" t="s">
        <v>839</v>
      </c>
      <c r="L74" s="483" t="s">
        <v>132</v>
      </c>
      <c r="M74" s="577" t="s">
        <v>840</v>
      </c>
    </row>
    <row r="75" spans="4:13">
      <c r="D75" s="576">
        <v>16598</v>
      </c>
      <c r="E75" s="483" t="s">
        <v>833</v>
      </c>
      <c r="F75" s="483" t="s">
        <v>834</v>
      </c>
      <c r="G75" s="483" t="s">
        <v>933</v>
      </c>
      <c r="H75" s="483" t="s">
        <v>934</v>
      </c>
      <c r="I75" s="483" t="s">
        <v>855</v>
      </c>
      <c r="J75" s="483" t="s">
        <v>856</v>
      </c>
      <c r="K75" s="483" t="s">
        <v>839</v>
      </c>
      <c r="L75" s="483" t="s">
        <v>132</v>
      </c>
      <c r="M75" s="577" t="s">
        <v>840</v>
      </c>
    </row>
    <row r="76" spans="4:13">
      <c r="D76" s="576">
        <v>19146</v>
      </c>
      <c r="E76" s="483" t="s">
        <v>833</v>
      </c>
      <c r="F76" s="483" t="s">
        <v>834</v>
      </c>
      <c r="G76" s="483" t="s">
        <v>1027</v>
      </c>
      <c r="H76" s="483" t="s">
        <v>1028</v>
      </c>
      <c r="I76" s="483" t="s">
        <v>837</v>
      </c>
      <c r="J76" s="483" t="s">
        <v>1029</v>
      </c>
      <c r="K76" s="483" t="s">
        <v>839</v>
      </c>
      <c r="L76" s="483" t="s">
        <v>132</v>
      </c>
      <c r="M76" s="577" t="s">
        <v>1030</v>
      </c>
    </row>
    <row r="77" spans="4:13">
      <c r="D77" s="576">
        <v>19216</v>
      </c>
      <c r="E77" s="483" t="s">
        <v>833</v>
      </c>
      <c r="F77" s="483" t="s">
        <v>834</v>
      </c>
      <c r="G77" s="483" t="s">
        <v>1035</v>
      </c>
      <c r="H77" s="483" t="s">
        <v>1036</v>
      </c>
      <c r="I77" s="483" t="s">
        <v>863</v>
      </c>
      <c r="J77" s="483" t="s">
        <v>864</v>
      </c>
      <c r="K77" s="483" t="s">
        <v>839</v>
      </c>
      <c r="L77" s="483" t="s">
        <v>132</v>
      </c>
      <c r="M77" s="577" t="s">
        <v>1030</v>
      </c>
    </row>
    <row r="78" spans="4:13">
      <c r="D78" s="576">
        <v>19214</v>
      </c>
      <c r="E78" s="483" t="s">
        <v>833</v>
      </c>
      <c r="F78" s="483" t="s">
        <v>834</v>
      </c>
      <c r="G78" s="483" t="s">
        <v>1031</v>
      </c>
      <c r="H78" s="483" t="s">
        <v>1032</v>
      </c>
      <c r="I78" s="483" t="s">
        <v>1033</v>
      </c>
      <c r="J78" s="483" t="s">
        <v>1034</v>
      </c>
      <c r="K78" s="483" t="s">
        <v>839</v>
      </c>
      <c r="L78" s="483" t="s">
        <v>132</v>
      </c>
      <c r="M78" s="577" t="s">
        <v>1030</v>
      </c>
    </row>
    <row r="79" spans="4:13">
      <c r="D79" s="576">
        <v>17678</v>
      </c>
      <c r="E79" s="483" t="s">
        <v>833</v>
      </c>
      <c r="F79" s="483" t="s">
        <v>834</v>
      </c>
      <c r="G79" s="483" t="s">
        <v>1005</v>
      </c>
      <c r="H79" s="483" t="s">
        <v>1005</v>
      </c>
      <c r="I79" s="483" t="s">
        <v>847</v>
      </c>
      <c r="J79" s="483" t="s">
        <v>848</v>
      </c>
      <c r="K79" s="483" t="s">
        <v>839</v>
      </c>
      <c r="L79" s="483" t="s">
        <v>132</v>
      </c>
      <c r="M79" s="577" t="s">
        <v>840</v>
      </c>
    </row>
    <row r="80" spans="4:13">
      <c r="D80" s="576">
        <v>17696</v>
      </c>
      <c r="E80" s="483" t="s">
        <v>833</v>
      </c>
      <c r="F80" s="483" t="s">
        <v>834</v>
      </c>
      <c r="G80" s="483" t="s">
        <v>1014</v>
      </c>
      <c r="H80" s="483" t="s">
        <v>1014</v>
      </c>
      <c r="I80" s="483" t="s">
        <v>851</v>
      </c>
      <c r="J80" s="483" t="s">
        <v>852</v>
      </c>
      <c r="K80" s="483" t="s">
        <v>839</v>
      </c>
      <c r="L80" s="483" t="s">
        <v>132</v>
      </c>
      <c r="M80" s="577" t="s">
        <v>840</v>
      </c>
    </row>
    <row r="81" spans="4:13">
      <c r="D81" s="576">
        <v>17698</v>
      </c>
      <c r="E81" s="483" t="s">
        <v>833</v>
      </c>
      <c r="F81" s="483" t="s">
        <v>834</v>
      </c>
      <c r="G81" s="483" t="s">
        <v>1015</v>
      </c>
      <c r="H81" s="483" t="s">
        <v>1015</v>
      </c>
      <c r="I81" s="483" t="s">
        <v>863</v>
      </c>
      <c r="J81" s="483" t="s">
        <v>864</v>
      </c>
      <c r="K81" s="483" t="s">
        <v>839</v>
      </c>
      <c r="L81" s="483" t="s">
        <v>132</v>
      </c>
      <c r="M81" s="577" t="s">
        <v>840</v>
      </c>
    </row>
    <row r="82" spans="4:13">
      <c r="D82" s="576">
        <v>17700</v>
      </c>
      <c r="E82" s="483" t="s">
        <v>833</v>
      </c>
      <c r="F82" s="483" t="s">
        <v>834</v>
      </c>
      <c r="G82" s="483" t="s">
        <v>1016</v>
      </c>
      <c r="H82" s="483" t="s">
        <v>1016</v>
      </c>
      <c r="I82" s="483" t="s">
        <v>863</v>
      </c>
      <c r="J82" s="483" t="s">
        <v>864</v>
      </c>
      <c r="K82" s="483" t="s">
        <v>839</v>
      </c>
      <c r="L82" s="483" t="s">
        <v>132</v>
      </c>
      <c r="M82" s="577" t="s">
        <v>840</v>
      </c>
    </row>
    <row r="83" spans="4:13">
      <c r="D83" s="576">
        <v>17680</v>
      </c>
      <c r="E83" s="483" t="s">
        <v>833</v>
      </c>
      <c r="F83" s="483" t="s">
        <v>834</v>
      </c>
      <c r="G83" s="483" t="s">
        <v>1006</v>
      </c>
      <c r="H83" s="483" t="s">
        <v>1006</v>
      </c>
      <c r="I83" s="483" t="s">
        <v>843</v>
      </c>
      <c r="J83" s="483" t="s">
        <v>844</v>
      </c>
      <c r="K83" s="483" t="s">
        <v>839</v>
      </c>
      <c r="L83" s="483" t="s">
        <v>132</v>
      </c>
      <c r="M83" s="577" t="s">
        <v>840</v>
      </c>
    </row>
    <row r="84" spans="4:13">
      <c r="D84" s="576">
        <v>17682</v>
      </c>
      <c r="E84" s="483" t="s">
        <v>833</v>
      </c>
      <c r="F84" s="483" t="s">
        <v>834</v>
      </c>
      <c r="G84" s="483" t="s">
        <v>1007</v>
      </c>
      <c r="H84" s="483" t="s">
        <v>1007</v>
      </c>
      <c r="I84" s="483" t="s">
        <v>847</v>
      </c>
      <c r="J84" s="483" t="s">
        <v>848</v>
      </c>
      <c r="K84" s="483" t="s">
        <v>839</v>
      </c>
      <c r="L84" s="483" t="s">
        <v>132</v>
      </c>
      <c r="M84" s="577" t="s">
        <v>840</v>
      </c>
    </row>
    <row r="85" spans="4:13">
      <c r="D85" s="576">
        <v>17684</v>
      </c>
      <c r="E85" s="483" t="s">
        <v>833</v>
      </c>
      <c r="F85" s="483" t="s">
        <v>834</v>
      </c>
      <c r="G85" s="483" t="s">
        <v>1008</v>
      </c>
      <c r="H85" s="483" t="s">
        <v>1008</v>
      </c>
      <c r="I85" s="483" t="s">
        <v>847</v>
      </c>
      <c r="J85" s="483" t="s">
        <v>848</v>
      </c>
      <c r="K85" s="483" t="s">
        <v>839</v>
      </c>
      <c r="L85" s="483" t="s">
        <v>132</v>
      </c>
      <c r="M85" s="577" t="s">
        <v>840</v>
      </c>
    </row>
    <row r="86" spans="4:13">
      <c r="D86" s="576">
        <v>17686</v>
      </c>
      <c r="E86" s="483" t="s">
        <v>833</v>
      </c>
      <c r="F86" s="483" t="s">
        <v>834</v>
      </c>
      <c r="G86" s="483" t="s">
        <v>1009</v>
      </c>
      <c r="H86" s="483" t="s">
        <v>1009</v>
      </c>
      <c r="I86" s="483" t="s">
        <v>847</v>
      </c>
      <c r="J86" s="483" t="s">
        <v>848</v>
      </c>
      <c r="K86" s="483" t="s">
        <v>839</v>
      </c>
      <c r="L86" s="483" t="s">
        <v>132</v>
      </c>
      <c r="M86" s="577" t="s">
        <v>840</v>
      </c>
    </row>
    <row r="87" spans="4:13">
      <c r="D87" s="576">
        <v>17688</v>
      </c>
      <c r="E87" s="483" t="s">
        <v>833</v>
      </c>
      <c r="F87" s="483" t="s">
        <v>834</v>
      </c>
      <c r="G87" s="483" t="s">
        <v>1010</v>
      </c>
      <c r="H87" s="483" t="s">
        <v>1010</v>
      </c>
      <c r="I87" s="483" t="s">
        <v>843</v>
      </c>
      <c r="J87" s="483" t="s">
        <v>844</v>
      </c>
      <c r="K87" s="483" t="s">
        <v>839</v>
      </c>
      <c r="L87" s="483" t="s">
        <v>132</v>
      </c>
      <c r="M87" s="577" t="s">
        <v>840</v>
      </c>
    </row>
    <row r="88" spans="4:13">
      <c r="D88" s="576">
        <v>17690</v>
      </c>
      <c r="E88" s="483" t="s">
        <v>833</v>
      </c>
      <c r="F88" s="483" t="s">
        <v>834</v>
      </c>
      <c r="G88" s="483" t="s">
        <v>1011</v>
      </c>
      <c r="H88" s="483" t="s">
        <v>1011</v>
      </c>
      <c r="I88" s="483" t="s">
        <v>997</v>
      </c>
      <c r="J88" s="483" t="s">
        <v>998</v>
      </c>
      <c r="K88" s="483" t="s">
        <v>839</v>
      </c>
      <c r="L88" s="483" t="s">
        <v>132</v>
      </c>
      <c r="M88" s="577" t="s">
        <v>840</v>
      </c>
    </row>
    <row r="89" spans="4:13">
      <c r="D89" s="576">
        <v>17692</v>
      </c>
      <c r="E89" s="483" t="s">
        <v>833</v>
      </c>
      <c r="F89" s="483" t="s">
        <v>834</v>
      </c>
      <c r="G89" s="483" t="s">
        <v>1012</v>
      </c>
      <c r="H89" s="483" t="s">
        <v>1012</v>
      </c>
      <c r="I89" s="483" t="s">
        <v>997</v>
      </c>
      <c r="J89" s="483" t="s">
        <v>998</v>
      </c>
      <c r="K89" s="483" t="s">
        <v>839</v>
      </c>
      <c r="L89" s="483" t="s">
        <v>132</v>
      </c>
      <c r="M89" s="577" t="s">
        <v>840</v>
      </c>
    </row>
    <row r="90" spans="4:13">
      <c r="D90" s="576">
        <v>17694</v>
      </c>
      <c r="E90" s="483" t="s">
        <v>833</v>
      </c>
      <c r="F90" s="483" t="s">
        <v>834</v>
      </c>
      <c r="G90" s="483" t="s">
        <v>1013</v>
      </c>
      <c r="H90" s="483" t="s">
        <v>1013</v>
      </c>
      <c r="I90" s="483" t="s">
        <v>847</v>
      </c>
      <c r="J90" s="483" t="s">
        <v>848</v>
      </c>
      <c r="K90" s="483" t="s">
        <v>839</v>
      </c>
      <c r="L90" s="483" t="s">
        <v>132</v>
      </c>
      <c r="M90" s="577" t="s">
        <v>840</v>
      </c>
    </row>
    <row r="91" spans="4:13">
      <c r="D91" s="576">
        <v>17654</v>
      </c>
      <c r="E91" s="483" t="s">
        <v>833</v>
      </c>
      <c r="F91" s="483" t="s">
        <v>834</v>
      </c>
      <c r="G91" s="483" t="s">
        <v>991</v>
      </c>
      <c r="H91" s="483" t="s">
        <v>991</v>
      </c>
      <c r="I91" s="483" t="s">
        <v>843</v>
      </c>
      <c r="J91" s="483" t="s">
        <v>844</v>
      </c>
      <c r="K91" s="483" t="s">
        <v>839</v>
      </c>
      <c r="L91" s="483" t="s">
        <v>132</v>
      </c>
      <c r="M91" s="577" t="s">
        <v>840</v>
      </c>
    </row>
    <row r="92" spans="4:13">
      <c r="D92" s="576">
        <v>17672</v>
      </c>
      <c r="E92" s="483" t="s">
        <v>833</v>
      </c>
      <c r="F92" s="483" t="s">
        <v>834</v>
      </c>
      <c r="G92" s="483" t="s">
        <v>1002</v>
      </c>
      <c r="H92" s="483" t="s">
        <v>1002</v>
      </c>
      <c r="I92" s="483" t="s">
        <v>997</v>
      </c>
      <c r="J92" s="483" t="s">
        <v>998</v>
      </c>
      <c r="K92" s="483" t="s">
        <v>839</v>
      </c>
      <c r="L92" s="483" t="s">
        <v>132</v>
      </c>
      <c r="M92" s="577" t="s">
        <v>840</v>
      </c>
    </row>
    <row r="93" spans="4:13">
      <c r="D93" s="576">
        <v>17674</v>
      </c>
      <c r="E93" s="483" t="s">
        <v>833</v>
      </c>
      <c r="F93" s="483" t="s">
        <v>834</v>
      </c>
      <c r="G93" s="483" t="s">
        <v>1003</v>
      </c>
      <c r="H93" s="483" t="s">
        <v>1003</v>
      </c>
      <c r="I93" s="483" t="s">
        <v>843</v>
      </c>
      <c r="J93" s="483" t="s">
        <v>844</v>
      </c>
      <c r="K93" s="483" t="s">
        <v>839</v>
      </c>
      <c r="L93" s="483" t="s">
        <v>132</v>
      </c>
      <c r="M93" s="577" t="s">
        <v>840</v>
      </c>
    </row>
    <row r="94" spans="4:13">
      <c r="D94" s="576">
        <v>17676</v>
      </c>
      <c r="E94" s="483" t="s">
        <v>833</v>
      </c>
      <c r="F94" s="483" t="s">
        <v>834</v>
      </c>
      <c r="G94" s="483" t="s">
        <v>1004</v>
      </c>
      <c r="H94" s="483" t="s">
        <v>1004</v>
      </c>
      <c r="I94" s="483" t="s">
        <v>847</v>
      </c>
      <c r="J94" s="483" t="s">
        <v>848</v>
      </c>
      <c r="K94" s="483" t="s">
        <v>839</v>
      </c>
      <c r="L94" s="483" t="s">
        <v>132</v>
      </c>
      <c r="M94" s="577" t="s">
        <v>840</v>
      </c>
    </row>
    <row r="95" spans="4:13">
      <c r="D95" s="576">
        <v>17656</v>
      </c>
      <c r="E95" s="483" t="s">
        <v>833</v>
      </c>
      <c r="F95" s="483" t="s">
        <v>834</v>
      </c>
      <c r="G95" s="483" t="s">
        <v>992</v>
      </c>
      <c r="H95" s="483" t="s">
        <v>992</v>
      </c>
      <c r="I95" s="483" t="s">
        <v>843</v>
      </c>
      <c r="J95" s="483" t="s">
        <v>844</v>
      </c>
      <c r="K95" s="483" t="s">
        <v>839</v>
      </c>
      <c r="L95" s="483" t="s">
        <v>132</v>
      </c>
      <c r="M95" s="577" t="s">
        <v>840</v>
      </c>
    </row>
    <row r="96" spans="4:13">
      <c r="D96" s="576">
        <v>17658</v>
      </c>
      <c r="E96" s="483" t="s">
        <v>833</v>
      </c>
      <c r="F96" s="483" t="s">
        <v>834</v>
      </c>
      <c r="G96" s="483" t="s">
        <v>993</v>
      </c>
      <c r="H96" s="483" t="s">
        <v>993</v>
      </c>
      <c r="I96" s="483" t="s">
        <v>847</v>
      </c>
      <c r="J96" s="483" t="s">
        <v>848</v>
      </c>
      <c r="K96" s="483" t="s">
        <v>839</v>
      </c>
      <c r="L96" s="483" t="s">
        <v>132</v>
      </c>
      <c r="M96" s="577" t="s">
        <v>840</v>
      </c>
    </row>
    <row r="97" spans="4:13">
      <c r="D97" s="576">
        <v>17660</v>
      </c>
      <c r="E97" s="483" t="s">
        <v>833</v>
      </c>
      <c r="F97" s="483" t="s">
        <v>834</v>
      </c>
      <c r="G97" s="483" t="s">
        <v>994</v>
      </c>
      <c r="H97" s="483" t="s">
        <v>994</v>
      </c>
      <c r="I97" s="483" t="s">
        <v>843</v>
      </c>
      <c r="J97" s="483" t="s">
        <v>844</v>
      </c>
      <c r="K97" s="483" t="s">
        <v>839</v>
      </c>
      <c r="L97" s="483" t="s">
        <v>132</v>
      </c>
      <c r="M97" s="577" t="s">
        <v>840</v>
      </c>
    </row>
    <row r="98" spans="4:13">
      <c r="D98" s="576">
        <v>17662</v>
      </c>
      <c r="E98" s="483" t="s">
        <v>833</v>
      </c>
      <c r="F98" s="483" t="s">
        <v>834</v>
      </c>
      <c r="G98" s="483" t="s">
        <v>995</v>
      </c>
      <c r="H98" s="483" t="s">
        <v>995</v>
      </c>
      <c r="I98" s="483" t="s">
        <v>863</v>
      </c>
      <c r="J98" s="483" t="s">
        <v>864</v>
      </c>
      <c r="K98" s="483" t="s">
        <v>839</v>
      </c>
      <c r="L98" s="483" t="s">
        <v>132</v>
      </c>
      <c r="M98" s="577" t="s">
        <v>840</v>
      </c>
    </row>
    <row r="99" spans="4:13">
      <c r="D99" s="576">
        <v>17664</v>
      </c>
      <c r="E99" s="483" t="s">
        <v>833</v>
      </c>
      <c r="F99" s="483" t="s">
        <v>834</v>
      </c>
      <c r="G99" s="483" t="s">
        <v>996</v>
      </c>
      <c r="H99" s="483" t="s">
        <v>996</v>
      </c>
      <c r="I99" s="483" t="s">
        <v>997</v>
      </c>
      <c r="J99" s="483" t="s">
        <v>998</v>
      </c>
      <c r="K99" s="483" t="s">
        <v>839</v>
      </c>
      <c r="L99" s="483" t="s">
        <v>132</v>
      </c>
      <c r="M99" s="577" t="s">
        <v>840</v>
      </c>
    </row>
    <row r="100" spans="4:13">
      <c r="D100" s="576">
        <v>17666</v>
      </c>
      <c r="E100" s="483" t="s">
        <v>833</v>
      </c>
      <c r="F100" s="483" t="s">
        <v>834</v>
      </c>
      <c r="G100" s="483" t="s">
        <v>999</v>
      </c>
      <c r="H100" s="483" t="s">
        <v>999</v>
      </c>
      <c r="I100" s="483" t="s">
        <v>863</v>
      </c>
      <c r="J100" s="483" t="s">
        <v>864</v>
      </c>
      <c r="K100" s="483" t="s">
        <v>839</v>
      </c>
      <c r="L100" s="483" t="s">
        <v>132</v>
      </c>
      <c r="M100" s="577" t="s">
        <v>840</v>
      </c>
    </row>
    <row r="101" spans="4:13">
      <c r="D101" s="576">
        <v>17668</v>
      </c>
      <c r="E101" s="483" t="s">
        <v>833</v>
      </c>
      <c r="F101" s="483" t="s">
        <v>834</v>
      </c>
      <c r="G101" s="483" t="s">
        <v>1000</v>
      </c>
      <c r="H101" s="483" t="s">
        <v>1000</v>
      </c>
      <c r="I101" s="483" t="s">
        <v>863</v>
      </c>
      <c r="J101" s="483" t="s">
        <v>864</v>
      </c>
      <c r="K101" s="483" t="s">
        <v>839</v>
      </c>
      <c r="L101" s="483" t="s">
        <v>132</v>
      </c>
      <c r="M101" s="577" t="s">
        <v>840</v>
      </c>
    </row>
    <row r="102" spans="4:13">
      <c r="D102" s="576">
        <v>17670</v>
      </c>
      <c r="E102" s="483" t="s">
        <v>833</v>
      </c>
      <c r="F102" s="483" t="s">
        <v>834</v>
      </c>
      <c r="G102" s="483" t="s">
        <v>1001</v>
      </c>
      <c r="H102" s="483" t="s">
        <v>1001</v>
      </c>
      <c r="I102" s="483" t="s">
        <v>863</v>
      </c>
      <c r="J102" s="483" t="s">
        <v>864</v>
      </c>
      <c r="K102" s="483" t="s">
        <v>839</v>
      </c>
      <c r="L102" s="483" t="s">
        <v>132</v>
      </c>
      <c r="M102" s="577" t="s">
        <v>840</v>
      </c>
    </row>
    <row r="103" spans="4:13">
      <c r="D103" s="576">
        <v>17630</v>
      </c>
      <c r="E103" s="483" t="s">
        <v>833</v>
      </c>
      <c r="F103" s="483" t="s">
        <v>834</v>
      </c>
      <c r="G103" s="483" t="s">
        <v>979</v>
      </c>
      <c r="H103" s="483" t="s">
        <v>979</v>
      </c>
      <c r="I103" s="483" t="s">
        <v>843</v>
      </c>
      <c r="J103" s="483" t="s">
        <v>844</v>
      </c>
      <c r="K103" s="483" t="s">
        <v>839</v>
      </c>
      <c r="L103" s="483" t="s">
        <v>132</v>
      </c>
      <c r="M103" s="577" t="s">
        <v>840</v>
      </c>
    </row>
    <row r="104" spans="4:13">
      <c r="D104" s="576">
        <v>17648</v>
      </c>
      <c r="E104" s="483" t="s">
        <v>833</v>
      </c>
      <c r="F104" s="483" t="s">
        <v>834</v>
      </c>
      <c r="G104" s="483" t="s">
        <v>988</v>
      </c>
      <c r="H104" s="483" t="s">
        <v>988</v>
      </c>
      <c r="I104" s="483" t="s">
        <v>863</v>
      </c>
      <c r="J104" s="483" t="s">
        <v>864</v>
      </c>
      <c r="K104" s="483" t="s">
        <v>839</v>
      </c>
      <c r="L104" s="483" t="s">
        <v>132</v>
      </c>
      <c r="M104" s="577" t="s">
        <v>840</v>
      </c>
    </row>
    <row r="105" spans="4:13">
      <c r="D105" s="576">
        <v>17650</v>
      </c>
      <c r="E105" s="483" t="s">
        <v>833</v>
      </c>
      <c r="F105" s="483" t="s">
        <v>834</v>
      </c>
      <c r="G105" s="483" t="s">
        <v>989</v>
      </c>
      <c r="H105" s="483" t="s">
        <v>989</v>
      </c>
      <c r="I105" s="483" t="s">
        <v>843</v>
      </c>
      <c r="J105" s="483" t="s">
        <v>844</v>
      </c>
      <c r="K105" s="483" t="s">
        <v>839</v>
      </c>
      <c r="L105" s="483" t="s">
        <v>132</v>
      </c>
      <c r="M105" s="577" t="s">
        <v>840</v>
      </c>
    </row>
    <row r="106" spans="4:13">
      <c r="D106" s="576">
        <v>17652</v>
      </c>
      <c r="E106" s="483" t="s">
        <v>833</v>
      </c>
      <c r="F106" s="483" t="s">
        <v>834</v>
      </c>
      <c r="G106" s="483" t="s">
        <v>990</v>
      </c>
      <c r="H106" s="483" t="s">
        <v>990</v>
      </c>
      <c r="I106" s="483" t="s">
        <v>847</v>
      </c>
      <c r="J106" s="483" t="s">
        <v>848</v>
      </c>
      <c r="K106" s="483" t="s">
        <v>839</v>
      </c>
      <c r="L106" s="483" t="s">
        <v>132</v>
      </c>
      <c r="M106" s="577" t="s">
        <v>840</v>
      </c>
    </row>
    <row r="107" spans="4:13">
      <c r="D107" s="576">
        <v>17632</v>
      </c>
      <c r="E107" s="483" t="s">
        <v>833</v>
      </c>
      <c r="F107" s="483" t="s">
        <v>834</v>
      </c>
      <c r="G107" s="483" t="s">
        <v>980</v>
      </c>
      <c r="H107" s="483" t="s">
        <v>980</v>
      </c>
      <c r="I107" s="483" t="s">
        <v>843</v>
      </c>
      <c r="J107" s="483" t="s">
        <v>844</v>
      </c>
      <c r="K107" s="483" t="s">
        <v>839</v>
      </c>
      <c r="L107" s="483" t="s">
        <v>132</v>
      </c>
      <c r="M107" s="577" t="s">
        <v>840</v>
      </c>
    </row>
    <row r="108" spans="4:13">
      <c r="D108" s="576">
        <v>17634</v>
      </c>
      <c r="E108" s="483" t="s">
        <v>833</v>
      </c>
      <c r="F108" s="483" t="s">
        <v>834</v>
      </c>
      <c r="G108" s="483" t="s">
        <v>981</v>
      </c>
      <c r="H108" s="483" t="s">
        <v>981</v>
      </c>
      <c r="I108" s="483" t="s">
        <v>847</v>
      </c>
      <c r="J108" s="483" t="s">
        <v>848</v>
      </c>
      <c r="K108" s="483" t="s">
        <v>839</v>
      </c>
      <c r="L108" s="483" t="s">
        <v>132</v>
      </c>
      <c r="M108" s="577" t="s">
        <v>840</v>
      </c>
    </row>
    <row r="109" spans="4:13">
      <c r="D109" s="576">
        <v>17636</v>
      </c>
      <c r="E109" s="483" t="s">
        <v>833</v>
      </c>
      <c r="F109" s="483" t="s">
        <v>834</v>
      </c>
      <c r="G109" s="483" t="s">
        <v>982</v>
      </c>
      <c r="H109" s="483" t="s">
        <v>982</v>
      </c>
      <c r="I109" s="483" t="s">
        <v>863</v>
      </c>
      <c r="J109" s="483" t="s">
        <v>864</v>
      </c>
      <c r="K109" s="483" t="s">
        <v>839</v>
      </c>
      <c r="L109" s="483" t="s">
        <v>132</v>
      </c>
      <c r="M109" s="577" t="s">
        <v>840</v>
      </c>
    </row>
    <row r="110" spans="4:13">
      <c r="D110" s="576">
        <v>17638</v>
      </c>
      <c r="E110" s="483" t="s">
        <v>833</v>
      </c>
      <c r="F110" s="483" t="s">
        <v>834</v>
      </c>
      <c r="G110" s="483" t="s">
        <v>983</v>
      </c>
      <c r="H110" s="483" t="s">
        <v>983</v>
      </c>
      <c r="I110" s="483" t="s">
        <v>863</v>
      </c>
      <c r="J110" s="483" t="s">
        <v>864</v>
      </c>
      <c r="K110" s="483" t="s">
        <v>839</v>
      </c>
      <c r="L110" s="483" t="s">
        <v>132</v>
      </c>
      <c r="M110" s="577" t="s">
        <v>840</v>
      </c>
    </row>
    <row r="111" spans="4:13">
      <c r="D111" s="576">
        <v>17640</v>
      </c>
      <c r="E111" s="483" t="s">
        <v>833</v>
      </c>
      <c r="F111" s="483" t="s">
        <v>834</v>
      </c>
      <c r="G111" s="483" t="s">
        <v>984</v>
      </c>
      <c r="H111" s="483" t="s">
        <v>984</v>
      </c>
      <c r="I111" s="483" t="s">
        <v>863</v>
      </c>
      <c r="J111" s="483" t="s">
        <v>864</v>
      </c>
      <c r="K111" s="483" t="s">
        <v>839</v>
      </c>
      <c r="L111" s="483" t="s">
        <v>132</v>
      </c>
      <c r="M111" s="577" t="s">
        <v>840</v>
      </c>
    </row>
    <row r="112" spans="4:13">
      <c r="D112" s="576">
        <v>17642</v>
      </c>
      <c r="E112" s="483" t="s">
        <v>833</v>
      </c>
      <c r="F112" s="483" t="s">
        <v>834</v>
      </c>
      <c r="G112" s="483" t="s">
        <v>985</v>
      </c>
      <c r="H112" s="483" t="s">
        <v>985</v>
      </c>
      <c r="I112" s="483" t="s">
        <v>863</v>
      </c>
      <c r="J112" s="483" t="s">
        <v>864</v>
      </c>
      <c r="K112" s="483" t="s">
        <v>839</v>
      </c>
      <c r="L112" s="483" t="s">
        <v>132</v>
      </c>
      <c r="M112" s="577" t="s">
        <v>840</v>
      </c>
    </row>
    <row r="113" spans="4:13">
      <c r="D113" s="576">
        <v>17644</v>
      </c>
      <c r="E113" s="483" t="s">
        <v>833</v>
      </c>
      <c r="F113" s="483" t="s">
        <v>834</v>
      </c>
      <c r="G113" s="483" t="s">
        <v>986</v>
      </c>
      <c r="H113" s="483" t="s">
        <v>986</v>
      </c>
      <c r="I113" s="483" t="s">
        <v>863</v>
      </c>
      <c r="J113" s="483" t="s">
        <v>864</v>
      </c>
      <c r="K113" s="483" t="s">
        <v>839</v>
      </c>
      <c r="L113" s="483" t="s">
        <v>132</v>
      </c>
      <c r="M113" s="577" t="s">
        <v>840</v>
      </c>
    </row>
    <row r="114" spans="4:13">
      <c r="D114" s="576">
        <v>17646</v>
      </c>
      <c r="E114" s="483" t="s">
        <v>833</v>
      </c>
      <c r="F114" s="483" t="s">
        <v>834</v>
      </c>
      <c r="G114" s="483" t="s">
        <v>987</v>
      </c>
      <c r="H114" s="483" t="s">
        <v>987</v>
      </c>
      <c r="I114" s="483" t="s">
        <v>863</v>
      </c>
      <c r="J114" s="483" t="s">
        <v>864</v>
      </c>
      <c r="K114" s="483" t="s">
        <v>839</v>
      </c>
      <c r="L114" s="483" t="s">
        <v>132</v>
      </c>
      <c r="M114" s="577" t="s">
        <v>840</v>
      </c>
    </row>
    <row r="115" spans="4:13">
      <c r="D115" s="576">
        <v>16086</v>
      </c>
      <c r="E115" s="483" t="s">
        <v>833</v>
      </c>
      <c r="F115" s="483" t="s">
        <v>834</v>
      </c>
      <c r="G115" s="483" t="s">
        <v>875</v>
      </c>
      <c r="H115" s="483" t="s">
        <v>876</v>
      </c>
      <c r="I115" s="483" t="s">
        <v>863</v>
      </c>
      <c r="J115" s="483" t="s">
        <v>864</v>
      </c>
      <c r="K115" s="483" t="s">
        <v>839</v>
      </c>
      <c r="L115" s="483" t="s">
        <v>132</v>
      </c>
      <c r="M115" s="577" t="s">
        <v>840</v>
      </c>
    </row>
    <row r="116" spans="4:13">
      <c r="D116" s="576">
        <v>16088</v>
      </c>
      <c r="E116" s="483" t="s">
        <v>833</v>
      </c>
      <c r="F116" s="483" t="s">
        <v>834</v>
      </c>
      <c r="G116" s="483" t="s">
        <v>877</v>
      </c>
      <c r="H116" s="483" t="s">
        <v>878</v>
      </c>
      <c r="I116" s="483" t="s">
        <v>843</v>
      </c>
      <c r="J116" s="483" t="s">
        <v>844</v>
      </c>
      <c r="K116" s="483" t="s">
        <v>839</v>
      </c>
      <c r="L116" s="483" t="s">
        <v>132</v>
      </c>
      <c r="M116" s="577" t="s">
        <v>840</v>
      </c>
    </row>
    <row r="117" spans="4:13">
      <c r="D117" s="576">
        <v>16090</v>
      </c>
      <c r="E117" s="483" t="s">
        <v>833</v>
      </c>
      <c r="F117" s="483" t="s">
        <v>834</v>
      </c>
      <c r="G117" s="483" t="s">
        <v>879</v>
      </c>
      <c r="H117" s="483" t="s">
        <v>880</v>
      </c>
      <c r="I117" s="483" t="s">
        <v>847</v>
      </c>
      <c r="J117" s="483" t="s">
        <v>848</v>
      </c>
      <c r="K117" s="483" t="s">
        <v>839</v>
      </c>
      <c r="L117" s="483" t="s">
        <v>132</v>
      </c>
      <c r="M117" s="577" t="s">
        <v>840</v>
      </c>
    </row>
    <row r="118" spans="4:13">
      <c r="D118" s="576">
        <v>14277</v>
      </c>
      <c r="E118" s="483" t="s">
        <v>833</v>
      </c>
      <c r="F118" s="483" t="s">
        <v>834</v>
      </c>
      <c r="G118" s="483" t="s">
        <v>835</v>
      </c>
      <c r="H118" s="483" t="s">
        <v>836</v>
      </c>
      <c r="I118" s="483" t="s">
        <v>837</v>
      </c>
      <c r="J118" s="483" t="s">
        <v>838</v>
      </c>
      <c r="K118" s="483" t="s">
        <v>839</v>
      </c>
      <c r="L118" s="483" t="s">
        <v>132</v>
      </c>
      <c r="M118" s="577" t="s">
        <v>840</v>
      </c>
    </row>
    <row r="119" spans="4:13">
      <c r="D119" s="576">
        <v>14279</v>
      </c>
      <c r="E119" s="483" t="s">
        <v>833</v>
      </c>
      <c r="F119" s="483" t="s">
        <v>834</v>
      </c>
      <c r="G119" s="483" t="s">
        <v>841</v>
      </c>
      <c r="H119" s="483" t="s">
        <v>842</v>
      </c>
      <c r="I119" s="483" t="s">
        <v>843</v>
      </c>
      <c r="J119" s="483" t="s">
        <v>844</v>
      </c>
      <c r="K119" s="483" t="s">
        <v>839</v>
      </c>
      <c r="L119" s="483" t="s">
        <v>132</v>
      </c>
      <c r="M119" s="577" t="s">
        <v>840</v>
      </c>
    </row>
    <row r="120" spans="4:13">
      <c r="D120" s="576">
        <v>14281</v>
      </c>
      <c r="E120" s="483" t="s">
        <v>833</v>
      </c>
      <c r="F120" s="483" t="s">
        <v>834</v>
      </c>
      <c r="G120" s="483" t="s">
        <v>845</v>
      </c>
      <c r="H120" s="483" t="s">
        <v>846</v>
      </c>
      <c r="I120" s="483" t="s">
        <v>847</v>
      </c>
      <c r="J120" s="483" t="s">
        <v>848</v>
      </c>
      <c r="K120" s="483" t="s">
        <v>839</v>
      </c>
      <c r="L120" s="483" t="s">
        <v>132</v>
      </c>
      <c r="M120" s="577" t="s">
        <v>840</v>
      </c>
    </row>
    <row r="121" spans="4:13">
      <c r="D121" s="576">
        <v>14283</v>
      </c>
      <c r="E121" s="483" t="s">
        <v>833</v>
      </c>
      <c r="F121" s="483" t="s">
        <v>834</v>
      </c>
      <c r="G121" s="483" t="s">
        <v>849</v>
      </c>
      <c r="H121" s="483" t="s">
        <v>850</v>
      </c>
      <c r="I121" s="483" t="s">
        <v>851</v>
      </c>
      <c r="J121" s="483" t="s">
        <v>852</v>
      </c>
      <c r="K121" s="483" t="s">
        <v>839</v>
      </c>
      <c r="L121" s="483" t="s">
        <v>132</v>
      </c>
      <c r="M121" s="577" t="s">
        <v>840</v>
      </c>
    </row>
    <row r="122" spans="4:13">
      <c r="D122" s="576">
        <v>14285</v>
      </c>
      <c r="E122" s="483" t="s">
        <v>833</v>
      </c>
      <c r="F122" s="483" t="s">
        <v>834</v>
      </c>
      <c r="G122" s="483" t="s">
        <v>853</v>
      </c>
      <c r="H122" s="483" t="s">
        <v>854</v>
      </c>
      <c r="I122" s="483" t="s">
        <v>855</v>
      </c>
      <c r="J122" s="483" t="s">
        <v>856</v>
      </c>
      <c r="K122" s="483" t="s">
        <v>839</v>
      </c>
      <c r="L122" s="483" t="s">
        <v>132</v>
      </c>
      <c r="M122" s="577" t="s">
        <v>840</v>
      </c>
    </row>
    <row r="123" spans="4:13">
      <c r="D123" s="576">
        <v>14287</v>
      </c>
      <c r="E123" s="483" t="s">
        <v>833</v>
      </c>
      <c r="F123" s="483" t="s">
        <v>834</v>
      </c>
      <c r="G123" s="483" t="s">
        <v>857</v>
      </c>
      <c r="H123" s="483" t="s">
        <v>858</v>
      </c>
      <c r="I123" s="483" t="s">
        <v>859</v>
      </c>
      <c r="J123" s="483" t="s">
        <v>860</v>
      </c>
      <c r="K123" s="483" t="s">
        <v>839</v>
      </c>
      <c r="L123" s="483" t="s">
        <v>132</v>
      </c>
      <c r="M123" s="577" t="s">
        <v>840</v>
      </c>
    </row>
    <row r="124" spans="4:13">
      <c r="D124" s="576">
        <v>18612</v>
      </c>
      <c r="E124" s="483" t="s">
        <v>833</v>
      </c>
      <c r="F124" s="483" t="s">
        <v>834</v>
      </c>
      <c r="G124" s="483" t="s">
        <v>1025</v>
      </c>
      <c r="H124" s="483" t="s">
        <v>1026</v>
      </c>
      <c r="I124" s="483" t="s">
        <v>997</v>
      </c>
      <c r="J124" s="483" t="s">
        <v>998</v>
      </c>
      <c r="K124" s="483" t="s">
        <v>839</v>
      </c>
      <c r="L124" s="483" t="s">
        <v>132</v>
      </c>
      <c r="M124" s="577" t="s">
        <v>840</v>
      </c>
    </row>
    <row r="125" spans="4:13">
      <c r="D125" s="576">
        <v>19224</v>
      </c>
      <c r="E125" s="483" t="s">
        <v>833</v>
      </c>
      <c r="F125" s="483" t="s">
        <v>834</v>
      </c>
      <c r="G125" s="483" t="s">
        <v>1037</v>
      </c>
      <c r="H125" s="483" t="s">
        <v>1038</v>
      </c>
      <c r="I125" s="483" t="s">
        <v>893</v>
      </c>
      <c r="J125" s="483" t="s">
        <v>894</v>
      </c>
      <c r="K125" s="483" t="s">
        <v>839</v>
      </c>
      <c r="L125" s="483" t="s">
        <v>132</v>
      </c>
      <c r="M125" s="577" t="s">
        <v>840</v>
      </c>
    </row>
    <row r="126" spans="4:13">
      <c r="D126" s="576">
        <v>16308</v>
      </c>
      <c r="E126" s="483" t="s">
        <v>833</v>
      </c>
      <c r="F126" s="483" t="s">
        <v>834</v>
      </c>
      <c r="G126" s="483" t="s">
        <v>917</v>
      </c>
      <c r="H126" s="483" t="s">
        <v>918</v>
      </c>
      <c r="I126" s="483" t="s">
        <v>843</v>
      </c>
      <c r="J126" s="483" t="s">
        <v>844</v>
      </c>
      <c r="K126" s="483" t="s">
        <v>839</v>
      </c>
      <c r="L126" s="483" t="s">
        <v>132</v>
      </c>
      <c r="M126" s="577" t="s">
        <v>840</v>
      </c>
    </row>
    <row r="127" spans="4:13">
      <c r="D127" s="576">
        <v>16300</v>
      </c>
      <c r="E127" s="483" t="s">
        <v>833</v>
      </c>
      <c r="F127" s="483" t="s">
        <v>834</v>
      </c>
      <c r="G127" s="483" t="s">
        <v>909</v>
      </c>
      <c r="H127" s="483" t="s">
        <v>910</v>
      </c>
      <c r="I127" s="483" t="s">
        <v>863</v>
      </c>
      <c r="J127" s="483" t="s">
        <v>864</v>
      </c>
      <c r="K127" s="483" t="s">
        <v>839</v>
      </c>
      <c r="L127" s="483" t="s">
        <v>132</v>
      </c>
      <c r="M127" s="577" t="s">
        <v>840</v>
      </c>
    </row>
    <row r="128" spans="4:13">
      <c r="D128" s="576">
        <v>16074</v>
      </c>
      <c r="E128" s="483" t="s">
        <v>833</v>
      </c>
      <c r="F128" s="483" t="s">
        <v>834</v>
      </c>
      <c r="G128" s="483" t="s">
        <v>861</v>
      </c>
      <c r="H128" s="483" t="s">
        <v>862</v>
      </c>
      <c r="I128" s="483" t="s">
        <v>863</v>
      </c>
      <c r="J128" s="483" t="s">
        <v>864</v>
      </c>
      <c r="K128" s="483" t="s">
        <v>839</v>
      </c>
      <c r="L128" s="483" t="s">
        <v>132</v>
      </c>
      <c r="M128" s="577" t="s">
        <v>840</v>
      </c>
    </row>
    <row r="129" spans="4:13">
      <c r="D129" s="576">
        <v>17410</v>
      </c>
      <c r="E129" s="483" t="s">
        <v>833</v>
      </c>
      <c r="F129" s="483" t="s">
        <v>834</v>
      </c>
      <c r="G129" s="483" t="s">
        <v>937</v>
      </c>
      <c r="H129" s="483" t="s">
        <v>937</v>
      </c>
      <c r="I129" s="483" t="s">
        <v>843</v>
      </c>
      <c r="J129" s="483" t="s">
        <v>844</v>
      </c>
      <c r="K129" s="483" t="s">
        <v>936</v>
      </c>
      <c r="L129" s="483" t="s">
        <v>149</v>
      </c>
      <c r="M129" s="577" t="s">
        <v>840</v>
      </c>
    </row>
    <row r="130" spans="4:13">
      <c r="D130" s="576">
        <v>17408</v>
      </c>
      <c r="E130" s="483" t="s">
        <v>833</v>
      </c>
      <c r="F130" s="483" t="s">
        <v>834</v>
      </c>
      <c r="G130" s="483" t="s">
        <v>935</v>
      </c>
      <c r="H130" s="483" t="s">
        <v>935</v>
      </c>
      <c r="I130" s="483" t="s">
        <v>843</v>
      </c>
      <c r="J130" s="483" t="s">
        <v>844</v>
      </c>
      <c r="K130" s="483" t="s">
        <v>936</v>
      </c>
      <c r="L130" s="483" t="s">
        <v>149</v>
      </c>
      <c r="M130" s="577" t="s">
        <v>840</v>
      </c>
    </row>
    <row r="131" spans="4:13">
      <c r="D131" s="576">
        <v>16298</v>
      </c>
      <c r="E131" s="483" t="s">
        <v>833</v>
      </c>
      <c r="F131" s="483" t="s">
        <v>834</v>
      </c>
      <c r="G131" s="483" t="s">
        <v>907</v>
      </c>
      <c r="H131" s="483" t="s">
        <v>908</v>
      </c>
      <c r="I131" s="483" t="s">
        <v>863</v>
      </c>
      <c r="J131" s="483" t="s">
        <v>864</v>
      </c>
      <c r="K131" s="483" t="s">
        <v>839</v>
      </c>
      <c r="L131" s="483" t="s">
        <v>132</v>
      </c>
      <c r="M131" s="577" t="s">
        <v>840</v>
      </c>
    </row>
    <row r="132" spans="4:13">
      <c r="D132" s="581">
        <v>16306</v>
      </c>
      <c r="E132" s="582" t="s">
        <v>833</v>
      </c>
      <c r="F132" s="582" t="s">
        <v>834</v>
      </c>
      <c r="G132" s="582" t="s">
        <v>915</v>
      </c>
      <c r="H132" s="582" t="s">
        <v>916</v>
      </c>
      <c r="I132" s="582" t="s">
        <v>843</v>
      </c>
      <c r="J132" s="582" t="s">
        <v>844</v>
      </c>
      <c r="K132" s="582" t="s">
        <v>839</v>
      </c>
      <c r="L132" s="582" t="s">
        <v>132</v>
      </c>
      <c r="M132" s="583" t="s">
        <v>840</v>
      </c>
    </row>
    <row r="133" spans="4:13">
      <c r="D133" s="584" t="s">
        <v>1119</v>
      </c>
      <c r="E133" s="483" t="s">
        <v>833</v>
      </c>
      <c r="F133" s="483" t="s">
        <v>834</v>
      </c>
      <c r="G133" s="585" t="s">
        <v>1117</v>
      </c>
      <c r="H133" s="483" t="s">
        <v>1113</v>
      </c>
      <c r="I133" s="483" t="s">
        <v>863</v>
      </c>
      <c r="J133" s="585" t="s">
        <v>864</v>
      </c>
      <c r="K133" s="483" t="s">
        <v>839</v>
      </c>
      <c r="L133" s="483" t="s">
        <v>132</v>
      </c>
      <c r="M133" s="577" t="s">
        <v>840</v>
      </c>
    </row>
    <row r="134" spans="4:13">
      <c r="D134" s="584" t="s">
        <v>1119</v>
      </c>
      <c r="E134" s="483" t="s">
        <v>833</v>
      </c>
      <c r="F134" s="483" t="s">
        <v>834</v>
      </c>
      <c r="G134" s="585" t="s">
        <v>1117</v>
      </c>
      <c r="H134" s="483" t="s">
        <v>1114</v>
      </c>
      <c r="I134" s="483" t="s">
        <v>843</v>
      </c>
      <c r="J134" s="585" t="s">
        <v>844</v>
      </c>
      <c r="K134" s="582" t="s">
        <v>839</v>
      </c>
      <c r="L134" s="582" t="s">
        <v>132</v>
      </c>
      <c r="M134" s="583" t="s">
        <v>840</v>
      </c>
    </row>
    <row r="135" spans="4:13">
      <c r="D135" s="584" t="s">
        <v>1119</v>
      </c>
      <c r="E135" s="483" t="s">
        <v>833</v>
      </c>
      <c r="F135" s="483" t="s">
        <v>834</v>
      </c>
      <c r="G135" s="585" t="s">
        <v>1117</v>
      </c>
      <c r="H135" s="483" t="s">
        <v>1115</v>
      </c>
      <c r="I135" s="483" t="s">
        <v>847</v>
      </c>
      <c r="J135" s="585" t="s">
        <v>848</v>
      </c>
      <c r="K135" s="483" t="s">
        <v>839</v>
      </c>
      <c r="L135" s="483" t="s">
        <v>132</v>
      </c>
      <c r="M135" s="577" t="s">
        <v>840</v>
      </c>
    </row>
    <row r="136" spans="4:13">
      <c r="D136" s="586" t="s">
        <v>1119</v>
      </c>
      <c r="E136" s="582" t="s">
        <v>833</v>
      </c>
      <c r="F136" s="582" t="s">
        <v>834</v>
      </c>
      <c r="G136" s="587" t="s">
        <v>1118</v>
      </c>
      <c r="H136" s="582" t="s">
        <v>1116</v>
      </c>
      <c r="I136" s="582" t="s">
        <v>997</v>
      </c>
      <c r="J136" s="587" t="s">
        <v>998</v>
      </c>
      <c r="K136" s="582" t="s">
        <v>839</v>
      </c>
      <c r="L136" s="582" t="s">
        <v>132</v>
      </c>
      <c r="M136" s="583" t="s">
        <v>840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813</v>
      </c>
      <c r="K4" s="100" t="s">
        <v>811</v>
      </c>
    </row>
    <row r="6" spans="7:11">
      <c r="G6" t="s">
        <v>334</v>
      </c>
      <c r="K6" t="s">
        <v>812</v>
      </c>
    </row>
    <row r="7" spans="7:11">
      <c r="G7" t="s">
        <v>331</v>
      </c>
    </row>
    <row r="8" spans="7:11">
      <c r="G8" t="s">
        <v>349</v>
      </c>
    </row>
    <row r="9" spans="7:11">
      <c r="G9" t="s">
        <v>328</v>
      </c>
    </row>
    <row r="10" spans="7:11">
      <c r="G10" t="s">
        <v>359</v>
      </c>
    </row>
    <row r="11" spans="7:11">
      <c r="G11" t="s">
        <v>326</v>
      </c>
    </row>
    <row r="12" spans="7:11">
      <c r="G12" t="s">
        <v>348</v>
      </c>
    </row>
    <row r="13" spans="7:11">
      <c r="G13" t="s">
        <v>350</v>
      </c>
    </row>
    <row r="14" spans="7:11">
      <c r="G14" t="s">
        <v>333</v>
      </c>
    </row>
    <row r="15" spans="7:11">
      <c r="G15" t="s">
        <v>339</v>
      </c>
    </row>
    <row r="16" spans="7:11">
      <c r="G16" t="s">
        <v>335</v>
      </c>
    </row>
    <row r="17" spans="7:7">
      <c r="G17" t="s">
        <v>340</v>
      </c>
    </row>
    <row r="18" spans="7:7">
      <c r="G18" t="s">
        <v>345</v>
      </c>
    </row>
    <row r="19" spans="7:7">
      <c r="G19" t="s">
        <v>332</v>
      </c>
    </row>
    <row r="20" spans="7:7">
      <c r="G20" t="s">
        <v>324</v>
      </c>
    </row>
    <row r="21" spans="7:7">
      <c r="G21" t="s">
        <v>356</v>
      </c>
    </row>
    <row r="22" spans="7:7">
      <c r="G22" t="s">
        <v>391</v>
      </c>
    </row>
    <row r="23" spans="7:7">
      <c r="G23" t="s">
        <v>390</v>
      </c>
    </row>
    <row r="24" spans="7:7">
      <c r="G24" t="s">
        <v>814</v>
      </c>
    </row>
    <row r="25" spans="7:7">
      <c r="G25" t="s">
        <v>815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�� 
</file>

<file path=customXml/item6.xml>�� 
</file>

<file path=customXml/item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9DE11B8-3459-491D-8BA8-7D75F0234420}">
  <ds:schemaRefs/>
</ds:datastoreItem>
</file>

<file path=customXml/itemProps3.xml><?xml version="1.0" encoding="utf-8"?>
<ds:datastoreItem xmlns:ds="http://schemas.openxmlformats.org/officeDocument/2006/customXml" ds:itemID="{4B5313D3-99C5-44BD-BE39-5926B1C15ED3}">
  <ds:schemaRefs/>
</ds:datastoreItem>
</file>

<file path=customXml/itemProps4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72671333-EA01-4E61-9495-0C521CFF4E42}">
  <ds:schemaRefs/>
</ds:datastoreItem>
</file>

<file path=customXml/itemProps6.xml><?xml version="1.0" encoding="utf-8"?>
<ds:datastoreItem xmlns:ds="http://schemas.openxmlformats.org/officeDocument/2006/customXml" ds:itemID="{B0B7BE38-2889-44EA-9FB0-2D6FF9BB889A}">
  <ds:schemaRefs/>
</ds:datastoreItem>
</file>

<file path=customXml/itemProps7.xml><?xml version="1.0" encoding="utf-8"?>
<ds:datastoreItem xmlns:ds="http://schemas.openxmlformats.org/officeDocument/2006/customXml" ds:itemID="{A4A5620A-4296-4C7A-BA8C-7054E1FB2B7E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8.xml><?xml version="1.0" encoding="utf-8"?>
<ds:datastoreItem xmlns:ds="http://schemas.openxmlformats.org/officeDocument/2006/customXml" ds:itemID="{27B0BC59-0E6A-4278-957E-2A6158A5EF58}">
  <ds:schemaRefs/>
</ds:datastoreItem>
</file>

<file path=customXml/itemProps9.xml><?xml version="1.0" encoding="utf-8"?>
<ds:datastoreItem xmlns:ds="http://schemas.openxmlformats.org/officeDocument/2006/customXml" ds:itemID="{F8AB7AAD-CCBA-4D35-9A0D-E4DC6E01A4E1}">
  <ds:schemaRefs/>
</ds:datastoreItem>
</file>

<file path=customXml/itemProps10.xml><?xml version="1.0" encoding="utf-8"?>
<ds:datastoreItem xmlns:ds="http://schemas.openxmlformats.org/officeDocument/2006/customXml" ds:itemID="{E4A9B254-DDD8-464F-AF7A-4D112BB6FD8E}">
  <ds:schemaRefs/>
</ds:datastoreItem>
</file>

<file path=customXml/itemProps11.xml><?xml version="1.0" encoding="utf-8"?>
<ds:datastoreItem xmlns:ds="http://schemas.openxmlformats.org/officeDocument/2006/customXml" ds:itemID="{5C670962-9690-435C-A5BE-6413D7595FD6}">
  <ds:schemaRefs/>
</ds:datastoreItem>
</file>

<file path=customXml/itemProps12.xml><?xml version="1.0" encoding="utf-8"?>
<ds:datastoreItem xmlns:ds="http://schemas.openxmlformats.org/officeDocument/2006/customXml" ds:itemID="{8428E760-B837-43D3-BFB6-FA3F00E4351C}">
  <ds:schemaRefs/>
</ds:datastoreItem>
</file>

<file path=customXml/itemProps13.xml><?xml version="1.0" encoding="utf-8"?>
<ds:datastoreItem xmlns:ds="http://schemas.openxmlformats.org/officeDocument/2006/customXml" ds:itemID="{73EAB481-866B-4C0F-8627-26832E150B4D}">
  <ds:schemaRefs/>
</ds:datastoreItem>
</file>

<file path=customXml/itemProps14.xml><?xml version="1.0" encoding="utf-8"?>
<ds:datastoreItem xmlns:ds="http://schemas.openxmlformats.org/officeDocument/2006/customXml" ds:itemID="{14FA3DBF-3D10-4CEC-9C13-2B643DF1E106}">
  <ds:schemaRefs/>
</ds:datastoreItem>
</file>

<file path=customXml/itemProps15.xml><?xml version="1.0" encoding="utf-8"?>
<ds:datastoreItem xmlns:ds="http://schemas.openxmlformats.org/officeDocument/2006/customXml" ds:itemID="{3B5C8196-2348-4D06-B408-7ECE9A09663C}">
  <ds:schemaRefs/>
</ds:datastoreItem>
</file>

<file path=customXml/itemProps16.xml><?xml version="1.0" encoding="utf-8"?>
<ds:datastoreItem xmlns:ds="http://schemas.openxmlformats.org/officeDocument/2006/customXml" ds:itemID="{498F0357-19EF-429B-ABBE-9EE0F18B7652}">
  <ds:schemaRefs/>
</ds:datastoreItem>
</file>

<file path=customXml/itemProps17.xml><?xml version="1.0" encoding="utf-8"?>
<ds:datastoreItem xmlns:ds="http://schemas.openxmlformats.org/officeDocument/2006/customXml" ds:itemID="{F11733BD-FDAC-45AD-A0CD-7C4B6266E0CC}">
  <ds:schemaRefs/>
</ds:datastoreItem>
</file>

<file path=customXml/itemProps18.xml><?xml version="1.0" encoding="utf-8"?>
<ds:datastoreItem xmlns:ds="http://schemas.openxmlformats.org/officeDocument/2006/customXml" ds:itemID="{E68C531D-A362-4FEB-8EB6-C7E4117D7A69}">
  <ds:schemaRefs/>
</ds:datastoreItem>
</file>

<file path=customXml/itemProps19.xml><?xml version="1.0" encoding="utf-8"?>
<ds:datastoreItem xmlns:ds="http://schemas.openxmlformats.org/officeDocument/2006/customXml" ds:itemID="{C5CBC30E-2F3A-4931-BF4A-9F61DD9D84E2}">
  <ds:schemaRefs/>
</ds:datastoreItem>
</file>

<file path=customXml/itemProps20.xml><?xml version="1.0" encoding="utf-8"?>
<ds:datastoreItem xmlns:ds="http://schemas.openxmlformats.org/officeDocument/2006/customXml" ds:itemID="{F92C5DF9-F10E-4F67-A74E-2A3531B26D44}">
  <ds:schemaRefs/>
</ds:datastoreItem>
</file>

<file path=customXml/itemProps21.xml><?xml version="1.0" encoding="utf-8"?>
<ds:datastoreItem xmlns:ds="http://schemas.openxmlformats.org/officeDocument/2006/customXml" ds:itemID="{457F4C07-1709-4595-8EC4-6C0DABF04268}">
  <ds:schemaRefs/>
</ds:datastoreItem>
</file>

<file path=customXml/itemProps22.xml><?xml version="1.0" encoding="utf-8"?>
<ds:datastoreItem xmlns:ds="http://schemas.openxmlformats.org/officeDocument/2006/customXml" ds:itemID="{CA5FF991-C66A-4AAF-AC09-3E8322DE2999}">
  <ds:schemaRefs/>
</ds:datastoreItem>
</file>

<file path=customXml/itemProps23.xml><?xml version="1.0" encoding="utf-8"?>
<ds:datastoreItem xmlns:ds="http://schemas.openxmlformats.org/officeDocument/2006/customXml" ds:itemID="{A502F854-1DC8-4930-AC9B-4F60D9DD5EE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Texts</vt:lpstr>
      <vt:lpstr>Offers Clustering</vt:lpstr>
      <vt:lpstr>Discounts 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2020-07-30T08:21:53Z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