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Docs\Progression\"/>
    </mc:Choice>
  </mc:AlternateContent>
  <bookViews>
    <workbookView xWindow="480" yWindow="135" windowWidth="22860" windowHeight="11640" tabRatio="728" firstSheet="6" activeTab="12"/>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CheckSpawnersPrefabs" sheetId="21" r:id="rId13"/>
    <sheet name="Entities FPS" sheetId="6" r:id="rId14"/>
  </sheets>
  <calcPr calcId="162913" calcOnSave="0"/>
  <pivotCaches>
    <pivotCache cacheId="3" r:id="rId15"/>
  </pivotCaches>
</workbook>
</file>

<file path=xl/calcChain.xml><?xml version="1.0" encoding="utf-8"?>
<calcChain xmlns="http://schemas.openxmlformats.org/spreadsheetml/2006/main">
  <c r="E87" i="16" l="1"/>
  <c r="E86" i="16"/>
  <c r="E85" i="16"/>
  <c r="E84" i="16"/>
  <c r="E83" i="16"/>
  <c r="E86" i="14"/>
  <c r="E85" i="14"/>
  <c r="E84" i="14"/>
  <c r="E83" i="14"/>
  <c r="E82" i="14"/>
  <c r="E100" i="8"/>
  <c r="E99" i="8"/>
  <c r="E98" i="8"/>
  <c r="E97" i="8"/>
  <c r="E96" i="8"/>
  <c r="E115" i="15"/>
  <c r="E114" i="15"/>
  <c r="E113" i="15"/>
  <c r="E112" i="15"/>
  <c r="E111" i="15"/>
  <c r="N12" i="12"/>
  <c r="N13" i="12"/>
  <c r="N14" i="12"/>
  <c r="N15" i="12"/>
  <c r="N16" i="12"/>
  <c r="N17" i="12"/>
  <c r="T17" i="12" s="1"/>
  <c r="N18" i="12"/>
  <c r="N19" i="12"/>
  <c r="N20" i="12"/>
  <c r="N21" i="12"/>
  <c r="N22" i="12"/>
  <c r="N23" i="12"/>
  <c r="N24" i="12"/>
  <c r="N25" i="12"/>
  <c r="N26" i="12"/>
  <c r="N27" i="12"/>
  <c r="N28" i="12"/>
  <c r="N29" i="12"/>
  <c r="N30" i="12"/>
  <c r="N31" i="12"/>
  <c r="T31" i="12" s="1"/>
  <c r="N32" i="12"/>
  <c r="N33" i="12"/>
  <c r="N34" i="12"/>
  <c r="N35" i="12"/>
  <c r="N36" i="12"/>
  <c r="N37" i="12"/>
  <c r="N38" i="12"/>
  <c r="N39" i="12"/>
  <c r="N40" i="12"/>
  <c r="N41" i="12"/>
  <c r="T41" i="12" s="1"/>
  <c r="N42" i="12"/>
  <c r="N43" i="12"/>
  <c r="N44" i="12"/>
  <c r="N45" i="12"/>
  <c r="T45" i="12" s="1"/>
  <c r="N46" i="12"/>
  <c r="N47" i="12"/>
  <c r="T47" i="12" s="1"/>
  <c r="N48" i="12"/>
  <c r="N49" i="12"/>
  <c r="N50" i="12"/>
  <c r="N51" i="12"/>
  <c r="N52" i="12"/>
  <c r="N53" i="12"/>
  <c r="N54" i="12"/>
  <c r="N55" i="12"/>
  <c r="T55" i="12" s="1"/>
  <c r="N56" i="12"/>
  <c r="T56" i="12" s="1"/>
  <c r="N57" i="12"/>
  <c r="N58" i="12"/>
  <c r="N59" i="12"/>
  <c r="N60" i="12"/>
  <c r="N61" i="12"/>
  <c r="N62" i="12"/>
  <c r="N63" i="12"/>
  <c r="N64" i="12"/>
  <c r="N65" i="12"/>
  <c r="T65" i="12" s="1"/>
  <c r="N66" i="12"/>
  <c r="N67" i="12"/>
  <c r="N68" i="12"/>
  <c r="N69" i="12"/>
  <c r="N70" i="12"/>
  <c r="N71" i="12"/>
  <c r="N72" i="12"/>
  <c r="N73" i="12"/>
  <c r="N74" i="12"/>
  <c r="N75" i="12"/>
  <c r="N76" i="12"/>
  <c r="N77" i="12"/>
  <c r="N78" i="12"/>
  <c r="N79" i="12"/>
  <c r="T79" i="12" s="1"/>
  <c r="N80" i="12"/>
  <c r="T80" i="12" s="1"/>
  <c r="N81" i="12"/>
  <c r="T81" i="12" s="1"/>
  <c r="N82" i="12"/>
  <c r="N83" i="12"/>
  <c r="T83" i="12" s="1"/>
  <c r="N84" i="12"/>
  <c r="N85" i="12"/>
  <c r="N86" i="12"/>
  <c r="N87" i="12"/>
  <c r="N88" i="12"/>
  <c r="N89" i="12"/>
  <c r="N90" i="12"/>
  <c r="N91" i="12"/>
  <c r="N92" i="12"/>
  <c r="T92" i="12" s="1"/>
  <c r="N93" i="12"/>
  <c r="T93" i="12" s="1"/>
  <c r="N94" i="12"/>
  <c r="N95" i="12"/>
  <c r="T95" i="12" s="1"/>
  <c r="N96" i="12"/>
  <c r="N97" i="12"/>
  <c r="N98" i="12"/>
  <c r="N99" i="12"/>
  <c r="N100" i="12"/>
  <c r="N101" i="12"/>
  <c r="N102" i="12"/>
  <c r="N103" i="12"/>
  <c r="N104" i="12"/>
  <c r="T104" i="12" s="1"/>
  <c r="N105" i="12"/>
  <c r="N106" i="12"/>
  <c r="N107" i="12"/>
  <c r="T107" i="12" s="1"/>
  <c r="N108" i="12"/>
  <c r="N109" i="12"/>
  <c r="N110" i="12"/>
  <c r="N111" i="12"/>
  <c r="N112" i="12"/>
  <c r="N113" i="12"/>
  <c r="N114" i="12"/>
  <c r="N115" i="12"/>
  <c r="N116" i="12"/>
  <c r="N117" i="12"/>
  <c r="N118" i="12"/>
  <c r="N119" i="12"/>
  <c r="N120" i="12"/>
  <c r="N121" i="12"/>
  <c r="N122" i="12"/>
  <c r="N123" i="12"/>
  <c r="N124" i="12"/>
  <c r="N125" i="12"/>
  <c r="N126" i="12"/>
  <c r="N127" i="12"/>
  <c r="T127" i="12" s="1"/>
  <c r="N128" i="12"/>
  <c r="T128" i="12" s="1"/>
  <c r="N129" i="12"/>
  <c r="N130" i="12"/>
  <c r="N131" i="12"/>
  <c r="N132" i="12"/>
  <c r="N133" i="12"/>
  <c r="N134" i="12"/>
  <c r="N135" i="12"/>
  <c r="N136" i="12"/>
  <c r="N137" i="12"/>
  <c r="N138" i="12"/>
  <c r="N139" i="12"/>
  <c r="N140" i="12"/>
  <c r="N141" i="12"/>
  <c r="T141" i="12" s="1"/>
  <c r="N142" i="12"/>
  <c r="N143" i="12"/>
  <c r="N144" i="12"/>
  <c r="N145" i="12"/>
  <c r="N146" i="12"/>
  <c r="N147" i="12"/>
  <c r="N148" i="12"/>
  <c r="N149" i="12"/>
  <c r="N150" i="12"/>
  <c r="N151" i="12"/>
  <c r="T151" i="12" s="1"/>
  <c r="N152" i="12"/>
  <c r="N153" i="12"/>
  <c r="N154" i="12"/>
  <c r="N155" i="12"/>
  <c r="T155" i="12" s="1"/>
  <c r="N156" i="12"/>
  <c r="N157" i="12"/>
  <c r="N158" i="12"/>
  <c r="N159" i="12"/>
  <c r="N160" i="12"/>
  <c r="N161" i="12"/>
  <c r="N162" i="12"/>
  <c r="N163" i="12"/>
  <c r="N164" i="12"/>
  <c r="N165" i="12"/>
  <c r="T165" i="12" s="1"/>
  <c r="N166" i="12"/>
  <c r="P12" i="12"/>
  <c r="T12" i="12" s="1"/>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T48" i="12" s="1"/>
  <c r="P49" i="12"/>
  <c r="P50" i="12"/>
  <c r="P51" i="12"/>
  <c r="P52" i="12"/>
  <c r="P53" i="12"/>
  <c r="P54" i="12"/>
  <c r="P55" i="12"/>
  <c r="P56" i="12"/>
  <c r="P57" i="12"/>
  <c r="P58" i="12"/>
  <c r="P59" i="12"/>
  <c r="P60" i="12"/>
  <c r="T60" i="12" s="1"/>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T96" i="12" s="1"/>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T132" i="12" s="1"/>
  <c r="P133" i="12"/>
  <c r="P134" i="12"/>
  <c r="P135" i="12"/>
  <c r="P136" i="12"/>
  <c r="P137" i="12"/>
  <c r="P138" i="12"/>
  <c r="P139" i="12"/>
  <c r="P140" i="12"/>
  <c r="P141" i="12"/>
  <c r="P142" i="12"/>
  <c r="P143" i="12"/>
  <c r="P144" i="12"/>
  <c r="T144" i="12" s="1"/>
  <c r="P145" i="12"/>
  <c r="P146" i="12"/>
  <c r="P147" i="12"/>
  <c r="P148" i="12"/>
  <c r="P149" i="12"/>
  <c r="P150" i="12"/>
  <c r="P151" i="12"/>
  <c r="P152" i="12"/>
  <c r="P153" i="12"/>
  <c r="P154" i="12"/>
  <c r="P155" i="12"/>
  <c r="P156" i="12"/>
  <c r="T156" i="12" s="1"/>
  <c r="P157" i="12"/>
  <c r="P158" i="12"/>
  <c r="P159" i="12"/>
  <c r="P160" i="12"/>
  <c r="P161" i="12"/>
  <c r="P162" i="12"/>
  <c r="P163" i="12"/>
  <c r="P164" i="12"/>
  <c r="P165" i="12"/>
  <c r="P166" i="12"/>
  <c r="R12" i="12"/>
  <c r="R13" i="12"/>
  <c r="T13" i="12" s="1"/>
  <c r="R14" i="12"/>
  <c r="R15" i="12"/>
  <c r="R16" i="12"/>
  <c r="R17" i="12"/>
  <c r="R18" i="12"/>
  <c r="R19" i="12"/>
  <c r="R20" i="12"/>
  <c r="R21" i="12"/>
  <c r="R22" i="12"/>
  <c r="R23" i="12"/>
  <c r="R24" i="12"/>
  <c r="R25" i="12"/>
  <c r="T25" i="12" s="1"/>
  <c r="R26" i="12"/>
  <c r="R27" i="12"/>
  <c r="R28" i="12"/>
  <c r="R29" i="12"/>
  <c r="R30" i="12"/>
  <c r="R31" i="12"/>
  <c r="R32" i="12"/>
  <c r="R33" i="12"/>
  <c r="R34" i="12"/>
  <c r="R35" i="12"/>
  <c r="R36" i="12"/>
  <c r="R37" i="12"/>
  <c r="T37" i="12" s="1"/>
  <c r="R38" i="12"/>
  <c r="R39" i="12"/>
  <c r="R40" i="12"/>
  <c r="R41" i="12"/>
  <c r="R42" i="12"/>
  <c r="R43" i="12"/>
  <c r="R44" i="12"/>
  <c r="R45" i="12"/>
  <c r="R46" i="12"/>
  <c r="R47" i="12"/>
  <c r="R48" i="12"/>
  <c r="R49" i="12"/>
  <c r="T49" i="12" s="1"/>
  <c r="R50" i="12"/>
  <c r="R51" i="12"/>
  <c r="R52" i="12"/>
  <c r="R53" i="12"/>
  <c r="R54" i="12"/>
  <c r="R55" i="12"/>
  <c r="R56" i="12"/>
  <c r="R57" i="12"/>
  <c r="R58" i="12"/>
  <c r="R59" i="12"/>
  <c r="R60" i="12"/>
  <c r="R61" i="12"/>
  <c r="R62" i="12"/>
  <c r="R63" i="12"/>
  <c r="R64" i="12"/>
  <c r="R65" i="12"/>
  <c r="R66" i="12"/>
  <c r="R67" i="12"/>
  <c r="R68" i="12"/>
  <c r="R69" i="12"/>
  <c r="R70" i="12"/>
  <c r="R71" i="12"/>
  <c r="R72" i="12"/>
  <c r="R73" i="12"/>
  <c r="T73" i="12" s="1"/>
  <c r="R74" i="12"/>
  <c r="R75" i="12"/>
  <c r="R76" i="12"/>
  <c r="R77" i="12"/>
  <c r="R78" i="12"/>
  <c r="R79" i="12"/>
  <c r="R80" i="12"/>
  <c r="R81" i="12"/>
  <c r="R82" i="12"/>
  <c r="R83" i="12"/>
  <c r="R84" i="12"/>
  <c r="R85" i="12"/>
  <c r="T85" i="12" s="1"/>
  <c r="R86" i="12"/>
  <c r="R87" i="12"/>
  <c r="R88" i="12"/>
  <c r="R89" i="12"/>
  <c r="R90" i="12"/>
  <c r="R91" i="12"/>
  <c r="R92" i="12"/>
  <c r="R93" i="12"/>
  <c r="R94" i="12"/>
  <c r="R95" i="12"/>
  <c r="R96" i="12"/>
  <c r="R97" i="12"/>
  <c r="T97" i="12" s="1"/>
  <c r="R98" i="12"/>
  <c r="R99" i="12"/>
  <c r="R100" i="12"/>
  <c r="R101" i="12"/>
  <c r="R102" i="12"/>
  <c r="R103" i="12"/>
  <c r="R104" i="12"/>
  <c r="R105" i="12"/>
  <c r="R106" i="12"/>
  <c r="R107" i="12"/>
  <c r="R108" i="12"/>
  <c r="R109" i="12"/>
  <c r="T109" i="12" s="1"/>
  <c r="R110" i="12"/>
  <c r="T110" i="12" s="1"/>
  <c r="R111" i="12"/>
  <c r="R112" i="12"/>
  <c r="R113" i="12"/>
  <c r="R114" i="12"/>
  <c r="R115" i="12"/>
  <c r="R116" i="12"/>
  <c r="R117" i="12"/>
  <c r="R118" i="12"/>
  <c r="R119" i="12"/>
  <c r="R120" i="12"/>
  <c r="R121" i="12"/>
  <c r="T121" i="12" s="1"/>
  <c r="R122" i="12"/>
  <c r="R123" i="12"/>
  <c r="R124" i="12"/>
  <c r="R125" i="12"/>
  <c r="R126" i="12"/>
  <c r="R127" i="12"/>
  <c r="R128" i="12"/>
  <c r="R129" i="12"/>
  <c r="R130" i="12"/>
  <c r="R131" i="12"/>
  <c r="R132" i="12"/>
  <c r="R133" i="12"/>
  <c r="R134" i="12"/>
  <c r="R135" i="12"/>
  <c r="R136" i="12"/>
  <c r="R137" i="12"/>
  <c r="R138" i="12"/>
  <c r="R139" i="12"/>
  <c r="R140" i="12"/>
  <c r="R141" i="12"/>
  <c r="R142" i="12"/>
  <c r="R143" i="12"/>
  <c r="R144" i="12"/>
  <c r="R145" i="12"/>
  <c r="R146" i="12"/>
  <c r="T146" i="12" s="1"/>
  <c r="R147" i="12"/>
  <c r="R148" i="12"/>
  <c r="R149" i="12"/>
  <c r="R150" i="12"/>
  <c r="R151" i="12"/>
  <c r="R152" i="12"/>
  <c r="R153" i="12"/>
  <c r="R154" i="12"/>
  <c r="R155" i="12"/>
  <c r="R156" i="12"/>
  <c r="R157" i="12"/>
  <c r="R158" i="12"/>
  <c r="R159" i="12"/>
  <c r="R160" i="12"/>
  <c r="R161" i="12"/>
  <c r="R162" i="12"/>
  <c r="R163" i="12"/>
  <c r="R164" i="12"/>
  <c r="R165" i="12"/>
  <c r="R166" i="12"/>
  <c r="T14" i="12"/>
  <c r="T15" i="12"/>
  <c r="T16" i="12"/>
  <c r="T26" i="12"/>
  <c r="T27" i="12"/>
  <c r="T28" i="12"/>
  <c r="T29" i="12"/>
  <c r="T32" i="12"/>
  <c r="T33" i="12"/>
  <c r="T38" i="12"/>
  <c r="T39" i="12"/>
  <c r="T40" i="12"/>
  <c r="T50" i="12"/>
  <c r="T51" i="12"/>
  <c r="T52" i="12"/>
  <c r="T61" i="12"/>
  <c r="T62" i="12"/>
  <c r="T63" i="12"/>
  <c r="T64" i="12"/>
  <c r="T74" i="12"/>
  <c r="T75" i="12"/>
  <c r="T76" i="12"/>
  <c r="T86" i="12"/>
  <c r="T87" i="12"/>
  <c r="T88" i="12"/>
  <c r="T98" i="12"/>
  <c r="T99" i="12"/>
  <c r="T100" i="12"/>
  <c r="T108" i="12"/>
  <c r="T111" i="12"/>
  <c r="T112" i="12"/>
  <c r="T122" i="12"/>
  <c r="T123" i="12"/>
  <c r="T125" i="12"/>
  <c r="T134" i="12"/>
  <c r="T135" i="12"/>
  <c r="T137" i="12"/>
  <c r="T139" i="12"/>
  <c r="T147" i="12"/>
  <c r="V16" i="12"/>
  <c r="V17" i="12"/>
  <c r="V18" i="12"/>
  <c r="V19" i="12"/>
  <c r="V20" i="12"/>
  <c r="V21" i="12"/>
  <c r="V22" i="12"/>
  <c r="V23" i="12"/>
  <c r="V24" i="12"/>
  <c r="V25" i="12"/>
  <c r="V26" i="12"/>
  <c r="V27" i="12"/>
  <c r="V37" i="12"/>
  <c r="V38" i="12"/>
  <c r="V39" i="12"/>
  <c r="V40" i="12"/>
  <c r="V41" i="12"/>
  <c r="V42" i="12"/>
  <c r="V43" i="12"/>
  <c r="V44" i="12"/>
  <c r="V45" i="12"/>
  <c r="V46" i="12"/>
  <c r="V47" i="12"/>
  <c r="V48" i="12"/>
  <c r="V49" i="12"/>
  <c r="V50" i="12"/>
  <c r="V51" i="12"/>
  <c r="V52" i="12"/>
  <c r="V60" i="12"/>
  <c r="V61" i="12"/>
  <c r="V62" i="12"/>
  <c r="V63" i="12"/>
  <c r="V64" i="12"/>
  <c r="V65" i="12"/>
  <c r="V66" i="12"/>
  <c r="V67" i="12"/>
  <c r="V68" i="12"/>
  <c r="V69" i="12"/>
  <c r="V70" i="12"/>
  <c r="V71" i="12"/>
  <c r="V72" i="12"/>
  <c r="V73" i="12"/>
  <c r="V74" i="12"/>
  <c r="V75" i="12"/>
  <c r="V76" i="12"/>
  <c r="V77" i="12"/>
  <c r="V78" i="12"/>
  <c r="V79" i="12"/>
  <c r="V80" i="12"/>
  <c r="V81" i="12"/>
  <c r="V82" i="12"/>
  <c r="V83" i="12"/>
  <c r="V87" i="12"/>
  <c r="V88" i="12"/>
  <c r="V89" i="12"/>
  <c r="V90" i="12"/>
  <c r="V93" i="12"/>
  <c r="V94" i="12"/>
  <c r="V95" i="12"/>
  <c r="V96" i="12"/>
  <c r="V97" i="12"/>
  <c r="V98" i="12"/>
  <c r="V99" i="12"/>
  <c r="V100" i="12"/>
  <c r="V101" i="12"/>
  <c r="V102" i="12"/>
  <c r="V103" i="12"/>
  <c r="V104" i="12"/>
  <c r="V105" i="12"/>
  <c r="V106" i="12"/>
  <c r="V107" i="12"/>
  <c r="V108" i="12"/>
  <c r="V109" i="12"/>
  <c r="V110" i="12"/>
  <c r="V111" i="12"/>
  <c r="V112" i="12"/>
  <c r="V113" i="12"/>
  <c r="V114" i="12"/>
  <c r="V119"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9" i="12"/>
  <c r="V154" i="12"/>
  <c r="V155" i="12"/>
  <c r="V161" i="12"/>
  <c r="V162" i="12"/>
  <c r="V163" i="12"/>
  <c r="V164" i="12"/>
  <c r="V165" i="12"/>
  <c r="V166" i="12"/>
  <c r="D87" i="16"/>
  <c r="D86" i="16"/>
  <c r="D85" i="16"/>
  <c r="D84" i="16"/>
  <c r="D83" i="16"/>
  <c r="D86" i="14"/>
  <c r="D85" i="14"/>
  <c r="D84" i="14"/>
  <c r="D83" i="14"/>
  <c r="D82" i="14"/>
  <c r="D100" i="8"/>
  <c r="D99" i="8"/>
  <c r="D98" i="8"/>
  <c r="D97" i="8"/>
  <c r="D96" i="8"/>
  <c r="D115" i="15"/>
  <c r="D114" i="15"/>
  <c r="D113" i="15"/>
  <c r="D112" i="15"/>
  <c r="D111" i="15"/>
  <c r="GK22" i="9"/>
  <c r="GK62" i="9"/>
  <c r="GK69" i="9"/>
  <c r="GK77" i="9"/>
  <c r="GK87" i="9"/>
  <c r="GK98" i="9"/>
  <c r="GK45" i="9"/>
  <c r="GK113" i="9"/>
  <c r="GK49" i="9"/>
  <c r="GK130" i="9"/>
  <c r="GK141" i="9"/>
  <c r="GK152" i="9"/>
  <c r="GM60" i="9"/>
  <c r="GM24" i="9"/>
  <c r="GM36" i="9"/>
  <c r="GM28" i="9"/>
  <c r="GM96" i="9"/>
  <c r="GM44" i="9"/>
  <c r="GM111" i="9"/>
  <c r="GM120" i="9"/>
  <c r="GM128" i="9"/>
  <c r="GM139" i="9"/>
  <c r="GM150" i="9"/>
  <c r="GM141" i="9"/>
  <c r="GM131" i="9"/>
  <c r="GK126" i="9"/>
  <c r="GM40" i="9"/>
  <c r="GM25" i="9"/>
  <c r="GK58" i="9"/>
  <c r="GK83" i="9"/>
  <c r="GK147" i="9"/>
  <c r="GM91" i="9"/>
  <c r="GK59" i="9"/>
  <c r="GK94" i="9"/>
  <c r="GM57" i="9"/>
  <c r="GM135" i="9"/>
  <c r="GK47" i="9"/>
  <c r="GK138" i="9"/>
  <c r="GM93" i="9"/>
  <c r="GK60" i="9"/>
  <c r="GK120" i="9"/>
  <c r="GM59" i="9"/>
  <c r="GM127" i="9"/>
  <c r="GK104" i="9"/>
  <c r="GM75" i="9"/>
  <c r="GM138" i="9"/>
  <c r="GK52" i="9"/>
  <c r="GK63" i="9"/>
  <c r="GK154" i="9"/>
  <c r="GK78" i="9"/>
  <c r="GK88" i="9"/>
  <c r="GK99" i="9"/>
  <c r="GK105" i="9"/>
  <c r="GK48" i="9"/>
  <c r="GK122" i="9"/>
  <c r="GK131" i="9"/>
  <c r="GK142" i="9"/>
  <c r="GM61" i="9"/>
  <c r="GM153" i="9"/>
  <c r="GM76" i="9"/>
  <c r="GM86" i="9"/>
  <c r="GM97" i="9"/>
  <c r="GM104" i="9"/>
  <c r="GM112" i="9"/>
  <c r="GM121" i="9"/>
  <c r="GM129" i="9"/>
  <c r="GM140" i="9"/>
  <c r="GM151" i="9"/>
  <c r="GM48" i="9"/>
  <c r="GM142" i="9"/>
  <c r="GK135" i="9"/>
  <c r="GM108" i="9"/>
  <c r="GK42" i="9"/>
  <c r="GK39" i="9"/>
  <c r="GK136" i="9"/>
  <c r="GM81" i="9"/>
  <c r="GM145" i="9"/>
  <c r="GK41" i="9"/>
  <c r="GM66" i="9"/>
  <c r="GM146" i="9"/>
  <c r="GK119" i="9"/>
  <c r="GM83" i="9"/>
  <c r="GM136" i="9"/>
  <c r="GK111" i="9"/>
  <c r="GM43" i="9"/>
  <c r="GM41" i="9"/>
  <c r="GM148" i="9"/>
  <c r="GK112" i="9"/>
  <c r="GM33" i="9"/>
  <c r="GM103" i="9"/>
  <c r="GK53" i="9"/>
  <c r="GK64" i="9"/>
  <c r="GK70" i="9"/>
  <c r="GK79" i="9"/>
  <c r="GK89" i="9"/>
  <c r="GK29" i="9"/>
  <c r="GK106" i="9"/>
  <c r="GK114" i="9"/>
  <c r="GK123" i="9"/>
  <c r="GK132" i="9"/>
  <c r="GK51" i="9"/>
  <c r="GM22" i="9"/>
  <c r="GM62" i="9"/>
  <c r="GM69" i="9"/>
  <c r="GM77" i="9"/>
  <c r="GM87" i="9"/>
  <c r="GM98" i="9"/>
  <c r="GM45" i="9"/>
  <c r="GM113" i="9"/>
  <c r="GM49" i="9"/>
  <c r="GM130" i="9"/>
  <c r="GM152" i="9"/>
  <c r="GK82" i="9"/>
  <c r="GK146" i="9"/>
  <c r="GM100" i="9"/>
  <c r="GK67" i="9"/>
  <c r="GK31" i="9"/>
  <c r="GM101" i="9"/>
  <c r="GM134" i="9"/>
  <c r="GK38" i="9"/>
  <c r="GK127" i="9"/>
  <c r="GM82" i="9"/>
  <c r="GK33" i="9"/>
  <c r="GK95" i="9"/>
  <c r="GM58" i="9"/>
  <c r="GM118" i="9"/>
  <c r="GK44" i="9"/>
  <c r="GK139" i="9"/>
  <c r="GM84" i="9"/>
  <c r="GK61" i="9"/>
  <c r="GK97" i="9"/>
  <c r="GK151" i="9"/>
  <c r="GM47" i="9"/>
  <c r="GM119" i="9"/>
  <c r="GK54" i="9"/>
  <c r="GK23" i="9"/>
  <c r="GK71" i="9"/>
  <c r="GK80" i="9"/>
  <c r="GK90" i="9"/>
  <c r="GK30" i="9"/>
  <c r="GK107" i="9"/>
  <c r="GK115" i="9"/>
  <c r="GK124" i="9"/>
  <c r="GK27" i="9"/>
  <c r="GK143" i="9"/>
  <c r="GM52" i="9"/>
  <c r="GM63" i="9"/>
  <c r="GM154" i="9"/>
  <c r="GM78" i="9"/>
  <c r="GM88" i="9"/>
  <c r="GM99" i="9"/>
  <c r="GM105" i="9"/>
  <c r="GM122" i="9"/>
  <c r="GK46" i="9"/>
  <c r="GM55" i="9"/>
  <c r="GM133" i="9"/>
  <c r="GK102" i="9"/>
  <c r="GM65" i="9"/>
  <c r="GM116" i="9"/>
  <c r="GK74" i="9"/>
  <c r="GK137" i="9"/>
  <c r="GM92" i="9"/>
  <c r="GK68" i="9"/>
  <c r="GK103" i="9"/>
  <c r="GM42" i="9"/>
  <c r="GM31" i="9"/>
  <c r="GK28" i="9"/>
  <c r="GM94" i="9"/>
  <c r="GK153" i="9"/>
  <c r="GK86" i="9"/>
  <c r="GK129" i="9"/>
  <c r="GM68" i="9"/>
  <c r="GM50" i="9"/>
  <c r="GK55" i="9"/>
  <c r="GK35" i="9"/>
  <c r="GK72" i="9"/>
  <c r="GK26" i="9"/>
  <c r="GK40" i="9"/>
  <c r="GK100" i="9"/>
  <c r="GK108" i="9"/>
  <c r="GK32" i="9"/>
  <c r="GK25" i="9"/>
  <c r="GK133" i="9"/>
  <c r="GK144" i="9"/>
  <c r="GM53" i="9"/>
  <c r="GM64" i="9"/>
  <c r="GM70" i="9"/>
  <c r="GM79" i="9"/>
  <c r="GM89" i="9"/>
  <c r="GM29" i="9"/>
  <c r="GM106" i="9"/>
  <c r="GM114" i="9"/>
  <c r="GM123" i="9"/>
  <c r="GM132" i="9"/>
  <c r="GM51" i="9"/>
  <c r="GK66" i="9"/>
  <c r="GK37" i="9"/>
  <c r="GK117" i="9"/>
  <c r="GM72" i="9"/>
  <c r="GM144" i="9"/>
  <c r="GK118" i="9"/>
  <c r="GM73" i="9"/>
  <c r="GM125" i="9"/>
  <c r="GK84" i="9"/>
  <c r="GK148" i="9"/>
  <c r="GM46" i="9"/>
  <c r="GM126" i="9"/>
  <c r="GK85" i="9"/>
  <c r="GM67" i="9"/>
  <c r="GM39" i="9"/>
  <c r="GM147" i="9"/>
  <c r="GK128" i="9"/>
  <c r="GM74" i="9"/>
  <c r="GM137" i="9"/>
  <c r="GK121" i="9"/>
  <c r="GM85" i="9"/>
  <c r="GM149" i="9"/>
  <c r="GK56" i="9"/>
  <c r="GK65" i="9"/>
  <c r="GK73" i="9"/>
  <c r="GK81" i="9"/>
  <c r="GK91" i="9"/>
  <c r="GK101" i="9"/>
  <c r="GK109" i="9"/>
  <c r="GK116" i="9"/>
  <c r="GK125" i="9"/>
  <c r="GK134" i="9"/>
  <c r="GK145" i="9"/>
  <c r="GM54" i="9"/>
  <c r="GM23" i="9"/>
  <c r="GM71" i="9"/>
  <c r="GM80" i="9"/>
  <c r="GM90" i="9"/>
  <c r="GM30" i="9"/>
  <c r="GM107" i="9"/>
  <c r="GM115" i="9"/>
  <c r="GM124" i="9"/>
  <c r="GM27" i="9"/>
  <c r="GM143" i="9"/>
  <c r="GK57" i="9"/>
  <c r="GK34" i="9"/>
  <c r="GK92" i="9"/>
  <c r="GM35" i="9"/>
  <c r="GM26" i="9"/>
  <c r="GM32" i="9"/>
  <c r="GK93" i="9"/>
  <c r="GM56" i="9"/>
  <c r="GM109" i="9"/>
  <c r="GK43" i="9"/>
  <c r="GK110" i="9"/>
  <c r="GM34" i="9"/>
  <c r="GM37" i="9"/>
  <c r="GM117" i="9"/>
  <c r="GK75" i="9"/>
  <c r="GK50" i="9"/>
  <c r="GK149" i="9"/>
  <c r="GM102" i="9"/>
  <c r="GK24" i="9"/>
  <c r="GK36" i="9"/>
  <c r="GK96" i="9"/>
  <c r="GK150" i="9"/>
  <c r="GM38" i="9"/>
  <c r="GM110" i="9"/>
  <c r="GK76" i="9"/>
  <c r="GK140" i="9"/>
  <c r="GM95" i="9"/>
  <c r="FZ199" i="9"/>
  <c r="FZ85" i="9"/>
  <c r="FZ141" i="9"/>
  <c r="FZ144" i="9"/>
  <c r="FZ32" i="9"/>
  <c r="FZ132" i="9"/>
  <c r="FZ186" i="9"/>
  <c r="FZ75" i="9"/>
  <c r="FZ40" i="9"/>
  <c r="FZ34" i="9"/>
  <c r="FZ136" i="9"/>
  <c r="FZ159" i="9"/>
  <c r="FZ55" i="9"/>
  <c r="FZ65" i="9"/>
  <c r="FZ194" i="9"/>
  <c r="FZ59" i="9"/>
  <c r="FZ77" i="9"/>
  <c r="GB199" i="9"/>
  <c r="GB85" i="9"/>
  <c r="GB141" i="9"/>
  <c r="GB144" i="9"/>
  <c r="GB32" i="9"/>
  <c r="GB132" i="9"/>
  <c r="GB186" i="9"/>
  <c r="GB75" i="9"/>
  <c r="GB40" i="9"/>
  <c r="GB34" i="9"/>
  <c r="GB136" i="9"/>
  <c r="GB159" i="9"/>
  <c r="GB55" i="9"/>
  <c r="GB65" i="9"/>
  <c r="GB194" i="9"/>
  <c r="GB59" i="9"/>
  <c r="GB77" i="9"/>
  <c r="GB124" i="9"/>
  <c r="GB108" i="9"/>
  <c r="GB93" i="9"/>
  <c r="GB96" i="9"/>
  <c r="FZ110" i="9"/>
  <c r="FZ169" i="9"/>
  <c r="GB142" i="9"/>
  <c r="GB131" i="9"/>
  <c r="GB26" i="9"/>
  <c r="GB169" i="9"/>
  <c r="FZ63" i="9"/>
  <c r="GB63" i="9"/>
  <c r="GB219" i="9"/>
  <c r="GB210" i="9"/>
  <c r="FZ217" i="9"/>
  <c r="FZ157" i="9"/>
  <c r="FZ166" i="9"/>
  <c r="FZ221" i="9"/>
  <c r="GB148" i="9"/>
  <c r="GB41" i="9"/>
  <c r="FZ222" i="9"/>
  <c r="FZ192" i="9"/>
  <c r="FZ70" i="9"/>
  <c r="GB38" i="9"/>
  <c r="GB188" i="9"/>
  <c r="GB44" i="9"/>
  <c r="FZ103" i="9"/>
  <c r="FZ114" i="9"/>
  <c r="FZ128" i="9"/>
  <c r="FZ202" i="9"/>
  <c r="FZ130" i="9"/>
  <c r="FZ90" i="9"/>
  <c r="FZ91" i="9"/>
  <c r="FZ116" i="9"/>
  <c r="FZ176" i="9"/>
  <c r="FZ155" i="9"/>
  <c r="FZ54" i="9"/>
  <c r="FZ138" i="9"/>
  <c r="FZ82" i="9"/>
  <c r="FZ57" i="9"/>
  <c r="FZ45" i="9"/>
  <c r="FZ211" i="9"/>
  <c r="FZ83" i="9"/>
  <c r="GB103" i="9"/>
  <c r="GB114" i="9"/>
  <c r="GB128" i="9"/>
  <c r="GB202" i="9"/>
  <c r="GB130" i="9"/>
  <c r="GB90" i="9"/>
  <c r="GB91" i="9"/>
  <c r="GB116" i="9"/>
  <c r="GB176" i="9"/>
  <c r="GB155" i="9"/>
  <c r="GB54" i="9"/>
  <c r="GB138" i="9"/>
  <c r="GB82" i="9"/>
  <c r="GB57" i="9"/>
  <c r="GB45" i="9"/>
  <c r="GB211" i="9"/>
  <c r="GB83" i="9"/>
  <c r="GB145" i="9"/>
  <c r="GB100" i="9"/>
  <c r="GB189" i="9"/>
  <c r="GB27" i="9"/>
  <c r="GB225" i="9"/>
  <c r="FZ147" i="9"/>
  <c r="FZ197" i="9"/>
  <c r="FZ191" i="9"/>
  <c r="FZ46" i="9"/>
  <c r="GB174" i="9"/>
  <c r="GB36" i="9"/>
  <c r="FZ171" i="9"/>
  <c r="FZ204" i="9"/>
  <c r="FZ196" i="9"/>
  <c r="FZ51" i="9"/>
  <c r="FZ118" i="9"/>
  <c r="FZ210" i="9"/>
  <c r="FZ139" i="9"/>
  <c r="GB171" i="9"/>
  <c r="GB133" i="9"/>
  <c r="GB51" i="9"/>
  <c r="GB118" i="9"/>
  <c r="GB76" i="9"/>
  <c r="GB66" i="9"/>
  <c r="FZ74" i="9"/>
  <c r="FZ148" i="9"/>
  <c r="FZ41" i="9"/>
  <c r="GB143" i="9"/>
  <c r="GB206" i="9"/>
  <c r="GB47" i="9"/>
  <c r="GB166" i="9"/>
  <c r="GB221" i="9"/>
  <c r="FZ24" i="9"/>
  <c r="FZ107" i="9"/>
  <c r="FZ167" i="9"/>
  <c r="FZ109" i="9"/>
  <c r="GB201" i="9"/>
  <c r="GB24" i="9"/>
  <c r="GB61" i="9"/>
  <c r="FZ37" i="9"/>
  <c r="FZ200" i="9"/>
  <c r="FZ79" i="9"/>
  <c r="FZ123" i="9"/>
  <c r="FZ145" i="9"/>
  <c r="FZ100" i="9"/>
  <c r="FZ124" i="9"/>
  <c r="FZ187" i="9"/>
  <c r="FZ53" i="9"/>
  <c r="FZ189" i="9"/>
  <c r="FZ27" i="9"/>
  <c r="FZ198" i="9"/>
  <c r="FZ178" i="9"/>
  <c r="FZ164" i="9"/>
  <c r="FZ108" i="9"/>
  <c r="FZ225" i="9"/>
  <c r="GB37" i="9"/>
  <c r="GB200" i="9"/>
  <c r="GB79" i="9"/>
  <c r="GB123" i="9"/>
  <c r="GB187" i="9"/>
  <c r="GB53" i="9"/>
  <c r="GB198" i="9"/>
  <c r="GB178" i="9"/>
  <c r="GB164" i="9"/>
  <c r="GB160" i="9"/>
  <c r="GB119" i="9"/>
  <c r="GB30" i="9"/>
  <c r="FZ153" i="9"/>
  <c r="FZ29" i="9"/>
  <c r="GB49" i="9"/>
  <c r="GB110" i="9"/>
  <c r="GB46" i="9"/>
  <c r="FZ133" i="9"/>
  <c r="FZ42" i="9"/>
  <c r="FZ66" i="9"/>
  <c r="GB205" i="9"/>
  <c r="FZ143" i="9"/>
  <c r="FZ206" i="9"/>
  <c r="FZ207" i="9"/>
  <c r="FZ43" i="9"/>
  <c r="GB86" i="9"/>
  <c r="GB207" i="9"/>
  <c r="GB162" i="9"/>
  <c r="GB95" i="9"/>
  <c r="FZ99" i="9"/>
  <c r="FZ151" i="9"/>
  <c r="FZ188" i="9"/>
  <c r="FZ44" i="9"/>
  <c r="GB99" i="9"/>
  <c r="GB151" i="9"/>
  <c r="GB107" i="9"/>
  <c r="GB192" i="9"/>
  <c r="GB70" i="9"/>
  <c r="FZ120" i="9"/>
  <c r="FZ104" i="9"/>
  <c r="FZ129" i="9"/>
  <c r="FZ203" i="9"/>
  <c r="FZ89" i="9"/>
  <c r="FZ223" i="9"/>
  <c r="FZ181" i="9"/>
  <c r="FZ152" i="9"/>
  <c r="FZ156" i="9"/>
  <c r="FZ117" i="9"/>
  <c r="FZ160" i="9"/>
  <c r="FZ93" i="9"/>
  <c r="FZ127" i="9"/>
  <c r="FZ119" i="9"/>
  <c r="FZ30" i="9"/>
  <c r="FZ96" i="9"/>
  <c r="GB120" i="9"/>
  <c r="GB104" i="9"/>
  <c r="GB129" i="9"/>
  <c r="GB203" i="9"/>
  <c r="GB89" i="9"/>
  <c r="GB223" i="9"/>
  <c r="GB181" i="9"/>
  <c r="GB152" i="9"/>
  <c r="GB156" i="9"/>
  <c r="GB117" i="9"/>
  <c r="GB127" i="9"/>
  <c r="FZ26" i="9"/>
  <c r="GB52" i="9"/>
  <c r="GB153" i="9"/>
  <c r="GB29" i="9"/>
  <c r="FZ121" i="9"/>
  <c r="FZ62" i="9"/>
  <c r="GB204" i="9"/>
  <c r="GB196" i="9"/>
  <c r="GB42" i="9"/>
  <c r="GB139" i="9"/>
  <c r="FZ86" i="9"/>
  <c r="FZ47" i="9"/>
  <c r="FZ162" i="9"/>
  <c r="FZ95" i="9"/>
  <c r="GB74" i="9"/>
  <c r="GB64" i="9"/>
  <c r="GB157" i="9"/>
  <c r="GB94" i="9"/>
  <c r="FZ201" i="9"/>
  <c r="FZ38" i="9"/>
  <c r="FZ61" i="9"/>
  <c r="GB87" i="9"/>
  <c r="GB25" i="9"/>
  <c r="GB56" i="9"/>
  <c r="FZ22" i="9"/>
  <c r="FZ78" i="9"/>
  <c r="FZ73" i="9"/>
  <c r="FZ98" i="9"/>
  <c r="FZ67" i="9"/>
  <c r="FZ146" i="9"/>
  <c r="FZ33" i="9"/>
  <c r="FZ134" i="9"/>
  <c r="FZ126" i="9"/>
  <c r="FZ35" i="9"/>
  <c r="FZ106" i="9"/>
  <c r="FZ101" i="9"/>
  <c r="FZ161" i="9"/>
  <c r="FZ84" i="9"/>
  <c r="FZ165" i="9"/>
  <c r="FZ69" i="9"/>
  <c r="FZ71" i="9"/>
  <c r="GB22" i="9"/>
  <c r="GB78" i="9"/>
  <c r="GB73" i="9"/>
  <c r="GB98" i="9"/>
  <c r="GB67" i="9"/>
  <c r="GB146" i="9"/>
  <c r="GB33" i="9"/>
  <c r="GB134" i="9"/>
  <c r="GB126" i="9"/>
  <c r="GB35" i="9"/>
  <c r="GB106" i="9"/>
  <c r="GB101" i="9"/>
  <c r="GB161" i="9"/>
  <c r="GB84" i="9"/>
  <c r="GB165" i="9"/>
  <c r="GB69" i="9"/>
  <c r="GB71" i="9"/>
  <c r="FZ52" i="9"/>
  <c r="FZ49" i="9"/>
  <c r="FZ142" i="9"/>
  <c r="FZ184" i="9"/>
  <c r="FZ131" i="9"/>
  <c r="FZ174" i="9"/>
  <c r="FZ36" i="9"/>
  <c r="FZ113" i="9"/>
  <c r="GB184" i="9"/>
  <c r="GB147" i="9"/>
  <c r="GB197" i="9"/>
  <c r="GB191" i="9"/>
  <c r="GB113" i="9"/>
  <c r="FZ205" i="9"/>
  <c r="FZ219" i="9"/>
  <c r="FZ76" i="9"/>
  <c r="GB121" i="9"/>
  <c r="GB62" i="9"/>
  <c r="FZ64" i="9"/>
  <c r="FZ94" i="9"/>
  <c r="GB217" i="9"/>
  <c r="GB43" i="9"/>
  <c r="FZ87" i="9"/>
  <c r="FZ25" i="9"/>
  <c r="FZ56" i="9"/>
  <c r="GB222" i="9"/>
  <c r="GB167" i="9"/>
  <c r="FZ72" i="9"/>
  <c r="FZ39" i="9"/>
  <c r="FZ154" i="9"/>
  <c r="FZ163" i="9"/>
  <c r="FZ97" i="9"/>
  <c r="GB23" i="9"/>
  <c r="GB149" i="9"/>
  <c r="GB158" i="9"/>
  <c r="GB58" i="9"/>
  <c r="GB224" i="9"/>
  <c r="FZ88" i="9"/>
  <c r="GB177" i="9"/>
  <c r="FZ150" i="9"/>
  <c r="GB60" i="9"/>
  <c r="GB102" i="9"/>
  <c r="GB182" i="9"/>
  <c r="FZ50" i="9"/>
  <c r="GB122" i="9"/>
  <c r="FZ31" i="9"/>
  <c r="FZ195" i="9"/>
  <c r="FZ135" i="9"/>
  <c r="FZ177" i="9"/>
  <c r="FZ170" i="9"/>
  <c r="GB88" i="9"/>
  <c r="GB218" i="9"/>
  <c r="GB209" i="9"/>
  <c r="GB168" i="9"/>
  <c r="FZ23" i="9"/>
  <c r="GB72" i="9"/>
  <c r="GB154" i="9"/>
  <c r="FZ218" i="9"/>
  <c r="FZ137" i="9"/>
  <c r="GB105" i="9"/>
  <c r="FZ115" i="9"/>
  <c r="GB180" i="9"/>
  <c r="GB179" i="9"/>
  <c r="FZ140" i="9"/>
  <c r="GB81" i="9"/>
  <c r="FZ111" i="9"/>
  <c r="GB208" i="9"/>
  <c r="FZ60" i="9"/>
  <c r="FZ173" i="9"/>
  <c r="FZ105" i="9"/>
  <c r="FZ48" i="9"/>
  <c r="FZ179" i="9"/>
  <c r="GB183" i="9"/>
  <c r="GB150" i="9"/>
  <c r="GB137" i="9"/>
  <c r="GB112" i="9"/>
  <c r="GB125" i="9"/>
  <c r="GB163" i="9"/>
  <c r="FZ168" i="9"/>
  <c r="GB31" i="9"/>
  <c r="GB48" i="9"/>
  <c r="FZ190" i="9"/>
  <c r="GB80" i="9"/>
  <c r="GB175" i="9"/>
  <c r="GB220" i="9"/>
  <c r="FZ180" i="9"/>
  <c r="FZ80" i="9"/>
  <c r="FZ68" i="9"/>
  <c r="FZ102" i="9"/>
  <c r="GB115" i="9"/>
  <c r="GB92" i="9"/>
  <c r="GB190" i="9"/>
  <c r="GB212" i="9"/>
  <c r="FZ175" i="9"/>
  <c r="FZ208" i="9"/>
  <c r="FZ220" i="9"/>
  <c r="GB111" i="9"/>
  <c r="FZ158" i="9"/>
  <c r="GB39" i="9"/>
  <c r="GB135" i="9"/>
  <c r="FZ183" i="9"/>
  <c r="FZ112" i="9"/>
  <c r="FZ212" i="9"/>
  <c r="GB68" i="9"/>
  <c r="FZ28" i="9"/>
  <c r="FZ125" i="9"/>
  <c r="FZ182" i="9"/>
  <c r="FZ185" i="9"/>
  <c r="FZ81" i="9"/>
  <c r="FZ193" i="9"/>
  <c r="GB172" i="9"/>
  <c r="GB28" i="9"/>
  <c r="GB140" i="9"/>
  <c r="FZ122" i="9"/>
  <c r="GB50" i="9"/>
  <c r="FZ149" i="9"/>
  <c r="FZ58" i="9"/>
  <c r="GB109" i="9"/>
  <c r="FZ209" i="9"/>
  <c r="GB195" i="9"/>
  <c r="GB97" i="9"/>
  <c r="GB173" i="9"/>
  <c r="GB170" i="9"/>
  <c r="FZ92" i="9"/>
  <c r="FZ172" i="9"/>
  <c r="GB185" i="9"/>
  <c r="GB193" i="9"/>
  <c r="FZ224" i="9"/>
  <c r="FO149" i="9"/>
  <c r="FO33" i="9"/>
  <c r="FO53" i="9"/>
  <c r="FO79" i="9"/>
  <c r="FO71" i="9"/>
  <c r="FO165" i="9"/>
  <c r="FO125" i="9"/>
  <c r="FO146" i="9"/>
  <c r="FO92" i="9"/>
  <c r="FO140" i="9"/>
  <c r="FO65" i="9"/>
  <c r="FO99" i="9"/>
  <c r="FO30" i="9"/>
  <c r="FQ49" i="9"/>
  <c r="FQ136" i="9"/>
  <c r="FQ25" i="9"/>
  <c r="FQ104" i="9"/>
  <c r="FQ164" i="9"/>
  <c r="FQ124" i="9"/>
  <c r="FQ113" i="9"/>
  <c r="FQ166" i="9"/>
  <c r="FQ147" i="9"/>
  <c r="FQ64" i="9"/>
  <c r="FQ133" i="9"/>
  <c r="FQ68" i="9"/>
  <c r="FQ101" i="9"/>
  <c r="FQ109" i="9"/>
  <c r="FQ141" i="9"/>
  <c r="FO124" i="9"/>
  <c r="FQ149" i="9"/>
  <c r="FQ71" i="9"/>
  <c r="FQ92" i="9"/>
  <c r="FO50" i="9"/>
  <c r="FO155" i="9"/>
  <c r="FO61" i="9"/>
  <c r="FO95" i="9"/>
  <c r="FQ162" i="9"/>
  <c r="FQ156" i="9"/>
  <c r="FQ151" i="9"/>
  <c r="FQ42" i="9"/>
  <c r="FO74" i="9"/>
  <c r="FO87" i="9"/>
  <c r="FO119" i="9"/>
  <c r="FQ81" i="9"/>
  <c r="FQ131" i="9"/>
  <c r="FO154" i="9"/>
  <c r="FO47" i="9"/>
  <c r="FO157" i="9"/>
  <c r="FO67" i="9"/>
  <c r="FQ142" i="9"/>
  <c r="FQ129" i="9"/>
  <c r="FO162" i="9"/>
  <c r="FO143" i="9"/>
  <c r="FO76" i="9"/>
  <c r="FO56" i="9"/>
  <c r="FO156" i="9"/>
  <c r="FO58" i="9"/>
  <c r="FO151" i="9"/>
  <c r="FO26" i="9"/>
  <c r="FO41" i="9"/>
  <c r="FO130" i="9"/>
  <c r="FO42" i="9"/>
  <c r="FO118" i="9"/>
  <c r="FO169" i="9"/>
  <c r="FQ50" i="9"/>
  <c r="FQ44" i="9"/>
  <c r="FQ78" i="9"/>
  <c r="FQ155" i="9"/>
  <c r="FQ123" i="9"/>
  <c r="FQ46" i="9"/>
  <c r="FQ127" i="9"/>
  <c r="FQ61" i="9"/>
  <c r="FQ35" i="9"/>
  <c r="FQ95" i="9"/>
  <c r="FQ134" i="9"/>
  <c r="FQ43" i="9"/>
  <c r="FQ121" i="9"/>
  <c r="FO171" i="9"/>
  <c r="FO82" i="9"/>
  <c r="FO36" i="9"/>
  <c r="FO48" i="9"/>
  <c r="FQ106" i="9"/>
  <c r="FQ72" i="9"/>
  <c r="FO136" i="9"/>
  <c r="FO166" i="9"/>
  <c r="FO133" i="9"/>
  <c r="FQ53" i="9"/>
  <c r="FQ165" i="9"/>
  <c r="FQ140" i="9"/>
  <c r="FO44" i="9"/>
  <c r="FO46" i="9"/>
  <c r="FO35" i="9"/>
  <c r="FO43" i="9"/>
  <c r="FQ76" i="9"/>
  <c r="FQ130" i="9"/>
  <c r="FO105" i="9"/>
  <c r="FO116" i="9"/>
  <c r="FQ52" i="9"/>
  <c r="FQ110" i="9"/>
  <c r="FQ173" i="9"/>
  <c r="FQ32" i="9"/>
  <c r="FO114" i="9"/>
  <c r="FQ57" i="9"/>
  <c r="FQ112" i="9"/>
  <c r="FQ63" i="9"/>
  <c r="FQ98" i="9"/>
  <c r="FQ48" i="9"/>
  <c r="FO22" i="9"/>
  <c r="FO52" i="9"/>
  <c r="FO24" i="9"/>
  <c r="FO80" i="9"/>
  <c r="FO81" i="9"/>
  <c r="FO110" i="9"/>
  <c r="FO86" i="9"/>
  <c r="FO40" i="9"/>
  <c r="FO27" i="9"/>
  <c r="FO131" i="9"/>
  <c r="FO173" i="9"/>
  <c r="FO100" i="9"/>
  <c r="FO32" i="9"/>
  <c r="FQ74" i="9"/>
  <c r="FQ23" i="9"/>
  <c r="FQ54" i="9"/>
  <c r="FQ105" i="9"/>
  <c r="FQ108" i="9"/>
  <c r="FQ111" i="9"/>
  <c r="FQ87" i="9"/>
  <c r="FQ90" i="9"/>
  <c r="FQ116" i="9"/>
  <c r="FQ96" i="9"/>
  <c r="FQ117" i="9"/>
  <c r="FQ119" i="9"/>
  <c r="FQ174" i="9"/>
  <c r="FO77" i="9"/>
  <c r="FO89" i="9"/>
  <c r="FO66" i="9"/>
  <c r="FQ75" i="9"/>
  <c r="FQ152" i="9"/>
  <c r="FO49" i="9"/>
  <c r="FO104" i="9"/>
  <c r="FO64" i="9"/>
  <c r="FO68" i="9"/>
  <c r="FQ33" i="9"/>
  <c r="FQ125" i="9"/>
  <c r="FQ30" i="9"/>
  <c r="FO123" i="9"/>
  <c r="FO121" i="9"/>
  <c r="FQ58" i="9"/>
  <c r="FQ41" i="9"/>
  <c r="FQ169" i="9"/>
  <c r="FO54" i="9"/>
  <c r="FO111" i="9"/>
  <c r="FO96" i="9"/>
  <c r="FQ80" i="9"/>
  <c r="FQ40" i="9"/>
  <c r="FQ100" i="9"/>
  <c r="FO34" i="9"/>
  <c r="FO168" i="9"/>
  <c r="FQ172" i="9"/>
  <c r="FQ107" i="9"/>
  <c r="FQ93" i="9"/>
  <c r="FQ36" i="9"/>
  <c r="FO142" i="9"/>
  <c r="FO144" i="9"/>
  <c r="FO172" i="9"/>
  <c r="FO57" i="9"/>
  <c r="FO107" i="9"/>
  <c r="FO59" i="9"/>
  <c r="FO112" i="9"/>
  <c r="FO115" i="9"/>
  <c r="FO93" i="9"/>
  <c r="FO63" i="9"/>
  <c r="FO98" i="9"/>
  <c r="FO159" i="9"/>
  <c r="FO135" i="9"/>
  <c r="FQ170" i="9"/>
  <c r="FQ103" i="9"/>
  <c r="FQ154" i="9"/>
  <c r="FQ31" i="9"/>
  <c r="FQ34" i="9"/>
  <c r="FQ47" i="9"/>
  <c r="FQ114" i="9"/>
  <c r="FQ91" i="9"/>
  <c r="FQ157" i="9"/>
  <c r="FQ168" i="9"/>
  <c r="FQ67" i="9"/>
  <c r="FQ120" i="9"/>
  <c r="FQ29" i="9"/>
  <c r="FO150" i="9"/>
  <c r="FO139" i="9"/>
  <c r="FO160" i="9"/>
  <c r="FQ70" i="9"/>
  <c r="FQ88" i="9"/>
  <c r="FQ161" i="9"/>
  <c r="FO25" i="9"/>
  <c r="FO147" i="9"/>
  <c r="FQ146" i="9"/>
  <c r="FO127" i="9"/>
  <c r="FQ143" i="9"/>
  <c r="FO23" i="9"/>
  <c r="FO90" i="9"/>
  <c r="FO174" i="9"/>
  <c r="FQ22" i="9"/>
  <c r="FQ86" i="9"/>
  <c r="FO170" i="9"/>
  <c r="FO31" i="9"/>
  <c r="FO120" i="9"/>
  <c r="FQ59" i="9"/>
  <c r="FQ115" i="9"/>
  <c r="FQ159" i="9"/>
  <c r="FQ66" i="9"/>
  <c r="FO73" i="9"/>
  <c r="FO153" i="9"/>
  <c r="FO145" i="9"/>
  <c r="FO163" i="9"/>
  <c r="FO122" i="9"/>
  <c r="FO84" i="9"/>
  <c r="FO126" i="9"/>
  <c r="FO138" i="9"/>
  <c r="FO28" i="9"/>
  <c r="FO94" i="9"/>
  <c r="FO148" i="9"/>
  <c r="FO38" i="9"/>
  <c r="FO39" i="9"/>
  <c r="FQ51" i="9"/>
  <c r="FQ37" i="9"/>
  <c r="FQ55" i="9"/>
  <c r="FQ137" i="9"/>
  <c r="FQ83" i="9"/>
  <c r="FQ60" i="9"/>
  <c r="FQ128" i="9"/>
  <c r="FQ167" i="9"/>
  <c r="FQ62" i="9"/>
  <c r="FQ132" i="9"/>
  <c r="FQ158" i="9"/>
  <c r="FO102" i="9"/>
  <c r="FO45" i="9"/>
  <c r="FO129" i="9"/>
  <c r="FQ69" i="9"/>
  <c r="FQ85" i="9"/>
  <c r="FQ97" i="9"/>
  <c r="FO164" i="9"/>
  <c r="FO113" i="9"/>
  <c r="FO101" i="9"/>
  <c r="FQ79" i="9"/>
  <c r="FQ65" i="9"/>
  <c r="FQ99" i="9"/>
  <c r="FO78" i="9"/>
  <c r="FO134" i="9"/>
  <c r="FQ56" i="9"/>
  <c r="FQ26" i="9"/>
  <c r="FQ118" i="9"/>
  <c r="FO108" i="9"/>
  <c r="FO117" i="9"/>
  <c r="FQ24" i="9"/>
  <c r="FQ27" i="9"/>
  <c r="FO103" i="9"/>
  <c r="FO91" i="9"/>
  <c r="FQ144" i="9"/>
  <c r="FQ135" i="9"/>
  <c r="FO51" i="9"/>
  <c r="FO37" i="9"/>
  <c r="FO55" i="9"/>
  <c r="FO137" i="9"/>
  <c r="FO83" i="9"/>
  <c r="FO60" i="9"/>
  <c r="FO128" i="9"/>
  <c r="FO167" i="9"/>
  <c r="FO62" i="9"/>
  <c r="FO132" i="9"/>
  <c r="FO158" i="9"/>
  <c r="FO29" i="9"/>
  <c r="FQ73" i="9"/>
  <c r="FQ153" i="9"/>
  <c r="FQ145" i="9"/>
  <c r="FQ163" i="9"/>
  <c r="FQ122" i="9"/>
  <c r="FQ84" i="9"/>
  <c r="FQ126" i="9"/>
  <c r="FQ138" i="9"/>
  <c r="FQ28" i="9"/>
  <c r="FQ94" i="9"/>
  <c r="FQ148" i="9"/>
  <c r="FQ38" i="9"/>
  <c r="FQ39" i="9"/>
  <c r="FO69" i="9"/>
  <c r="FO75" i="9"/>
  <c r="FO70" i="9"/>
  <c r="FO106" i="9"/>
  <c r="FO109" i="9"/>
  <c r="FO85" i="9"/>
  <c r="FO88" i="9"/>
  <c r="FO152" i="9"/>
  <c r="FO72" i="9"/>
  <c r="FO97" i="9"/>
  <c r="FO141" i="9"/>
  <c r="FO161" i="9"/>
  <c r="FQ102" i="9"/>
  <c r="FQ171" i="9"/>
  <c r="FQ77" i="9"/>
  <c r="FQ150" i="9"/>
  <c r="FQ82" i="9"/>
  <c r="FQ45" i="9"/>
  <c r="FQ139" i="9"/>
  <c r="FQ89" i="9"/>
  <c r="FQ160" i="9"/>
  <c r="FD121" i="9"/>
  <c r="FD28" i="9"/>
  <c r="FD22" i="9"/>
  <c r="FD229" i="9"/>
  <c r="FD185" i="9"/>
  <c r="FD137" i="9"/>
  <c r="FD42" i="9"/>
  <c r="FD46" i="9"/>
  <c r="FD51" i="9"/>
  <c r="FD167" i="9"/>
  <c r="FD58" i="9"/>
  <c r="FD85" i="9"/>
  <c r="FD64" i="9"/>
  <c r="FD222" i="9"/>
  <c r="FD223" i="9"/>
  <c r="FD73" i="9"/>
  <c r="FD76" i="9"/>
  <c r="FD157" i="9"/>
  <c r="FD89" i="9"/>
  <c r="FF134" i="9"/>
  <c r="FF30" i="9"/>
  <c r="FF135" i="9"/>
  <c r="FF35" i="9"/>
  <c r="FF190" i="9"/>
  <c r="FF130" i="9"/>
  <c r="FF110" i="9"/>
  <c r="FF127" i="9"/>
  <c r="FF53" i="9"/>
  <c r="FF84" i="9"/>
  <c r="FF97" i="9"/>
  <c r="FF62" i="9"/>
  <c r="FF217" i="9"/>
  <c r="FF197" i="9"/>
  <c r="FF224" i="9"/>
  <c r="FF175" i="9"/>
  <c r="FF78" i="9"/>
  <c r="FF239" i="9"/>
  <c r="FD26" i="9"/>
  <c r="FD183" i="9"/>
  <c r="FD149" i="9"/>
  <c r="FD131" i="9"/>
  <c r="FD221" i="9"/>
  <c r="FD109" i="9"/>
  <c r="FD43" i="9"/>
  <c r="FD47" i="9"/>
  <c r="FD128" i="9"/>
  <c r="FD96" i="9"/>
  <c r="FD234" i="9"/>
  <c r="FD105" i="9"/>
  <c r="FD152" i="9"/>
  <c r="FD88" i="9"/>
  <c r="FD172" i="9"/>
  <c r="FD204" i="9"/>
  <c r="FD145" i="9"/>
  <c r="FD146" i="9"/>
  <c r="FD81" i="9"/>
  <c r="FF182" i="9"/>
  <c r="FF228" i="9"/>
  <c r="FF206" i="9"/>
  <c r="FF36" i="9"/>
  <c r="FF38" i="9"/>
  <c r="FF194" i="9"/>
  <c r="FF44" i="9"/>
  <c r="FF91" i="9"/>
  <c r="FF155" i="9"/>
  <c r="FF56" i="9"/>
  <c r="FF59" i="9"/>
  <c r="FF24" i="9"/>
  <c r="FF132" i="9"/>
  <c r="FF212" i="9"/>
  <c r="FF119" i="9"/>
  <c r="FD205" i="9"/>
  <c r="FD148" i="9"/>
  <c r="FD33" i="9"/>
  <c r="FD161" i="9"/>
  <c r="FD37" i="9"/>
  <c r="FD193" i="9"/>
  <c r="FD165" i="9"/>
  <c r="FD181" i="9"/>
  <c r="FD52" i="9"/>
  <c r="FD233" i="9"/>
  <c r="FD188" i="9"/>
  <c r="FD61" i="9"/>
  <c r="FD65" i="9"/>
  <c r="FD133" i="9"/>
  <c r="FD25" i="9"/>
  <c r="FD74" i="9"/>
  <c r="FD176" i="9"/>
  <c r="FD147" i="9"/>
  <c r="FD90" i="9"/>
  <c r="FF122" i="9"/>
  <c r="FF31" i="9"/>
  <c r="FF184" i="9"/>
  <c r="FF216" i="9"/>
  <c r="FF163" i="9"/>
  <c r="FF39" i="9"/>
  <c r="FF214" i="9"/>
  <c r="FF115" i="9"/>
  <c r="FF151" i="9"/>
  <c r="FF168" i="9"/>
  <c r="FF92" i="9"/>
  <c r="FF129" i="9"/>
  <c r="FF98" i="9"/>
  <c r="FF69" i="9"/>
  <c r="FF220" i="9"/>
  <c r="FF189" i="9"/>
  <c r="FF177" i="9"/>
  <c r="FF241" i="9"/>
  <c r="FD151" i="9"/>
  <c r="FD98" i="9"/>
  <c r="FD241" i="9"/>
  <c r="FF41" i="9"/>
  <c r="FF50" i="9"/>
  <c r="FF57" i="9"/>
  <c r="FF196" i="9"/>
  <c r="FF209" i="9"/>
  <c r="FD32" i="9"/>
  <c r="FD186" i="9"/>
  <c r="FD48" i="9"/>
  <c r="FD195" i="9"/>
  <c r="FD70" i="9"/>
  <c r="FD173" i="9"/>
  <c r="FF200" i="9"/>
  <c r="FF202" i="9"/>
  <c r="FF124" i="9"/>
  <c r="FF211" i="9"/>
  <c r="FF178" i="9"/>
  <c r="FD160" i="9"/>
  <c r="FD104" i="9"/>
  <c r="FD54" i="9"/>
  <c r="FD116" i="9"/>
  <c r="FD101" i="9"/>
  <c r="FD158" i="9"/>
  <c r="FD29" i="9"/>
  <c r="FD102" i="9"/>
  <c r="FD34" i="9"/>
  <c r="FD83" i="9"/>
  <c r="FD95" i="9"/>
  <c r="FD203" i="9"/>
  <c r="FD210" i="9"/>
  <c r="FD208" i="9"/>
  <c r="FD141" i="9"/>
  <c r="FD111" i="9"/>
  <c r="FD106" i="9"/>
  <c r="FD219" i="9"/>
  <c r="FD68" i="9"/>
  <c r="FD198" i="9"/>
  <c r="FD75" i="9"/>
  <c r="FD77" i="9"/>
  <c r="FD80" i="9"/>
  <c r="FD82" i="9"/>
  <c r="FF159" i="9"/>
  <c r="FF32" i="9"/>
  <c r="FF154" i="9"/>
  <c r="FF162" i="9"/>
  <c r="FF186" i="9"/>
  <c r="FF99" i="9"/>
  <c r="FF114" i="9"/>
  <c r="FF48" i="9"/>
  <c r="FF139" i="9"/>
  <c r="FF195" i="9"/>
  <c r="FF23" i="9"/>
  <c r="FF117" i="9"/>
  <c r="FF218" i="9"/>
  <c r="FF70" i="9"/>
  <c r="FF173" i="9"/>
  <c r="FF120" i="9"/>
  <c r="FF79" i="9"/>
  <c r="FF179" i="9"/>
  <c r="FF101" i="9"/>
  <c r="FF180" i="9"/>
  <c r="FF238" i="9"/>
  <c r="FD184" i="9"/>
  <c r="FD39" i="9"/>
  <c r="FD115" i="9"/>
  <c r="FD92" i="9"/>
  <c r="FD177" i="9"/>
  <c r="FF199" i="9"/>
  <c r="FF192" i="9"/>
  <c r="FF164" i="9"/>
  <c r="FF60" i="9"/>
  <c r="FF93" i="9"/>
  <c r="FF143" i="9"/>
  <c r="FD154" i="9"/>
  <c r="FD114" i="9"/>
  <c r="FD218" i="9"/>
  <c r="FF112" i="9"/>
  <c r="FF166" i="9"/>
  <c r="FF86" i="9"/>
  <c r="FF71" i="9"/>
  <c r="FF144" i="9"/>
  <c r="FF108" i="9"/>
  <c r="FD150" i="9"/>
  <c r="FD40" i="9"/>
  <c r="FD125" i="9"/>
  <c r="FD138" i="9"/>
  <c r="FD142" i="9"/>
  <c r="FD100" i="9"/>
  <c r="FD94" i="9"/>
  <c r="FD134" i="9"/>
  <c r="FD30" i="9"/>
  <c r="FD135" i="9"/>
  <c r="FD35" i="9"/>
  <c r="FD190" i="9"/>
  <c r="FD130" i="9"/>
  <c r="FD110" i="9"/>
  <c r="FD127" i="9"/>
  <c r="FD53" i="9"/>
  <c r="FD84" i="9"/>
  <c r="FD97" i="9"/>
  <c r="FD62" i="9"/>
  <c r="FD217" i="9"/>
  <c r="FD197" i="9"/>
  <c r="FD224" i="9"/>
  <c r="FD175" i="9"/>
  <c r="FD78" i="9"/>
  <c r="FD239" i="9"/>
  <c r="FF226" i="9"/>
  <c r="FF160" i="9"/>
  <c r="FF150" i="9"/>
  <c r="FF230" i="9"/>
  <c r="FF104" i="9"/>
  <c r="FF40" i="9"/>
  <c r="FF125" i="9"/>
  <c r="FF138" i="9"/>
  <c r="FF54" i="9"/>
  <c r="FF116" i="9"/>
  <c r="FF235" i="9"/>
  <c r="FF142" i="9"/>
  <c r="FF66" i="9"/>
  <c r="FF118" i="9"/>
  <c r="FF100" i="9"/>
  <c r="FF94" i="9"/>
  <c r="FF72" i="9"/>
  <c r="FF107" i="9"/>
  <c r="FD122" i="9"/>
  <c r="FD163" i="9"/>
  <c r="FD214" i="9"/>
  <c r="FD129" i="9"/>
  <c r="FD189" i="9"/>
  <c r="FF227" i="9"/>
  <c r="FF207" i="9"/>
  <c r="FF174" i="9"/>
  <c r="FF191" i="9"/>
  <c r="FD162" i="9"/>
  <c r="FD23" i="9"/>
  <c r="FD117" i="9"/>
  <c r="FD79" i="9"/>
  <c r="FD179" i="9"/>
  <c r="FF113" i="9"/>
  <c r="FF140" i="9"/>
  <c r="FF236" i="9"/>
  <c r="FD226" i="9"/>
  <c r="FD230" i="9"/>
  <c r="FD235" i="9"/>
  <c r="FD66" i="9"/>
  <c r="FD118" i="9"/>
  <c r="FD180" i="9"/>
  <c r="FD182" i="9"/>
  <c r="FD228" i="9"/>
  <c r="FD206" i="9"/>
  <c r="FD36" i="9"/>
  <c r="FD38" i="9"/>
  <c r="FD194" i="9"/>
  <c r="FD44" i="9"/>
  <c r="FD91" i="9"/>
  <c r="FD155" i="9"/>
  <c r="FD56" i="9"/>
  <c r="FD59" i="9"/>
  <c r="FD24" i="9"/>
  <c r="FD132" i="9"/>
  <c r="FD212" i="9"/>
  <c r="FD119" i="9"/>
  <c r="FD237" i="9"/>
  <c r="FD156" i="9"/>
  <c r="FD240" i="9"/>
  <c r="FF27" i="9"/>
  <c r="FF215" i="9"/>
  <c r="FF201" i="9"/>
  <c r="FF136" i="9"/>
  <c r="FF231" i="9"/>
  <c r="FF123" i="9"/>
  <c r="FF126" i="9"/>
  <c r="FF49" i="9"/>
  <c r="FF55" i="9"/>
  <c r="FF169" i="9"/>
  <c r="FF170" i="9"/>
  <c r="FF63" i="9"/>
  <c r="FF67" i="9"/>
  <c r="FF153" i="9"/>
  <c r="FF213" i="9"/>
  <c r="FD31" i="9"/>
  <c r="FD216" i="9"/>
  <c r="FD168" i="9"/>
  <c r="FD69" i="9"/>
  <c r="FD220" i="9"/>
  <c r="FF225" i="9"/>
  <c r="FF232" i="9"/>
  <c r="FF187" i="9"/>
  <c r="FD159" i="9"/>
  <c r="FD99" i="9"/>
  <c r="FD139" i="9"/>
  <c r="FD120" i="9"/>
  <c r="FF103" i="9"/>
  <c r="FF45" i="9"/>
  <c r="FF171" i="9"/>
  <c r="FF87" i="9"/>
  <c r="FD227" i="9"/>
  <c r="FD199" i="9"/>
  <c r="FD192" i="9"/>
  <c r="FD225" i="9"/>
  <c r="FD164" i="9"/>
  <c r="FD41" i="9"/>
  <c r="FD207" i="9"/>
  <c r="FD50" i="9"/>
  <c r="FD232" i="9"/>
  <c r="FD57" i="9"/>
  <c r="FD60" i="9"/>
  <c r="FD196" i="9"/>
  <c r="FD93" i="9"/>
  <c r="FD209" i="9"/>
  <c r="FD174" i="9"/>
  <c r="FD143" i="9"/>
  <c r="FD187" i="9"/>
  <c r="FD191" i="9"/>
  <c r="FF205" i="9"/>
  <c r="FF148" i="9"/>
  <c r="FF33" i="9"/>
  <c r="FF161" i="9"/>
  <c r="FF37" i="9"/>
  <c r="FF193" i="9"/>
  <c r="FF165" i="9"/>
  <c r="FF181" i="9"/>
  <c r="FF52" i="9"/>
  <c r="FF233" i="9"/>
  <c r="FF188" i="9"/>
  <c r="FF61" i="9"/>
  <c r="FF65" i="9"/>
  <c r="FF133" i="9"/>
  <c r="FF25" i="9"/>
  <c r="FF74" i="9"/>
  <c r="FF176" i="9"/>
  <c r="FF147" i="9"/>
  <c r="FF90" i="9"/>
  <c r="FD112" i="9"/>
  <c r="FD200" i="9"/>
  <c r="FD113" i="9"/>
  <c r="FD103" i="9"/>
  <c r="FD202" i="9"/>
  <c r="FD124" i="9"/>
  <c r="FD45" i="9"/>
  <c r="FD166" i="9"/>
  <c r="FD140" i="9"/>
  <c r="FD211" i="9"/>
  <c r="FD171" i="9"/>
  <c r="FD86" i="9"/>
  <c r="FD87" i="9"/>
  <c r="FD71" i="9"/>
  <c r="FD236" i="9"/>
  <c r="FD144" i="9"/>
  <c r="FD178" i="9"/>
  <c r="FD108" i="9"/>
  <c r="FF158" i="9"/>
  <c r="FF29" i="9"/>
  <c r="FF102" i="9"/>
  <c r="FF34" i="9"/>
  <c r="FF83" i="9"/>
  <c r="FF95" i="9"/>
  <c r="FF203" i="9"/>
  <c r="FF210" i="9"/>
  <c r="FF208" i="9"/>
  <c r="FF141" i="9"/>
  <c r="FF111" i="9"/>
  <c r="FF106" i="9"/>
  <c r="FF219" i="9"/>
  <c r="FF68" i="9"/>
  <c r="FF198" i="9"/>
  <c r="FD27" i="9"/>
  <c r="FD67" i="9"/>
  <c r="FF183" i="9"/>
  <c r="FF47" i="9"/>
  <c r="FF88" i="9"/>
  <c r="FF146" i="9"/>
  <c r="FD215" i="9"/>
  <c r="FD153" i="9"/>
  <c r="FF22" i="9"/>
  <c r="FF51" i="9"/>
  <c r="FF223" i="9"/>
  <c r="FF85" i="9"/>
  <c r="FF105" i="9"/>
  <c r="FD201" i="9"/>
  <c r="FD72" i="9"/>
  <c r="FF149" i="9"/>
  <c r="FF128" i="9"/>
  <c r="FF172" i="9"/>
  <c r="FF240" i="9"/>
  <c r="FF89" i="9"/>
  <c r="FD123" i="9"/>
  <c r="FF58" i="9"/>
  <c r="FF75" i="9"/>
  <c r="FF221" i="9"/>
  <c r="FD55" i="9"/>
  <c r="FF121" i="9"/>
  <c r="FF77" i="9"/>
  <c r="FD136" i="9"/>
  <c r="FD107" i="9"/>
  <c r="FF229" i="9"/>
  <c r="FF167" i="9"/>
  <c r="FF73" i="9"/>
  <c r="FF204" i="9"/>
  <c r="FD213" i="9"/>
  <c r="FF82" i="9"/>
  <c r="FF234" i="9"/>
  <c r="FF76" i="9"/>
  <c r="FF145" i="9"/>
  <c r="FD231" i="9"/>
  <c r="FD238" i="9"/>
  <c r="FF131" i="9"/>
  <c r="FF96" i="9"/>
  <c r="FF81" i="9"/>
  <c r="FF185" i="9"/>
  <c r="FD126" i="9"/>
  <c r="FD49" i="9"/>
  <c r="FF137" i="9"/>
  <c r="FD169" i="9"/>
  <c r="FD170" i="9"/>
  <c r="FF26" i="9"/>
  <c r="FF43" i="9"/>
  <c r="FF152" i="9"/>
  <c r="FF156" i="9"/>
  <c r="FD63" i="9"/>
  <c r="FF28" i="9"/>
  <c r="FF46" i="9"/>
  <c r="FF222" i="9"/>
  <c r="FF157" i="9"/>
  <c r="FF80" i="9"/>
  <c r="FF237" i="9"/>
  <c r="FF109" i="9"/>
  <c r="FF42" i="9"/>
  <c r="FF64" i="9"/>
  <c r="ES151" i="9"/>
  <c r="ES222" i="9"/>
  <c r="ES120" i="9"/>
  <c r="ES236" i="9"/>
  <c r="ES88" i="9"/>
  <c r="ES275" i="9"/>
  <c r="ES238" i="9"/>
  <c r="ES277" i="9"/>
  <c r="ES278" i="9"/>
  <c r="ES25" i="9"/>
  <c r="ES54" i="9"/>
  <c r="ES96" i="9"/>
  <c r="ES27" i="9"/>
  <c r="ES230" i="9"/>
  <c r="ES28" i="9"/>
  <c r="ES243" i="9"/>
  <c r="ES313" i="9"/>
  <c r="ES147" i="9"/>
  <c r="ES248" i="9"/>
  <c r="ES72" i="9"/>
  <c r="ES272" i="9"/>
  <c r="ES280" i="9"/>
  <c r="ES191" i="9"/>
  <c r="ES149" i="9"/>
  <c r="ES111" i="9"/>
  <c r="ES209" i="9"/>
  <c r="ES176" i="9"/>
  <c r="EU332" i="9"/>
  <c r="EU134" i="9"/>
  <c r="EU85" i="9"/>
  <c r="EU87" i="9"/>
  <c r="EU215" i="9"/>
  <c r="EU47" i="9"/>
  <c r="EU169" i="9"/>
  <c r="EU92" i="9"/>
  <c r="EU185" i="9"/>
  <c r="EU126" i="9"/>
  <c r="EU55" i="9"/>
  <c r="EU309" i="9"/>
  <c r="EU198" i="9"/>
  <c r="EU218" i="9"/>
  <c r="EU268" i="9"/>
  <c r="EU62" i="9"/>
  <c r="EU146" i="9"/>
  <c r="EU247" i="9"/>
  <c r="EU271" i="9"/>
  <c r="EU74" i="9"/>
  <c r="EU295" i="9"/>
  <c r="EU316" i="9"/>
  <c r="EU306" i="9"/>
  <c r="EU110" i="9"/>
  <c r="EU334" i="9"/>
  <c r="EU81" i="9"/>
  <c r="EU60" i="9"/>
  <c r="EU219" i="9"/>
  <c r="EU182" i="9"/>
  <c r="EU315" i="9"/>
  <c r="EU173" i="9"/>
  <c r="EU330" i="9"/>
  <c r="EU256" i="9"/>
  <c r="ES133" i="9"/>
  <c r="ES274" i="9"/>
  <c r="ES90" i="9"/>
  <c r="ES286" i="9"/>
  <c r="ES50" i="9"/>
  <c r="ES159" i="9"/>
  <c r="ES94" i="9"/>
  <c r="ES189" i="9"/>
  <c r="ES183" i="9"/>
  <c r="ES101" i="9"/>
  <c r="ES103" i="9"/>
  <c r="ES67" i="9"/>
  <c r="ES260" i="9"/>
  <c r="ES281" i="9"/>
  <c r="ES78" i="9"/>
  <c r="ES150" i="9"/>
  <c r="ES308" i="9"/>
  <c r="ES34" i="9"/>
  <c r="ES36" i="9"/>
  <c r="ES39" i="9"/>
  <c r="ES284" i="9"/>
  <c r="ES44" i="9"/>
  <c r="ES204" i="9"/>
  <c r="ES123" i="9"/>
  <c r="ES48" i="9"/>
  <c r="ES240" i="9"/>
  <c r="ES196" i="9"/>
  <c r="ES241" i="9"/>
  <c r="ES97" i="9"/>
  <c r="ES259" i="9"/>
  <c r="ES231" i="9"/>
  <c r="ES232" i="9"/>
  <c r="ES293" i="9"/>
  <c r="ES130" i="9"/>
  <c r="ES117" i="9"/>
  <c r="ES66" i="9"/>
  <c r="ES155" i="9"/>
  <c r="ES178" i="9"/>
  <c r="ES31" i="9"/>
  <c r="ES214" i="9"/>
  <c r="ES255" i="9"/>
  <c r="ES156" i="9"/>
  <c r="ES297" i="9"/>
  <c r="ES282" i="9"/>
  <c r="EU263" i="9"/>
  <c r="EU319" i="9"/>
  <c r="EU86" i="9"/>
  <c r="EU193" i="9"/>
  <c r="EU89" i="9"/>
  <c r="EU91" i="9"/>
  <c r="EU184" i="9"/>
  <c r="EU24" i="9"/>
  <c r="EU157" i="9"/>
  <c r="EU186" i="9"/>
  <c r="EU197" i="9"/>
  <c r="EU170" i="9"/>
  <c r="EU242" i="9"/>
  <c r="EU291" i="9"/>
  <c r="EU314" i="9"/>
  <c r="EU234" i="9"/>
  <c r="EU329" i="9"/>
  <c r="EU307" i="9"/>
  <c r="EU201" i="9"/>
  <c r="ES37" i="9"/>
  <c r="ES40" i="9"/>
  <c r="ES322" i="9"/>
  <c r="ES311" i="9"/>
  <c r="ES290" i="9"/>
  <c r="ES335" i="9"/>
  <c r="ES145" i="9"/>
  <c r="ES294" i="9"/>
  <c r="ES251" i="9"/>
  <c r="ES83" i="9"/>
  <c r="ES331" i="9"/>
  <c r="ES38" i="9"/>
  <c r="ES41" i="9"/>
  <c r="ES153" i="9"/>
  <c r="ES302" i="9"/>
  <c r="ES45" i="9"/>
  <c r="ES264" i="9"/>
  <c r="ES49" i="9"/>
  <c r="ES51" i="9"/>
  <c r="ES325" i="9"/>
  <c r="ES160" i="9"/>
  <c r="ES188" i="9"/>
  <c r="ES171" i="9"/>
  <c r="ES58" i="9"/>
  <c r="ES233" i="9"/>
  <c r="ES190" i="9"/>
  <c r="ES245" i="9"/>
  <c r="ES336" i="9"/>
  <c r="ES68" i="9"/>
  <c r="ES118" i="9"/>
  <c r="ES75" i="9"/>
  <c r="ES105" i="9"/>
  <c r="ES107" i="9"/>
  <c r="ES109" i="9"/>
  <c r="ES112" i="9"/>
  <c r="ES33" i="9"/>
  <c r="EU301" i="9"/>
  <c r="EU283" i="9"/>
  <c r="EU23" i="9"/>
  <c r="EU143" i="9"/>
  <c r="EU285" i="9"/>
  <c r="EU226" i="9"/>
  <c r="EU288" i="9"/>
  <c r="EU324" i="9"/>
  <c r="EU267" i="9"/>
  <c r="EU127" i="9"/>
  <c r="EU257" i="9"/>
  <c r="EU326" i="9"/>
  <c r="EU154" i="9"/>
  <c r="EU333" i="9"/>
  <c r="EU227" i="9"/>
  <c r="EU199" i="9"/>
  <c r="EU65" i="9"/>
  <c r="EU172" i="9"/>
  <c r="EU249" i="9"/>
  <c r="EU235" i="9"/>
  <c r="EU179" i="9"/>
  <c r="EU252" i="9"/>
  <c r="EU254" i="9"/>
  <c r="EU208" i="9"/>
  <c r="EU192" i="9"/>
  <c r="EU175" i="9"/>
  <c r="ES152" i="9"/>
  <c r="ES22" i="9"/>
  <c r="ES165" i="9"/>
  <c r="ES114" i="9"/>
  <c r="ES121" i="9"/>
  <c r="ES46" i="9"/>
  <c r="ES168" i="9"/>
  <c r="ES115" i="9"/>
  <c r="ES312" i="9"/>
  <c r="ES202" i="9"/>
  <c r="ES216" i="9"/>
  <c r="ES258" i="9"/>
  <c r="ES304" i="9"/>
  <c r="ES99" i="9"/>
  <c r="ES59" i="9"/>
  <c r="ES61" i="9"/>
  <c r="ES220" i="9"/>
  <c r="ES200" i="9"/>
  <c r="ES69" i="9"/>
  <c r="ES148" i="9"/>
  <c r="ES301" i="9"/>
  <c r="ES283" i="9"/>
  <c r="ES23" i="9"/>
  <c r="ES143" i="9"/>
  <c r="ES285" i="9"/>
  <c r="ES226" i="9"/>
  <c r="ES288" i="9"/>
  <c r="ES324" i="9"/>
  <c r="ES267" i="9"/>
  <c r="ES127" i="9"/>
  <c r="ES257" i="9"/>
  <c r="ES326" i="9"/>
  <c r="ES154" i="9"/>
  <c r="ES333" i="9"/>
  <c r="ES227" i="9"/>
  <c r="ES199" i="9"/>
  <c r="ES65" i="9"/>
  <c r="ES172" i="9"/>
  <c r="ES249" i="9"/>
  <c r="ES235" i="9"/>
  <c r="ES179" i="9"/>
  <c r="ES252" i="9"/>
  <c r="ES254" i="9"/>
  <c r="ES208" i="9"/>
  <c r="ES192" i="9"/>
  <c r="ES175" i="9"/>
  <c r="EU331" i="9"/>
  <c r="EU38" i="9"/>
  <c r="EU41" i="9"/>
  <c r="EU153" i="9"/>
  <c r="EU302" i="9"/>
  <c r="EU45" i="9"/>
  <c r="EU264" i="9"/>
  <c r="EU49" i="9"/>
  <c r="EU51" i="9"/>
  <c r="EU325" i="9"/>
  <c r="EU160" i="9"/>
  <c r="EU188" i="9"/>
  <c r="EU171" i="9"/>
  <c r="EU58" i="9"/>
  <c r="EU233" i="9"/>
  <c r="EU190" i="9"/>
  <c r="EU245" i="9"/>
  <c r="EU336" i="9"/>
  <c r="EU68" i="9"/>
  <c r="EU118" i="9"/>
  <c r="EU75" i="9"/>
  <c r="EU105" i="9"/>
  <c r="EU107" i="9"/>
  <c r="EU109" i="9"/>
  <c r="EU112" i="9"/>
  <c r="EU33" i="9"/>
  <c r="ES140" i="9"/>
  <c r="ES142" i="9"/>
  <c r="ES225" i="9"/>
  <c r="ES194" i="9"/>
  <c r="ES323" i="9"/>
  <c r="ES167" i="9"/>
  <c r="ES124" i="9"/>
  <c r="ES125" i="9"/>
  <c r="ES303" i="9"/>
  <c r="ES53" i="9"/>
  <c r="ES95" i="9"/>
  <c r="ES128" i="9"/>
  <c r="ES129" i="9"/>
  <c r="ES181" i="9"/>
  <c r="ES269" i="9"/>
  <c r="ES35" i="9"/>
  <c r="ES86" i="9"/>
  <c r="ES195" i="9"/>
  <c r="ES92" i="9"/>
  <c r="ES213" i="9"/>
  <c r="ES210" i="9"/>
  <c r="ES60" i="9"/>
  <c r="ES116" i="9"/>
  <c r="ES70" i="9"/>
  <c r="ES173" i="9"/>
  <c r="ES296" i="9"/>
  <c r="ES180" i="9"/>
  <c r="ES82" i="9"/>
  <c r="EU34" i="9"/>
  <c r="EU320" i="9"/>
  <c r="EU284" i="9"/>
  <c r="EU229" i="9"/>
  <c r="EU123" i="9"/>
  <c r="EU266" i="9"/>
  <c r="EU196" i="9"/>
  <c r="EU136" i="9"/>
  <c r="EU259" i="9"/>
  <c r="EU100" i="9"/>
  <c r="EU293" i="9"/>
  <c r="EU116" i="9"/>
  <c r="EU66" i="9"/>
  <c r="EU137" i="9"/>
  <c r="EU31" i="9"/>
  <c r="EU108" i="9"/>
  <c r="EU156" i="9"/>
  <c r="EU82" i="9"/>
  <c r="EU67" i="9"/>
  <c r="EU250" i="9"/>
  <c r="EU253" i="9"/>
  <c r="ES263" i="9"/>
  <c r="ES187" i="9"/>
  <c r="ES162" i="9"/>
  <c r="ES246" i="9"/>
  <c r="ES330" i="9"/>
  <c r="ES113" i="9"/>
  <c r="EU142" i="9"/>
  <c r="EU276" i="9"/>
  <c r="EU95" i="9"/>
  <c r="EU181" i="9"/>
  <c r="EU246" i="9"/>
  <c r="EU206" i="9"/>
  <c r="EU131" i="9"/>
  <c r="EU113" i="9"/>
  <c r="EU129" i="9"/>
  <c r="EU29" i="9"/>
  <c r="EU328" i="9"/>
  <c r="ES169" i="9"/>
  <c r="ES161" i="9"/>
  <c r="ES250" i="9"/>
  <c r="ES332" i="9"/>
  <c r="ES42" i="9"/>
  <c r="ES144" i="9"/>
  <c r="ES24" i="9"/>
  <c r="ES52" i="9"/>
  <c r="ES198" i="9"/>
  <c r="ES300" i="9"/>
  <c r="ES177" i="9"/>
  <c r="ES207" i="9"/>
  <c r="ES138" i="9"/>
  <c r="ES306" i="9"/>
  <c r="ES317" i="9"/>
  <c r="ES221" i="9"/>
  <c r="EU133" i="9"/>
  <c r="EU141" i="9"/>
  <c r="EU274" i="9"/>
  <c r="EU195" i="9"/>
  <c r="EU286" i="9"/>
  <c r="EU239" i="9"/>
  <c r="EU159" i="9"/>
  <c r="EU56" i="9"/>
  <c r="EU189" i="9"/>
  <c r="EU299" i="9"/>
  <c r="EU101" i="9"/>
  <c r="EU177" i="9"/>
  <c r="EU251" i="9"/>
  <c r="EU150" i="9"/>
  <c r="EU221" i="9"/>
  <c r="ES43" i="9"/>
  <c r="ES47" i="9"/>
  <c r="ES266" i="9"/>
  <c r="ES242" i="9"/>
  <c r="ES71" i="9"/>
  <c r="ES261" i="9"/>
  <c r="ES164" i="9"/>
  <c r="EU35" i="9"/>
  <c r="EU166" i="9"/>
  <c r="EU323" i="9"/>
  <c r="EU125" i="9"/>
  <c r="EU93" i="9"/>
  <c r="EU210" i="9"/>
  <c r="EU244" i="9"/>
  <c r="EU327" i="9"/>
  <c r="EU77" i="9"/>
  <c r="EU317" i="9"/>
  <c r="EU292" i="9"/>
  <c r="ES321" i="9"/>
  <c r="ES63" i="9"/>
  <c r="ES279" i="9"/>
  <c r="ES329" i="9"/>
  <c r="ES119" i="9"/>
  <c r="ES166" i="9"/>
  <c r="ES91" i="9"/>
  <c r="ES239" i="9"/>
  <c r="ES55" i="9"/>
  <c r="ES98" i="9"/>
  <c r="ES244" i="9"/>
  <c r="ES29" i="9"/>
  <c r="ES73" i="9"/>
  <c r="ES104" i="9"/>
  <c r="ES108" i="9"/>
  <c r="ES334" i="9"/>
  <c r="EU152" i="9"/>
  <c r="EU120" i="9"/>
  <c r="EU114" i="9"/>
  <c r="EU275" i="9"/>
  <c r="EU168" i="9"/>
  <c r="EU278" i="9"/>
  <c r="EU202" i="9"/>
  <c r="EU96" i="9"/>
  <c r="EU304" i="9"/>
  <c r="EU28" i="9"/>
  <c r="EU61" i="9"/>
  <c r="EU147" i="9"/>
  <c r="EU69" i="9"/>
  <c r="EU272" i="9"/>
  <c r="EU139" i="9"/>
  <c r="EU149" i="9"/>
  <c r="EU164" i="9"/>
  <c r="EU176" i="9"/>
  <c r="EU106" i="9"/>
  <c r="EU255" i="9"/>
  <c r="ES211" i="9"/>
  <c r="ES193" i="9"/>
  <c r="ES185" i="9"/>
  <c r="ES217" i="9"/>
  <c r="ES314" i="9"/>
  <c r="ES174" i="9"/>
  <c r="EU84" i="9"/>
  <c r="EU90" i="9"/>
  <c r="EU287" i="9"/>
  <c r="EU305" i="9"/>
  <c r="EU63" i="9"/>
  <c r="EU103" i="9"/>
  <c r="EU260" i="9"/>
  <c r="EU78" i="9"/>
  <c r="EU228" i="9"/>
  <c r="ES237" i="9"/>
  <c r="ES102" i="9"/>
  <c r="ES137" i="9"/>
  <c r="ES79" i="9"/>
  <c r="ES228" i="9"/>
  <c r="EU140" i="9"/>
  <c r="EU144" i="9"/>
  <c r="EU124" i="9"/>
  <c r="EU289" i="9"/>
  <c r="EU79" i="9"/>
  <c r="EU318" i="9"/>
  <c r="ES158" i="9"/>
  <c r="ES80" i="9"/>
  <c r="ES84" i="9"/>
  <c r="ES87" i="9"/>
  <c r="ES122" i="9"/>
  <c r="ES289" i="9"/>
  <c r="ES197" i="9"/>
  <c r="ES305" i="9"/>
  <c r="ES62" i="9"/>
  <c r="ES247" i="9"/>
  <c r="ES74" i="9"/>
  <c r="ES77" i="9"/>
  <c r="ES253" i="9"/>
  <c r="ES256" i="9"/>
  <c r="EU119" i="9"/>
  <c r="EU39" i="9"/>
  <c r="EU237" i="9"/>
  <c r="EU204" i="9"/>
  <c r="EU265" i="9"/>
  <c r="EU240" i="9"/>
  <c r="EU213" i="9"/>
  <c r="EU97" i="9"/>
  <c r="EU98" i="9"/>
  <c r="EU232" i="9"/>
  <c r="EU102" i="9"/>
  <c r="EU117" i="9"/>
  <c r="EU70" i="9"/>
  <c r="EU178" i="9"/>
  <c r="EU174" i="9"/>
  <c r="EU282" i="9"/>
  <c r="ES310" i="9"/>
  <c r="ES136" i="9"/>
  <c r="ES219" i="9"/>
  <c r="ES234" i="9"/>
  <c r="ES139" i="9"/>
  <c r="ES131" i="9"/>
  <c r="EU40" i="9"/>
  <c r="EU321" i="9"/>
  <c r="EU50" i="9"/>
  <c r="EU52" i="9"/>
  <c r="EU290" i="9"/>
  <c r="EU183" i="9"/>
  <c r="EU207" i="9"/>
  <c r="EU262" i="9"/>
  <c r="EU83" i="9"/>
  <c r="ES134" i="9"/>
  <c r="ES276" i="9"/>
  <c r="ES157" i="9"/>
  <c r="ES56" i="9"/>
  <c r="ES218" i="9"/>
  <c r="ES30" i="9"/>
  <c r="ES316" i="9"/>
  <c r="EU135" i="9"/>
  <c r="EU194" i="9"/>
  <c r="EU53" i="9"/>
  <c r="EU161" i="9"/>
  <c r="EU64" i="9"/>
  <c r="EU71" i="9"/>
  <c r="EU163" i="9"/>
  <c r="ES319" i="9"/>
  <c r="ES291" i="9"/>
  <c r="ES318" i="9"/>
  <c r="ES135" i="9"/>
  <c r="ES89" i="9"/>
  <c r="ES287" i="9"/>
  <c r="ES126" i="9"/>
  <c r="ES26" i="9"/>
  <c r="ES292" i="9"/>
  <c r="ES146" i="9"/>
  <c r="ES271" i="9"/>
  <c r="ES76" i="9"/>
  <c r="ES163" i="9"/>
  <c r="ES273" i="9"/>
  <c r="ES81" i="9"/>
  <c r="EU211" i="9"/>
  <c r="EU225" i="9"/>
  <c r="EU212" i="9"/>
  <c r="EU167" i="9"/>
  <c r="EU223" i="9"/>
  <c r="EU303" i="9"/>
  <c r="EU187" i="9"/>
  <c r="EU128" i="9"/>
  <c r="EU217" i="9"/>
  <c r="EU269" i="9"/>
  <c r="EU203" i="9"/>
  <c r="EU270" i="9"/>
  <c r="EU73" i="9"/>
  <c r="EU104" i="9"/>
  <c r="EU32" i="9"/>
  <c r="EU180" i="9"/>
  <c r="EU224" i="9"/>
  <c r="ES85" i="9"/>
  <c r="ES229" i="9"/>
  <c r="ES223" i="9"/>
  <c r="ES186" i="9"/>
  <c r="ES57" i="9"/>
  <c r="ES268" i="9"/>
  <c r="ES182" i="9"/>
  <c r="ES315" i="9"/>
  <c r="ES295" i="9"/>
  <c r="ES32" i="9"/>
  <c r="ES132" i="9"/>
  <c r="ES201" i="9"/>
  <c r="EU151" i="9"/>
  <c r="EU22" i="9"/>
  <c r="EU236" i="9"/>
  <c r="EU121" i="9"/>
  <c r="EU238" i="9"/>
  <c r="EU115" i="9"/>
  <c r="EU25" i="9"/>
  <c r="EU216" i="9"/>
  <c r="EU27" i="9"/>
  <c r="EU99" i="9"/>
  <c r="EU243" i="9"/>
  <c r="EU220" i="9"/>
  <c r="EU248" i="9"/>
  <c r="EU148" i="9"/>
  <c r="EU280" i="9"/>
  <c r="EU296" i="9"/>
  <c r="EU111" i="9"/>
  <c r="ES320" i="9"/>
  <c r="ES64" i="9"/>
  <c r="EU122" i="9"/>
  <c r="EU26" i="9"/>
  <c r="EU30" i="9"/>
  <c r="EU273" i="9"/>
  <c r="EU222" i="9"/>
  <c r="EU277" i="9"/>
  <c r="ES327" i="9"/>
  <c r="EU155" i="9"/>
  <c r="ES309" i="9"/>
  <c r="EU54" i="9"/>
  <c r="ES170" i="9"/>
  <c r="EU241" i="9"/>
  <c r="ES141" i="9"/>
  <c r="ES203" i="9"/>
  <c r="EU310" i="9"/>
  <c r="EU57" i="9"/>
  <c r="EU279" i="9"/>
  <c r="EU132" i="9"/>
  <c r="ES212" i="9"/>
  <c r="ES270" i="9"/>
  <c r="EU230" i="9"/>
  <c r="EU72" i="9"/>
  <c r="EU209" i="9"/>
  <c r="ES215" i="9"/>
  <c r="EU36" i="9"/>
  <c r="EU48" i="9"/>
  <c r="EU231" i="9"/>
  <c r="EU297" i="9"/>
  <c r="EU44" i="9"/>
  <c r="EU130" i="9"/>
  <c r="ES184" i="9"/>
  <c r="ES206" i="9"/>
  <c r="EU37" i="9"/>
  <c r="EU311" i="9"/>
  <c r="EU335" i="9"/>
  <c r="EU294" i="9"/>
  <c r="EU308" i="9"/>
  <c r="ES106" i="9"/>
  <c r="EU300" i="9"/>
  <c r="ES262" i="9"/>
  <c r="EU261" i="9"/>
  <c r="EU191" i="9"/>
  <c r="EU214" i="9"/>
  <c r="ES265" i="9"/>
  <c r="ES328" i="9"/>
  <c r="EU165" i="9"/>
  <c r="EU312" i="9"/>
  <c r="EU59" i="9"/>
  <c r="EU76" i="9"/>
  <c r="EU298" i="9"/>
  <c r="ES205" i="9"/>
  <c r="EU42" i="9"/>
  <c r="EU158" i="9"/>
  <c r="EU138" i="9"/>
  <c r="ES93" i="9"/>
  <c r="EU43" i="9"/>
  <c r="EU205" i="9"/>
  <c r="EU162" i="9"/>
  <c r="EU313" i="9"/>
  <c r="ES100" i="9"/>
  <c r="ES224" i="9"/>
  <c r="EU322" i="9"/>
  <c r="EU94" i="9"/>
  <c r="EU145" i="9"/>
  <c r="EU281" i="9"/>
  <c r="ES299" i="9"/>
  <c r="ES298" i="9"/>
  <c r="EU46" i="9"/>
  <c r="EU258" i="9"/>
  <c r="EU200" i="9"/>
  <c r="EU80" i="9"/>
  <c r="ES110" i="9"/>
  <c r="EU88" i="9"/>
  <c r="ES307" i="9"/>
  <c r="DW497" i="9"/>
  <c r="DW524" i="9"/>
  <c r="DW329" i="9"/>
  <c r="DW46" i="9"/>
  <c r="DW334" i="9"/>
  <c r="DW223" i="9"/>
  <c r="DW465" i="9"/>
  <c r="DW152" i="9"/>
  <c r="DW136" i="9"/>
  <c r="DW249" i="9"/>
  <c r="DW556" i="9"/>
  <c r="DW279" i="9"/>
  <c r="DW530" i="9"/>
  <c r="DW448" i="9"/>
  <c r="DW64" i="9"/>
  <c r="DW190" i="9"/>
  <c r="DW472" i="9"/>
  <c r="DW159" i="9"/>
  <c r="DW449" i="9"/>
  <c r="DW283" i="9"/>
  <c r="DW368" i="9"/>
  <c r="DW27" i="9"/>
  <c r="DW371" i="9"/>
  <c r="DW164" i="9"/>
  <c r="DW309" i="9"/>
  <c r="DW376" i="9"/>
  <c r="DW215" i="9"/>
  <c r="DW378" i="9"/>
  <c r="DW655" i="9"/>
  <c r="DW702" i="9"/>
  <c r="DW657" i="9"/>
  <c r="DW626" i="9"/>
  <c r="DW229" i="9"/>
  <c r="DW393" i="9"/>
  <c r="DW396" i="9"/>
  <c r="DW708" i="9"/>
  <c r="DW604" i="9"/>
  <c r="DW95" i="9"/>
  <c r="DW662" i="9"/>
  <c r="DW609" i="9"/>
  <c r="DW144" i="9"/>
  <c r="DW403" i="9"/>
  <c r="DW101" i="9"/>
  <c r="DW318" i="9"/>
  <c r="DW233" i="9"/>
  <c r="DW722" i="9"/>
  <c r="DW539" i="9"/>
  <c r="DW178" i="9"/>
  <c r="DW271" i="9"/>
  <c r="DW423" i="9"/>
  <c r="DW552" i="9"/>
  <c r="DW319" i="9"/>
  <c r="DW207" i="9"/>
  <c r="DW640" i="9"/>
  <c r="DW274" i="9"/>
  <c r="DW22" i="9"/>
  <c r="DW23" i="9"/>
  <c r="DW306" i="9"/>
  <c r="DW49" i="9"/>
  <c r="DW645" i="9"/>
  <c r="DW340" i="9"/>
  <c r="DW277" i="9"/>
  <c r="DW685" i="9"/>
  <c r="DW501" i="9"/>
  <c r="DW346" i="9"/>
  <c r="DW349" i="9"/>
  <c r="DW351" i="9"/>
  <c r="DW65" i="9"/>
  <c r="DW237" i="9"/>
  <c r="DW593" i="9"/>
  <c r="DW473" i="9"/>
  <c r="DW69" i="9"/>
  <c r="DW162" i="9"/>
  <c r="DW597" i="9"/>
  <c r="DW504" i="9"/>
  <c r="DW285" i="9"/>
  <c r="DW532" i="9"/>
  <c r="DW192" i="9"/>
  <c r="DW165" i="9"/>
  <c r="DW140" i="9"/>
  <c r="DW239" i="9"/>
  <c r="DW77" i="9"/>
  <c r="DW564" i="9"/>
  <c r="DW313" i="9"/>
  <c r="DW387" i="9"/>
  <c r="DW390" i="9"/>
  <c r="DW295" i="9"/>
  <c r="DW397" i="9"/>
  <c r="DW231" i="9"/>
  <c r="DW578" i="9"/>
  <c r="DW605" i="9"/>
  <c r="DW490" i="9"/>
  <c r="DW536" i="9"/>
  <c r="DW491" i="9"/>
  <c r="DW244" i="9"/>
  <c r="DW537" i="9"/>
  <c r="DW408" i="9"/>
  <c r="DW538" i="9"/>
  <c r="DW412" i="9"/>
  <c r="DW551" i="9"/>
  <c r="DW567" i="9"/>
  <c r="DW421" i="9"/>
  <c r="DW513" i="9"/>
  <c r="DW302" i="9"/>
  <c r="DW322" i="9"/>
  <c r="DW43" i="9"/>
  <c r="DW147" i="9"/>
  <c r="DW330" i="9"/>
  <c r="DW307" i="9"/>
  <c r="DW336" i="9"/>
  <c r="DW51" i="9"/>
  <c r="DW264" i="9"/>
  <c r="DW542" i="9"/>
  <c r="DW54" i="9"/>
  <c r="DW343" i="9"/>
  <c r="DW155" i="9"/>
  <c r="DW196" i="9"/>
  <c r="DW352" i="9"/>
  <c r="DW211" i="9"/>
  <c r="DW469" i="9"/>
  <c r="DW355" i="9"/>
  <c r="DW212" i="9"/>
  <c r="DW363" i="9"/>
  <c r="DW365" i="9"/>
  <c r="DW450" i="9"/>
  <c r="DW696" i="9"/>
  <c r="DW372" i="9"/>
  <c r="DW544" i="9"/>
  <c r="DW289" i="9"/>
  <c r="DW227" i="9"/>
  <c r="DW533" i="9"/>
  <c r="DW141" i="9"/>
  <c r="DW381" i="9"/>
  <c r="DW29" i="9"/>
  <c r="DW253" i="9"/>
  <c r="DW84" i="9"/>
  <c r="DW230" i="9"/>
  <c r="DW296" i="9"/>
  <c r="DW90" i="9"/>
  <c r="DW142" i="9"/>
  <c r="DW627" i="9"/>
  <c r="DW606" i="9"/>
  <c r="DW200" i="9"/>
  <c r="DW714" i="9"/>
  <c r="DW456" i="9"/>
  <c r="DW610" i="9"/>
  <c r="DW718" i="9"/>
  <c r="DW628" i="9"/>
  <c r="DW145" i="9"/>
  <c r="DW413" i="9"/>
  <c r="DW615" i="9"/>
  <c r="DW726" i="9"/>
  <c r="DW634" i="9"/>
  <c r="DW33" i="9"/>
  <c r="DW424" i="9"/>
  <c r="DW303" i="9"/>
  <c r="DW113" i="9"/>
  <c r="DW739" i="9"/>
  <c r="DW637" i="9"/>
  <c r="DW119" i="9"/>
  <c r="DW570" i="9"/>
  <c r="DW438" i="9"/>
  <c r="DW126" i="9"/>
  <c r="DW127" i="9"/>
  <c r="DW129" i="9"/>
  <c r="DW39" i="9"/>
  <c r="DW325" i="9"/>
  <c r="DW246" i="9"/>
  <c r="DW554" i="9"/>
  <c r="DW47" i="9"/>
  <c r="DW680" i="9"/>
  <c r="DW576" i="9"/>
  <c r="DW52" i="9"/>
  <c r="DW528" i="9"/>
  <c r="DW686" i="9"/>
  <c r="DW55" i="9"/>
  <c r="DW347" i="9"/>
  <c r="DW623" i="9"/>
  <c r="DW688" i="9"/>
  <c r="DW280" i="9"/>
  <c r="DW652" i="9"/>
  <c r="DW543" i="9"/>
  <c r="DW359" i="9"/>
  <c r="DW191" i="9"/>
  <c r="DW130" i="9"/>
  <c r="DW451" i="9"/>
  <c r="DW477" i="9"/>
  <c r="DW163" i="9"/>
  <c r="DW482" i="9"/>
  <c r="DW505" i="9"/>
  <c r="DW205" i="9"/>
  <c r="DW534" i="9"/>
  <c r="DW380" i="9"/>
  <c r="DW603" i="9"/>
  <c r="DW656" i="9"/>
  <c r="DW292" i="9"/>
  <c r="DW85" i="9"/>
  <c r="DW659" i="9"/>
  <c r="DW256" i="9"/>
  <c r="DW91" i="9"/>
  <c r="DW266" i="9"/>
  <c r="DW399" i="9"/>
  <c r="DW510" i="9"/>
  <c r="DW243" i="9"/>
  <c r="DW715" i="9"/>
  <c r="DW492" i="9"/>
  <c r="DW299" i="9"/>
  <c r="DW407" i="9"/>
  <c r="DW512" i="9"/>
  <c r="DW720" i="9"/>
  <c r="DW414" i="9"/>
  <c r="DW725" i="9"/>
  <c r="DW727" i="9"/>
  <c r="DW111" i="9"/>
  <c r="DW179" i="9"/>
  <c r="DW732" i="9"/>
  <c r="DW180" i="9"/>
  <c r="DW738" i="9"/>
  <c r="DW514" i="9"/>
  <c r="DW432" i="9"/>
  <c r="DW670" i="9"/>
  <c r="DW571" i="9"/>
  <c r="DW221" i="9"/>
  <c r="DW273" i="9"/>
  <c r="DW516" i="9"/>
  <c r="DW187" i="9"/>
  <c r="DW324" i="9"/>
  <c r="DW582" i="9"/>
  <c r="DW149" i="9"/>
  <c r="DW333" i="9"/>
  <c r="DW48" i="9"/>
  <c r="DW337" i="9"/>
  <c r="DW498" i="9"/>
  <c r="DW276" i="9"/>
  <c r="DW588" i="9"/>
  <c r="DW342" i="9"/>
  <c r="DW345" i="9"/>
  <c r="DW467" i="9"/>
  <c r="DW649" i="9"/>
  <c r="DW156" i="9"/>
  <c r="DW689" i="9"/>
  <c r="DW690" i="9"/>
  <c r="DW68" i="9"/>
  <c r="DW362" i="9"/>
  <c r="DW364" i="9"/>
  <c r="DW503" i="9"/>
  <c r="DW598" i="9"/>
  <c r="DW478" i="9"/>
  <c r="DW698" i="9"/>
  <c r="DW374" i="9"/>
  <c r="DW199" i="9"/>
  <c r="DW139" i="9"/>
  <c r="DW601" i="9"/>
  <c r="DW166" i="9"/>
  <c r="DW507" i="9"/>
  <c r="DW703" i="9"/>
  <c r="DW83" i="9"/>
  <c r="DW658" i="9"/>
  <c r="DW245" i="9"/>
  <c r="DW44" i="9"/>
  <c r="DW331" i="9"/>
  <c r="DW681" i="9"/>
  <c r="DW517" i="9"/>
  <c r="DW341" i="9"/>
  <c r="DW251" i="9"/>
  <c r="DW25" i="9"/>
  <c r="DW650" i="9"/>
  <c r="DW470" i="9"/>
  <c r="DW474" i="9"/>
  <c r="DW161" i="9"/>
  <c r="DW369" i="9"/>
  <c r="DW74" i="9"/>
  <c r="DW699" i="9"/>
  <c r="DW484" i="9"/>
  <c r="DW602" i="9"/>
  <c r="DW384" i="9"/>
  <c r="DW254" i="9"/>
  <c r="DW255" i="9"/>
  <c r="DW89" i="9"/>
  <c r="DW170" i="9"/>
  <c r="DW709" i="9"/>
  <c r="DW711" i="9"/>
  <c r="DW664" i="9"/>
  <c r="DW100" i="9"/>
  <c r="DW177" i="9"/>
  <c r="DW614" i="9"/>
  <c r="DW417" i="9"/>
  <c r="DW540" i="9"/>
  <c r="DW219" i="9"/>
  <c r="DW618" i="9"/>
  <c r="DW553" i="9"/>
  <c r="DW494" i="9"/>
  <c r="DW115" i="9"/>
  <c r="DW435" i="9"/>
  <c r="DW38" i="9"/>
  <c r="DW263" i="9"/>
  <c r="DW444" i="9"/>
  <c r="DW496" i="9"/>
  <c r="DY40" i="9"/>
  <c r="DY326" i="9"/>
  <c r="DY247" i="9"/>
  <c r="DW323" i="9"/>
  <c r="DW525" i="9"/>
  <c r="DW583" i="9"/>
  <c r="DW644" i="9"/>
  <c r="DW308" i="9"/>
  <c r="DW153" i="9"/>
  <c r="DW529" i="9"/>
  <c r="DW265" i="9"/>
  <c r="DW651" i="9"/>
  <c r="DW592" i="9"/>
  <c r="DW282" i="9"/>
  <c r="DW366" i="9"/>
  <c r="DW624" i="9"/>
  <c r="DW625" i="9"/>
  <c r="DW506" i="9"/>
  <c r="DW377" i="9"/>
  <c r="DW563" i="9"/>
  <c r="DW80" i="9"/>
  <c r="DW388" i="9"/>
  <c r="DW168" i="9"/>
  <c r="DW547" i="9"/>
  <c r="DW143" i="9"/>
  <c r="DW660" i="9"/>
  <c r="DW712" i="9"/>
  <c r="DW175" i="9"/>
  <c r="DW665" i="9"/>
  <c r="DW630" i="9"/>
  <c r="DW411" i="9"/>
  <c r="DW270" i="9"/>
  <c r="DW458" i="9"/>
  <c r="DW730" i="9"/>
  <c r="DW272" i="9"/>
  <c r="DW668" i="9"/>
  <c r="DW114" i="9"/>
  <c r="DW183" i="9"/>
  <c r="DW208" i="9"/>
  <c r="DW124" i="9"/>
  <c r="DW515" i="9"/>
  <c r="DW185" i="9"/>
  <c r="DW40" i="9"/>
  <c r="DW135" i="9"/>
  <c r="DW463" i="9"/>
  <c r="DW585" i="9"/>
  <c r="DW194" i="9"/>
  <c r="DW589" i="9"/>
  <c r="DW344" i="9"/>
  <c r="DW350" i="9"/>
  <c r="DW281" i="9"/>
  <c r="DW471" i="9"/>
  <c r="DW360" i="9"/>
  <c r="DW70" i="9"/>
  <c r="DW695" i="9"/>
  <c r="DW518" i="9"/>
  <c r="DW310" i="9"/>
  <c r="DW700" i="9"/>
  <c r="DW574" i="9"/>
  <c r="DW240" i="9"/>
  <c r="DW86" i="9"/>
  <c r="DW314" i="9"/>
  <c r="DW707" i="9"/>
  <c r="DW257" i="9"/>
  <c r="DW298" i="9"/>
  <c r="DW713" i="9"/>
  <c r="DW717" i="9"/>
  <c r="DW550" i="9"/>
  <c r="DW631" i="9"/>
  <c r="DW269" i="9"/>
  <c r="DW106" i="9"/>
  <c r="DW109" i="9"/>
  <c r="DW521" i="9"/>
  <c r="DW220" i="9"/>
  <c r="DW181" i="9"/>
  <c r="DW675" i="9"/>
  <c r="DW45" i="9"/>
  <c r="DW643" i="9"/>
  <c r="DW50" i="9"/>
  <c r="DW499" i="9"/>
  <c r="DW278" i="9"/>
  <c r="DW590" i="9"/>
  <c r="DW60" i="9"/>
  <c r="DW353" i="9"/>
  <c r="DW691" i="9"/>
  <c r="DW361" i="9"/>
  <c r="DW595" i="9"/>
  <c r="DW697" i="9"/>
  <c r="DW252" i="9"/>
  <c r="DW290" i="9"/>
  <c r="DW311" i="9"/>
  <c r="DW580" i="9"/>
  <c r="DW386" i="9"/>
  <c r="DW488" i="9"/>
  <c r="DW88" i="9"/>
  <c r="DW398" i="9"/>
  <c r="DW195" i="9"/>
  <c r="DW710" i="9"/>
  <c r="DW31" i="9"/>
  <c r="DW511" i="9"/>
  <c r="DW611" i="9"/>
  <c r="DW300" i="9"/>
  <c r="DW301" i="9"/>
  <c r="DW632" i="9"/>
  <c r="DW110" i="9"/>
  <c r="DW666" i="9"/>
  <c r="DW522" i="9"/>
  <c r="DW304" i="9"/>
  <c r="DW261" i="9"/>
  <c r="DW116" i="9"/>
  <c r="DW671" i="9"/>
  <c r="DW320" i="9"/>
  <c r="DW745" i="9"/>
  <c r="DW321" i="9"/>
  <c r="DW41" i="9"/>
  <c r="DW247" i="9"/>
  <c r="DW584" i="9"/>
  <c r="DW338" i="9"/>
  <c r="DW555" i="9"/>
  <c r="DW647" i="9"/>
  <c r="DW557" i="9"/>
  <c r="DW648" i="9"/>
  <c r="DW157" i="9"/>
  <c r="DW692" i="9"/>
  <c r="DW160" i="9"/>
  <c r="DW367" i="9"/>
  <c r="DW370" i="9"/>
  <c r="DW481" i="9"/>
  <c r="DW375" i="9"/>
  <c r="DW228" i="9"/>
  <c r="DW78" i="9"/>
  <c r="DW312" i="9"/>
  <c r="DW293" i="9"/>
  <c r="DW394" i="9"/>
  <c r="DW30" i="9"/>
  <c r="DW535" i="9"/>
  <c r="DW242" i="9"/>
  <c r="DW663" i="9"/>
  <c r="DW98" i="9"/>
  <c r="DW519" i="9"/>
  <c r="DW232" i="9"/>
  <c r="DW723" i="9"/>
  <c r="DW107" i="9"/>
  <c r="DW728" i="9"/>
  <c r="DW541" i="9"/>
  <c r="DW734" i="9"/>
  <c r="DW35" i="9"/>
  <c r="DW305" i="9"/>
  <c r="DW674" i="9"/>
  <c r="DW677" i="9"/>
  <c r="DW526" i="9"/>
  <c r="DW154" i="9"/>
  <c r="DW24" i="9"/>
  <c r="DW67" i="9"/>
  <c r="DW559" i="9"/>
  <c r="DW73" i="9"/>
  <c r="DW138" i="9"/>
  <c r="DW577" i="9"/>
  <c r="DW131" i="9"/>
  <c r="DW87" i="9"/>
  <c r="DW197" i="9"/>
  <c r="DW171" i="9"/>
  <c r="DW97" i="9"/>
  <c r="DW176" i="9"/>
  <c r="DW416" i="9"/>
  <c r="DW133" i="9"/>
  <c r="DW733" i="9"/>
  <c r="DW234" i="9"/>
  <c r="DW434" i="9"/>
  <c r="DW121" i="9"/>
  <c r="DW439" i="9"/>
  <c r="DW445" i="9"/>
  <c r="DY41" i="9"/>
  <c r="DY582" i="9"/>
  <c r="DY462" i="9"/>
  <c r="DY463" i="9"/>
  <c r="DY335" i="9"/>
  <c r="DY338" i="9"/>
  <c r="DY517" i="9"/>
  <c r="DY447" i="9"/>
  <c r="DY153" i="9"/>
  <c r="DY687" i="9"/>
  <c r="DY590" i="9"/>
  <c r="DY24" i="9"/>
  <c r="DY558" i="9"/>
  <c r="DY63" i="9"/>
  <c r="DY591" i="9"/>
  <c r="DY471" i="9"/>
  <c r="DY693" i="9"/>
  <c r="DY160" i="9"/>
  <c r="DY161" i="9"/>
  <c r="DY561" i="9"/>
  <c r="DW641" i="9"/>
  <c r="DW332" i="9"/>
  <c r="DW587" i="9"/>
  <c r="DW500" i="9"/>
  <c r="DW558" i="9"/>
  <c r="DW653" i="9"/>
  <c r="DW560" i="9"/>
  <c r="DW452" i="9"/>
  <c r="DW545" i="9"/>
  <c r="DW28" i="9"/>
  <c r="DW487" i="9"/>
  <c r="DW395" i="9"/>
  <c r="DW92" i="9"/>
  <c r="DW607" i="9"/>
  <c r="DW317" i="9"/>
  <c r="DW629" i="9"/>
  <c r="DW103" i="9"/>
  <c r="DW635" i="9"/>
  <c r="DW667" i="9"/>
  <c r="DW182" i="9"/>
  <c r="DW117" i="9"/>
  <c r="DW123" i="9"/>
  <c r="DW440" i="9"/>
  <c r="DW186" i="9"/>
  <c r="DY42" i="9"/>
  <c r="DY329" i="9"/>
  <c r="DY642" i="9"/>
  <c r="DY643" i="9"/>
  <c r="DY209" i="9"/>
  <c r="DY466" i="9"/>
  <c r="DY646" i="9"/>
  <c r="DY527" i="9"/>
  <c r="DY589" i="9"/>
  <c r="DY250" i="9"/>
  <c r="DY557" i="9"/>
  <c r="DY25" i="9"/>
  <c r="DY236" i="9"/>
  <c r="DY651" i="9"/>
  <c r="DY67" i="9"/>
  <c r="DY691" i="9"/>
  <c r="DY594" i="9"/>
  <c r="DY531" i="9"/>
  <c r="DY476" i="9"/>
  <c r="DY596" i="9"/>
  <c r="DY695" i="9"/>
  <c r="DY479" i="9"/>
  <c r="DY481" i="9"/>
  <c r="DY699" i="9"/>
  <c r="DY226" i="9"/>
  <c r="DW676" i="9"/>
  <c r="DW678" i="9"/>
  <c r="DW339" i="9"/>
  <c r="DW687" i="9"/>
  <c r="DW236" i="9"/>
  <c r="DW502" i="9"/>
  <c r="DW654" i="9"/>
  <c r="DW284" i="9"/>
  <c r="DW193" i="9"/>
  <c r="DW573" i="9"/>
  <c r="DW167" i="9"/>
  <c r="DW705" i="9"/>
  <c r="DW509" i="9"/>
  <c r="DW96" i="9"/>
  <c r="DW404" i="9"/>
  <c r="DW409" i="9"/>
  <c r="DW104" i="9"/>
  <c r="DW218" i="9"/>
  <c r="DW735" i="9"/>
  <c r="DW134" i="9"/>
  <c r="DW118" i="9"/>
  <c r="DW203" i="9"/>
  <c r="DW441" i="9"/>
  <c r="DW128" i="9"/>
  <c r="DY524" i="9"/>
  <c r="DY525" i="9"/>
  <c r="DY23" i="9"/>
  <c r="DY306" i="9"/>
  <c r="DY49" i="9"/>
  <c r="DY645" i="9"/>
  <c r="DY340" i="9"/>
  <c r="DY277" i="9"/>
  <c r="DY685" i="9"/>
  <c r="DY501" i="9"/>
  <c r="DY346" i="9"/>
  <c r="DY349" i="9"/>
  <c r="DY351" i="9"/>
  <c r="DY65" i="9"/>
  <c r="DY237" i="9"/>
  <c r="DY593" i="9"/>
  <c r="DY473" i="9"/>
  <c r="DY69" i="9"/>
  <c r="DY162" i="9"/>
  <c r="DY597" i="9"/>
  <c r="DY504" i="9"/>
  <c r="DY285" i="9"/>
  <c r="DW575" i="9"/>
  <c r="DW150" i="9"/>
  <c r="DW646" i="9"/>
  <c r="DW250" i="9"/>
  <c r="DW189" i="9"/>
  <c r="DW158" i="9"/>
  <c r="DW213" i="9"/>
  <c r="DW453" i="9"/>
  <c r="DW226" i="9"/>
  <c r="DW701" i="9"/>
  <c r="DW81" i="9"/>
  <c r="DW565" i="9"/>
  <c r="DW489" i="9"/>
  <c r="DW608" i="9"/>
  <c r="DW99" i="9"/>
  <c r="DW612" i="9"/>
  <c r="DW105" i="9"/>
  <c r="DW32" i="9"/>
  <c r="DW736" i="9"/>
  <c r="DW459" i="9"/>
  <c r="DW741" i="9"/>
  <c r="DW672" i="9"/>
  <c r="DW572" i="9"/>
  <c r="DW579" i="9"/>
  <c r="DY497" i="9"/>
  <c r="DY641" i="9"/>
  <c r="DY22" i="9"/>
  <c r="DY330" i="9"/>
  <c r="DY307" i="9"/>
  <c r="DY336" i="9"/>
  <c r="DY51" i="9"/>
  <c r="DY264" i="9"/>
  <c r="DY542" i="9"/>
  <c r="DY54" i="9"/>
  <c r="DY343" i="9"/>
  <c r="DY155" i="9"/>
  <c r="DY196" i="9"/>
  <c r="DY352" i="9"/>
  <c r="DY211" i="9"/>
  <c r="DY469" i="9"/>
  <c r="DY355" i="9"/>
  <c r="DY212" i="9"/>
  <c r="DY363" i="9"/>
  <c r="DY365" i="9"/>
  <c r="DW462" i="9"/>
  <c r="DW466" i="9"/>
  <c r="DW53" i="9"/>
  <c r="DW137" i="9"/>
  <c r="DW66" i="9"/>
  <c r="DW475" i="9"/>
  <c r="DW71" i="9"/>
  <c r="DW75" i="9"/>
  <c r="DW238" i="9"/>
  <c r="DW485" i="9"/>
  <c r="DW216" i="9"/>
  <c r="DW454" i="9"/>
  <c r="DW258" i="9"/>
  <c r="DW401" i="9"/>
  <c r="DW267" i="9"/>
  <c r="DW724" i="9"/>
  <c r="DW419" i="9"/>
  <c r="DW202" i="9"/>
  <c r="DW428" i="9"/>
  <c r="DW433" i="9"/>
  <c r="DW437" i="9"/>
  <c r="DW744" i="9"/>
  <c r="DW461" i="9"/>
  <c r="DY323" i="9"/>
  <c r="DY327" i="9"/>
  <c r="DY148" i="9"/>
  <c r="DY583" i="9"/>
  <c r="DY679" i="9"/>
  <c r="DY50" i="9"/>
  <c r="DY339" i="9"/>
  <c r="DY248" i="9"/>
  <c r="DY204" i="9"/>
  <c r="DY500" i="9"/>
  <c r="DY344" i="9"/>
  <c r="DY59" i="9"/>
  <c r="DY648" i="9"/>
  <c r="DY650" i="9"/>
  <c r="DY66" i="9"/>
  <c r="DY592" i="9"/>
  <c r="DY358" i="9"/>
  <c r="DY361" i="9"/>
  <c r="DW42" i="9"/>
  <c r="DW464" i="9"/>
  <c r="DW57" i="9"/>
  <c r="DW356" i="9"/>
  <c r="DW72" i="9"/>
  <c r="DW748" i="9"/>
  <c r="DW704" i="9"/>
  <c r="DW548" i="9"/>
  <c r="DW174" i="9"/>
  <c r="DW613" i="9"/>
  <c r="DW729" i="9"/>
  <c r="DW568" i="9"/>
  <c r="DW742" i="9"/>
  <c r="DW673" i="9"/>
  <c r="DY322" i="9"/>
  <c r="DY147" i="9"/>
  <c r="DY333" i="9"/>
  <c r="DY644" i="9"/>
  <c r="DY308" i="9"/>
  <c r="DY249" i="9"/>
  <c r="DY529" i="9"/>
  <c r="DY265" i="9"/>
  <c r="DY280" i="9"/>
  <c r="DY690" i="9"/>
  <c r="DY282" i="9"/>
  <c r="DY130" i="9"/>
  <c r="DY72" i="9"/>
  <c r="DY284" i="9"/>
  <c r="DY252" i="9"/>
  <c r="DY309" i="9"/>
  <c r="DY165" i="9"/>
  <c r="DY140" i="9"/>
  <c r="DY239" i="9"/>
  <c r="DY77" i="9"/>
  <c r="DY564" i="9"/>
  <c r="DY313" i="9"/>
  <c r="DY387" i="9"/>
  <c r="DY390" i="9"/>
  <c r="DY295" i="9"/>
  <c r="DY397" i="9"/>
  <c r="DY231" i="9"/>
  <c r="DY578" i="9"/>
  <c r="DY605" i="9"/>
  <c r="DY490" i="9"/>
  <c r="DY536" i="9"/>
  <c r="DY491" i="9"/>
  <c r="DY244" i="9"/>
  <c r="DY537" i="9"/>
  <c r="DY408" i="9"/>
  <c r="DY538" i="9"/>
  <c r="DY412" i="9"/>
  <c r="DY551" i="9"/>
  <c r="DY567" i="9"/>
  <c r="DY421" i="9"/>
  <c r="DY513" i="9"/>
  <c r="DY302" i="9"/>
  <c r="DY734" i="9"/>
  <c r="DY668" i="9"/>
  <c r="DY494" i="9"/>
  <c r="DY636" i="9"/>
  <c r="DY741" i="9"/>
  <c r="DY569" i="9"/>
  <c r="DY320" i="9"/>
  <c r="DY515" i="9"/>
  <c r="DY444" i="9"/>
  <c r="DY446" i="9"/>
  <c r="DW327" i="9"/>
  <c r="DW682" i="9"/>
  <c r="DW58" i="9"/>
  <c r="DW358" i="9"/>
  <c r="DW479" i="9"/>
  <c r="DW600" i="9"/>
  <c r="DW508" i="9"/>
  <c r="DW93" i="9"/>
  <c r="DW402" i="9"/>
  <c r="DW721" i="9"/>
  <c r="DW34" i="9"/>
  <c r="DW430" i="9"/>
  <c r="DW569" i="9"/>
  <c r="DW442" i="9"/>
  <c r="DY674" i="9"/>
  <c r="DY135" i="9"/>
  <c r="DY47" i="9"/>
  <c r="DY337" i="9"/>
  <c r="DY499" i="9"/>
  <c r="DY278" i="9"/>
  <c r="DY279" i="9"/>
  <c r="DY60" i="9"/>
  <c r="DY353" i="9"/>
  <c r="DY543" i="9"/>
  <c r="DY362" i="9"/>
  <c r="DY70" i="9"/>
  <c r="DY73" i="9"/>
  <c r="DY453" i="9"/>
  <c r="DY532" i="9"/>
  <c r="DY289" i="9"/>
  <c r="DY205" i="9"/>
  <c r="DY534" i="9"/>
  <c r="DY380" i="9"/>
  <c r="DY603" i="9"/>
  <c r="DY656" i="9"/>
  <c r="DY292" i="9"/>
  <c r="DY85" i="9"/>
  <c r="DY659" i="9"/>
  <c r="DY256" i="9"/>
  <c r="DY91" i="9"/>
  <c r="DY266" i="9"/>
  <c r="DY399" i="9"/>
  <c r="DY510" i="9"/>
  <c r="DY243" i="9"/>
  <c r="DY715" i="9"/>
  <c r="DY492" i="9"/>
  <c r="DY299" i="9"/>
  <c r="DY407" i="9"/>
  <c r="DY512" i="9"/>
  <c r="DY720" i="9"/>
  <c r="DY414" i="9"/>
  <c r="DY725" i="9"/>
  <c r="DY727" i="9"/>
  <c r="DY111" i="9"/>
  <c r="DY179" i="9"/>
  <c r="DY732" i="9"/>
  <c r="DY180" i="9"/>
  <c r="DY738" i="9"/>
  <c r="DY514" i="9"/>
  <c r="DY432" i="9"/>
  <c r="DY670" i="9"/>
  <c r="DY571" i="9"/>
  <c r="DY221" i="9"/>
  <c r="DY273" i="9"/>
  <c r="DY516" i="9"/>
  <c r="DY187" i="9"/>
  <c r="DW94" i="9"/>
  <c r="DW259" i="9"/>
  <c r="DW620" i="9"/>
  <c r="DW328" i="9"/>
  <c r="DW248" i="9"/>
  <c r="DW59" i="9"/>
  <c r="DW693" i="9"/>
  <c r="DW480" i="9"/>
  <c r="DW379" i="9"/>
  <c r="DW389" i="9"/>
  <c r="DW400" i="9"/>
  <c r="DW405" i="9"/>
  <c r="DW415" i="9"/>
  <c r="DW731" i="9"/>
  <c r="DW36" i="9"/>
  <c r="DW122" i="9"/>
  <c r="DW443" i="9"/>
  <c r="DY675" i="9"/>
  <c r="DY45" i="9"/>
  <c r="DY584" i="9"/>
  <c r="DY465" i="9"/>
  <c r="DY555" i="9"/>
  <c r="DY647" i="9"/>
  <c r="DY347" i="9"/>
  <c r="DY649" i="9"/>
  <c r="DY157" i="9"/>
  <c r="DY692" i="9"/>
  <c r="DY449" i="9"/>
  <c r="DY595" i="9"/>
  <c r="DY598" i="9"/>
  <c r="DY371" i="9"/>
  <c r="DY544" i="9"/>
  <c r="DY505" i="9"/>
  <c r="DY483" i="9"/>
  <c r="DY700" i="9"/>
  <c r="DY28" i="9"/>
  <c r="DY78" i="9"/>
  <c r="DY384" i="9"/>
  <c r="DY486" i="9"/>
  <c r="DY388" i="9"/>
  <c r="DY216" i="9"/>
  <c r="DY394" i="9"/>
  <c r="DY206" i="9"/>
  <c r="DY197" i="9"/>
  <c r="DY535" i="9"/>
  <c r="DY258" i="9"/>
  <c r="DY607" i="9"/>
  <c r="DY663" i="9"/>
  <c r="DY97" i="9"/>
  <c r="DY99" i="9"/>
  <c r="DY519" i="9"/>
  <c r="DY629" i="9"/>
  <c r="DY201" i="9"/>
  <c r="DY723" i="9"/>
  <c r="DY105" i="9"/>
  <c r="DY633" i="9"/>
  <c r="DY728" i="9"/>
  <c r="DY146" i="9"/>
  <c r="DY202" i="9"/>
  <c r="DY667" i="9"/>
  <c r="DY181" i="9"/>
  <c r="DY134" i="9"/>
  <c r="DY433" i="9"/>
  <c r="DY184" i="9"/>
  <c r="DY121" i="9"/>
  <c r="DY125" i="9"/>
  <c r="DY441" i="9"/>
  <c r="DY523" i="9"/>
  <c r="DY188" i="9"/>
  <c r="DW275" i="9"/>
  <c r="DW447" i="9"/>
  <c r="DW224" i="9"/>
  <c r="DW594" i="9"/>
  <c r="DW286" i="9"/>
  <c r="DW382" i="9"/>
  <c r="DW391" i="9"/>
  <c r="DW520" i="9"/>
  <c r="DW112" i="9"/>
  <c r="DW431" i="9"/>
  <c r="DW523" i="9"/>
  <c r="DW326" i="9"/>
  <c r="DW204" i="9"/>
  <c r="DW357" i="9"/>
  <c r="DW288" i="9"/>
  <c r="DW294" i="9"/>
  <c r="DW549" i="9"/>
  <c r="DW457" i="9"/>
  <c r="DW737" i="9"/>
  <c r="DW436" i="9"/>
  <c r="DW188" i="9"/>
  <c r="DY39" i="9"/>
  <c r="DY46" i="9"/>
  <c r="DY680" i="9"/>
  <c r="DY194" i="9"/>
  <c r="DY342" i="9"/>
  <c r="DY530" i="9"/>
  <c r="DY281" i="9"/>
  <c r="DY357" i="9"/>
  <c r="DY213" i="9"/>
  <c r="DY369" i="9"/>
  <c r="DY480" i="9"/>
  <c r="DY138" i="9"/>
  <c r="DY227" i="9"/>
  <c r="DY238" i="9"/>
  <c r="DY574" i="9"/>
  <c r="DY29" i="9"/>
  <c r="DY81" i="9"/>
  <c r="DY508" i="9"/>
  <c r="DY296" i="9"/>
  <c r="DY398" i="9"/>
  <c r="DY257" i="9"/>
  <c r="DY606" i="9"/>
  <c r="DY711" i="9"/>
  <c r="DY316" i="9"/>
  <c r="DY610" i="9"/>
  <c r="DY267" i="9"/>
  <c r="DY612" i="9"/>
  <c r="DY413" i="9"/>
  <c r="DY632" i="9"/>
  <c r="DY109" i="9"/>
  <c r="DY33" i="9"/>
  <c r="DY618" i="9"/>
  <c r="DY553" i="9"/>
  <c r="DY739" i="9"/>
  <c r="DY183" i="9"/>
  <c r="DY436" i="9"/>
  <c r="DY438" i="9"/>
  <c r="DY746" i="9"/>
  <c r="DY128" i="9"/>
  <c r="DW148" i="9"/>
  <c r="DW235" i="9"/>
  <c r="DW531" i="9"/>
  <c r="DW483" i="9"/>
  <c r="DW392" i="9"/>
  <c r="DW172" i="9"/>
  <c r="DW418" i="9"/>
  <c r="DW427" i="9"/>
  <c r="DW638" i="9"/>
  <c r="DW198" i="9"/>
  <c r="DW210" i="9"/>
  <c r="DW476" i="9"/>
  <c r="DW76" i="9"/>
  <c r="DW706" i="9"/>
  <c r="DW716" i="9"/>
  <c r="DW616" i="9"/>
  <c r="DW669" i="9"/>
  <c r="DW222" i="9"/>
  <c r="DY43" i="9"/>
  <c r="DY198" i="9"/>
  <c r="DY585" i="9"/>
  <c r="DY528" i="9"/>
  <c r="DY56" i="9"/>
  <c r="DY350" i="9"/>
  <c r="DY190" i="9"/>
  <c r="DY359" i="9"/>
  <c r="DY366" i="9"/>
  <c r="DY696" i="9"/>
  <c r="DY625" i="9"/>
  <c r="DY192" i="9"/>
  <c r="DY748" i="9"/>
  <c r="DY577" i="9"/>
  <c r="DY381" i="9"/>
  <c r="DY240" i="9"/>
  <c r="DY254" i="9"/>
  <c r="DY230" i="9"/>
  <c r="DY565" i="9"/>
  <c r="DY454" i="9"/>
  <c r="DY627" i="9"/>
  <c r="DY710" i="9"/>
  <c r="DY713" i="9"/>
  <c r="DY456" i="9"/>
  <c r="DY100" i="9"/>
  <c r="DY102" i="9"/>
  <c r="DY145" i="9"/>
  <c r="DY416" i="9"/>
  <c r="DY566" i="9"/>
  <c r="DY634" i="9"/>
  <c r="DY666" i="9"/>
  <c r="DY220" i="9"/>
  <c r="DY113" i="9"/>
  <c r="DY261" i="9"/>
  <c r="DY37" i="9"/>
  <c r="DY570" i="9"/>
  <c r="DY744" i="9"/>
  <c r="DY442" i="9"/>
  <c r="DY129" i="9"/>
  <c r="DY133" i="9"/>
  <c r="DY541" i="9"/>
  <c r="DY304" i="9"/>
  <c r="DY117" i="9"/>
  <c r="DY122" i="9"/>
  <c r="DY262" i="9"/>
  <c r="DY496" i="9"/>
  <c r="DW679" i="9"/>
  <c r="DW468" i="9"/>
  <c r="DW291" i="9"/>
  <c r="DW206" i="9"/>
  <c r="DW108" i="9"/>
  <c r="DW495" i="9"/>
  <c r="DW262" i="9"/>
  <c r="DY332" i="9"/>
  <c r="DY210" i="9"/>
  <c r="DY225" i="9"/>
  <c r="DY697" i="9"/>
  <c r="DY506" i="9"/>
  <c r="DY379" i="9"/>
  <c r="DW151" i="9"/>
  <c r="DW348" i="9"/>
  <c r="DW694" i="9"/>
  <c r="DW546" i="9"/>
  <c r="DW217" i="9"/>
  <c r="DW316" i="9"/>
  <c r="DW633" i="9"/>
  <c r="DW429" i="9"/>
  <c r="DW743" i="9"/>
  <c r="DY325" i="9"/>
  <c r="DY331" i="9"/>
  <c r="DY576" i="9"/>
  <c r="DY683" i="9"/>
  <c r="DY251" i="9"/>
  <c r="DY448" i="9"/>
  <c r="DY652" i="9"/>
  <c r="DY474" i="9"/>
  <c r="DY367" i="9"/>
  <c r="DY477" i="9"/>
  <c r="DY518" i="9"/>
  <c r="DY545" i="9"/>
  <c r="DY484" i="9"/>
  <c r="DY378" i="9"/>
  <c r="DY382" i="9"/>
  <c r="DY386" i="9"/>
  <c r="DY626" i="9"/>
  <c r="DY391" i="9"/>
  <c r="DY315" i="9"/>
  <c r="DY708" i="9"/>
  <c r="DY489" i="9"/>
  <c r="DY242" i="9"/>
  <c r="DY609" i="9"/>
  <c r="DY175" i="9"/>
  <c r="DY406" i="9"/>
  <c r="DY318" i="9"/>
  <c r="DY613" i="9"/>
  <c r="DY520" i="9"/>
  <c r="DY178" i="9"/>
  <c r="DY319" i="9"/>
  <c r="DY305" i="9"/>
  <c r="DY443" i="9"/>
  <c r="DW561" i="9"/>
  <c r="DW406" i="9"/>
  <c r="DY676" i="9"/>
  <c r="DY586" i="9"/>
  <c r="DY684" i="9"/>
  <c r="DY688" i="9"/>
  <c r="DY475" i="9"/>
  <c r="DY694" i="9"/>
  <c r="DY698" i="9"/>
  <c r="DY139" i="9"/>
  <c r="DW209" i="9"/>
  <c r="DW62" i="9"/>
  <c r="DW214" i="9"/>
  <c r="DW79" i="9"/>
  <c r="DW169" i="9"/>
  <c r="DW493" i="9"/>
  <c r="DW422" i="9"/>
  <c r="DW740" i="9"/>
  <c r="DW746" i="9"/>
  <c r="DY44" i="9"/>
  <c r="DY678" i="9"/>
  <c r="DY682" i="9"/>
  <c r="DY341" i="9"/>
  <c r="DY57" i="9"/>
  <c r="DY468" i="9"/>
  <c r="DY470" i="9"/>
  <c r="DY191" i="9"/>
  <c r="DY368" i="9"/>
  <c r="DY747" i="9"/>
  <c r="DY482" i="9"/>
  <c r="DY290" i="9"/>
  <c r="DY215" i="9"/>
  <c r="DY573" i="9"/>
  <c r="DY79" i="9"/>
  <c r="DY657" i="9"/>
  <c r="DY86" i="9"/>
  <c r="DY392" i="9"/>
  <c r="DY396" i="9"/>
  <c r="DY548" i="9"/>
  <c r="DY400" i="9"/>
  <c r="DY662" i="9"/>
  <c r="DY172" i="9"/>
  <c r="DY98" i="9"/>
  <c r="DY101" i="9"/>
  <c r="DY630" i="9"/>
  <c r="DY721" i="9"/>
  <c r="DY539" i="9"/>
  <c r="DY108" i="9"/>
  <c r="DY218" i="9"/>
  <c r="DY552" i="9"/>
  <c r="DY735" i="9"/>
  <c r="DY428" i="9"/>
  <c r="DY431" i="9"/>
  <c r="DY120" i="9"/>
  <c r="DY672" i="9"/>
  <c r="DY263" i="9"/>
  <c r="DY185" i="9"/>
  <c r="DW586" i="9"/>
  <c r="DW63" i="9"/>
  <c r="DW747" i="9"/>
  <c r="DW383" i="9"/>
  <c r="DW455" i="9"/>
  <c r="DW268" i="9"/>
  <c r="DW146" i="9"/>
  <c r="DW37" i="9"/>
  <c r="DW460" i="9"/>
  <c r="DY328" i="9"/>
  <c r="DY150" i="9"/>
  <c r="DY587" i="9"/>
  <c r="DY588" i="9"/>
  <c r="DY348" i="9"/>
  <c r="DY61" i="9"/>
  <c r="DY502" i="9"/>
  <c r="DY559" i="9"/>
  <c r="DW642" i="9"/>
  <c r="DW287" i="9"/>
  <c r="DW132" i="9"/>
  <c r="DW636" i="9"/>
  <c r="DY554" i="9"/>
  <c r="DY276" i="9"/>
  <c r="DY623" i="9"/>
  <c r="DY68" i="9"/>
  <c r="DY71" i="9"/>
  <c r="DY373" i="9"/>
  <c r="DY546" i="9"/>
  <c r="DY655" i="9"/>
  <c r="DY131" i="9"/>
  <c r="DY229" i="9"/>
  <c r="DY89" i="9"/>
  <c r="DY604" i="9"/>
  <c r="DY132" i="9"/>
  <c r="DY144" i="9"/>
  <c r="DY611" i="9"/>
  <c r="DY233" i="9"/>
  <c r="DY417" i="9"/>
  <c r="DY271" i="9"/>
  <c r="DY112" i="9"/>
  <c r="DY207" i="9"/>
  <c r="DY495" i="9"/>
  <c r="DY671" i="9"/>
  <c r="DY440" i="9"/>
  <c r="DY579" i="9"/>
  <c r="DY126" i="9"/>
  <c r="DY639" i="9"/>
  <c r="DW619" i="9"/>
  <c r="DY62" i="9"/>
  <c r="DY26" i="9"/>
  <c r="DY311" i="9"/>
  <c r="DY255" i="9"/>
  <c r="DY493" i="9"/>
  <c r="DY614" i="9"/>
  <c r="DY740" i="9"/>
  <c r="DY572" i="9"/>
  <c r="DY556" i="9"/>
  <c r="DY702" i="9"/>
  <c r="DY393" i="9"/>
  <c r="DY522" i="9"/>
  <c r="DW82" i="9"/>
  <c r="DW639" i="9"/>
  <c r="DY464" i="9"/>
  <c r="DY689" i="9"/>
  <c r="DY141" i="9"/>
  <c r="DY88" i="9"/>
  <c r="DY714" i="9"/>
  <c r="DY301" i="9"/>
  <c r="DW446" i="9"/>
  <c r="DY345" i="9"/>
  <c r="DY395" i="9"/>
  <c r="DY114" i="9"/>
  <c r="DY619" i="9"/>
  <c r="DY498" i="9"/>
  <c r="DY450" i="9"/>
  <c r="DY716" i="9"/>
  <c r="DY300" i="9"/>
  <c r="DY743" i="9"/>
  <c r="DY458" i="9"/>
  <c r="DW335" i="9"/>
  <c r="DW373" i="9"/>
  <c r="DW173" i="9"/>
  <c r="DW184" i="9"/>
  <c r="DY677" i="9"/>
  <c r="DY136" i="9"/>
  <c r="DY224" i="9"/>
  <c r="DY159" i="9"/>
  <c r="DY624" i="9"/>
  <c r="DY75" i="9"/>
  <c r="DY377" i="9"/>
  <c r="DY580" i="9"/>
  <c r="DY253" i="9"/>
  <c r="DY389" i="9"/>
  <c r="DY90" i="9"/>
  <c r="DY195" i="9"/>
  <c r="DY200" i="9"/>
  <c r="DY664" i="9"/>
  <c r="DY718" i="9"/>
  <c r="DY410" i="9"/>
  <c r="DY615" i="9"/>
  <c r="DY110" i="9"/>
  <c r="DY424" i="9"/>
  <c r="DY260" i="9"/>
  <c r="DY637" i="9"/>
  <c r="DY437" i="9"/>
  <c r="DW102" i="9"/>
  <c r="DY151" i="9"/>
  <c r="DY374" i="9"/>
  <c r="DY167" i="9"/>
  <c r="DY707" i="9"/>
  <c r="DY608" i="9"/>
  <c r="DY733" i="9"/>
  <c r="DY203" i="9"/>
  <c r="DW566" i="9"/>
  <c r="DY375" i="9"/>
  <c r="DY31" i="9"/>
  <c r="DY177" i="9"/>
  <c r="DY429" i="9"/>
  <c r="DY274" i="9"/>
  <c r="DY404" i="9"/>
  <c r="DY127" i="9"/>
  <c r="DW591" i="9"/>
  <c r="DY526" i="9"/>
  <c r="DY74" i="9"/>
  <c r="DY602" i="9"/>
  <c r="DY405" i="9"/>
  <c r="DW225" i="9"/>
  <c r="DY246" i="9"/>
  <c r="DY701" i="9"/>
  <c r="DY705" i="9"/>
  <c r="DY170" i="9"/>
  <c r="DY415" i="9"/>
  <c r="DY435" i="9"/>
  <c r="DY186" i="9"/>
  <c r="DW527" i="9"/>
  <c r="DW599" i="9"/>
  <c r="DW719" i="9"/>
  <c r="DW120" i="9"/>
  <c r="DY334" i="9"/>
  <c r="DY53" i="9"/>
  <c r="DY189" i="9"/>
  <c r="DY360" i="9"/>
  <c r="DY27" i="9"/>
  <c r="DY599" i="9"/>
  <c r="DY533" i="9"/>
  <c r="DY291" i="9"/>
  <c r="DY487" i="9"/>
  <c r="DY87" i="9"/>
  <c r="DY547" i="9"/>
  <c r="DY455" i="9"/>
  <c r="DY96" i="9"/>
  <c r="DY717" i="9"/>
  <c r="DY719" i="9"/>
  <c r="DY457" i="9"/>
  <c r="DY270" i="9"/>
  <c r="DY422" i="9"/>
  <c r="DY617" i="9"/>
  <c r="DY35" i="9"/>
  <c r="DY115" i="9"/>
  <c r="DY123" i="9"/>
  <c r="DY745" i="9"/>
  <c r="DW683" i="9"/>
  <c r="DW562" i="9"/>
  <c r="DY686" i="9"/>
  <c r="DY370" i="9"/>
  <c r="DY581" i="9"/>
  <c r="DY93" i="9"/>
  <c r="DY511" i="9"/>
  <c r="DY106" i="9"/>
  <c r="DY635" i="9"/>
  <c r="DY669" i="9"/>
  <c r="DW486" i="9"/>
  <c r="DW622" i="9"/>
  <c r="DY364" i="9"/>
  <c r="DY704" i="9"/>
  <c r="DY95" i="9"/>
  <c r="DY403" i="9"/>
  <c r="DY118" i="9"/>
  <c r="DY124" i="9"/>
  <c r="DY461" i="9"/>
  <c r="DY283" i="9"/>
  <c r="DY219" i="9"/>
  <c r="DY182" i="9"/>
  <c r="DW617" i="9"/>
  <c r="DY653" i="9"/>
  <c r="DY193" i="9"/>
  <c r="DY92" i="9"/>
  <c r="DY173" i="9"/>
  <c r="DY730" i="9"/>
  <c r="DY222" i="9"/>
  <c r="DW297" i="9"/>
  <c r="DY80" i="9"/>
  <c r="DY293" i="9"/>
  <c r="DY540" i="9"/>
  <c r="DY426" i="9"/>
  <c r="DY427" i="9"/>
  <c r="DW684" i="9"/>
  <c r="DW581" i="9"/>
  <c r="DW410" i="9"/>
  <c r="DW125" i="9"/>
  <c r="DY245" i="9"/>
  <c r="DY48" i="9"/>
  <c r="DY154" i="9"/>
  <c r="DY156" i="9"/>
  <c r="DY560" i="9"/>
  <c r="DY452" i="9"/>
  <c r="DY288" i="9"/>
  <c r="DY228" i="9"/>
  <c r="DY507" i="9"/>
  <c r="DY82" i="9"/>
  <c r="DY168" i="9"/>
  <c r="DY30" i="9"/>
  <c r="DY94" i="9"/>
  <c r="DY549" i="9"/>
  <c r="DY402" i="9"/>
  <c r="DY268" i="9"/>
  <c r="DY411" i="9"/>
  <c r="DY107" i="9"/>
  <c r="DY32" i="9"/>
  <c r="DY425" i="9"/>
  <c r="DY568" i="9"/>
  <c r="DY434" i="9"/>
  <c r="DY38" i="9"/>
  <c r="DY673" i="9"/>
  <c r="DY317" i="9"/>
  <c r="DY418" i="9"/>
  <c r="DY234" i="9"/>
  <c r="DY116" i="9"/>
  <c r="DY620" i="9"/>
  <c r="DW61" i="9"/>
  <c r="DY324" i="9"/>
  <c r="DY372" i="9"/>
  <c r="DY169" i="9"/>
  <c r="DY423" i="9"/>
  <c r="DW420" i="9"/>
  <c r="DY163" i="9"/>
  <c r="DY142" i="9"/>
  <c r="DY726" i="9"/>
  <c r="DY119" i="9"/>
  <c r="DY638" i="9"/>
  <c r="DW315" i="9"/>
  <c r="DY488" i="9"/>
  <c r="DY660" i="9"/>
  <c r="DY631" i="9"/>
  <c r="DY736" i="9"/>
  <c r="DY445" i="9"/>
  <c r="DY58" i="9"/>
  <c r="DY472" i="9"/>
  <c r="DY286" i="9"/>
  <c r="DY259" i="9"/>
  <c r="DY521" i="9"/>
  <c r="DY321" i="9"/>
  <c r="DW56" i="9"/>
  <c r="DW385" i="9"/>
  <c r="DW201" i="9"/>
  <c r="DW621" i="9"/>
  <c r="DY640" i="9"/>
  <c r="DY223" i="9"/>
  <c r="DY235" i="9"/>
  <c r="DY64" i="9"/>
  <c r="DY654" i="9"/>
  <c r="DY478" i="9"/>
  <c r="DY310" i="9"/>
  <c r="DY600" i="9"/>
  <c r="DY383" i="9"/>
  <c r="DY83" i="9"/>
  <c r="DY314" i="9"/>
  <c r="DY297" i="9"/>
  <c r="DY241" i="9"/>
  <c r="DY712" i="9"/>
  <c r="DY176" i="9"/>
  <c r="DY269" i="9"/>
  <c r="DY729" i="9"/>
  <c r="DY272" i="9"/>
  <c r="DY460" i="9"/>
  <c r="DY681" i="9"/>
  <c r="DY354" i="9"/>
  <c r="DY601" i="9"/>
  <c r="DY722" i="9"/>
  <c r="DY616" i="9"/>
  <c r="DW354" i="9"/>
  <c r="DY55" i="9"/>
  <c r="DY199" i="9"/>
  <c r="DY485" i="9"/>
  <c r="DY84" i="9"/>
  <c r="DY709" i="9"/>
  <c r="DY628" i="9"/>
  <c r="DY303" i="9"/>
  <c r="DY575" i="9"/>
  <c r="DY503" i="9"/>
  <c r="DY385" i="9"/>
  <c r="DY724" i="9"/>
  <c r="DY419" i="9"/>
  <c r="DW425" i="9"/>
  <c r="DY376" i="9"/>
  <c r="DY298" i="9"/>
  <c r="DY459" i="9"/>
  <c r="DY621" i="9"/>
  <c r="DW26" i="9"/>
  <c r="DW241" i="9"/>
  <c r="DW426" i="9"/>
  <c r="DY275" i="9"/>
  <c r="DY152" i="9"/>
  <c r="DY137" i="9"/>
  <c r="DY158" i="9"/>
  <c r="DY451" i="9"/>
  <c r="DY164" i="9"/>
  <c r="DY562" i="9"/>
  <c r="DY563" i="9"/>
  <c r="DY703" i="9"/>
  <c r="DY294" i="9"/>
  <c r="DY706" i="9"/>
  <c r="DY509" i="9"/>
  <c r="DY661" i="9"/>
  <c r="DY174" i="9"/>
  <c r="DY665" i="9"/>
  <c r="DY232" i="9"/>
  <c r="DY103" i="9"/>
  <c r="DY420" i="9"/>
  <c r="DY34" i="9"/>
  <c r="DY737" i="9"/>
  <c r="DY430" i="9"/>
  <c r="DY742" i="9"/>
  <c r="DY439" i="9"/>
  <c r="DY622" i="9"/>
  <c r="DW596" i="9"/>
  <c r="DW661" i="9"/>
  <c r="DW260" i="9"/>
  <c r="DY149" i="9"/>
  <c r="DY52" i="9"/>
  <c r="DY467" i="9"/>
  <c r="DY356" i="9"/>
  <c r="DY214" i="9"/>
  <c r="DY287" i="9"/>
  <c r="DY76" i="9"/>
  <c r="DY166" i="9"/>
  <c r="DY312" i="9"/>
  <c r="DY658" i="9"/>
  <c r="DY217" i="9"/>
  <c r="DY143" i="9"/>
  <c r="DY171" i="9"/>
  <c r="DY401" i="9"/>
  <c r="DY550" i="9"/>
  <c r="DY409" i="9"/>
  <c r="DY104" i="9"/>
  <c r="DY731" i="9"/>
  <c r="DY36" i="9"/>
  <c r="DY208" i="9"/>
  <c r="CP397" i="9"/>
  <c r="CP276" i="9"/>
  <c r="CP38" i="9"/>
  <c r="CP603" i="9"/>
  <c r="CP42" i="9"/>
  <c r="CP280" i="9"/>
  <c r="CP249" i="9"/>
  <c r="CP584" i="9"/>
  <c r="CP48" i="9"/>
  <c r="CP51" i="9"/>
  <c r="CP52" i="9"/>
  <c r="CP55" i="9"/>
  <c r="CP523" i="9"/>
  <c r="CP326" i="9"/>
  <c r="CP631" i="9"/>
  <c r="CP527" i="9"/>
  <c r="CP431" i="9"/>
  <c r="CP439" i="9"/>
  <c r="CP261" i="9"/>
  <c r="CP73" i="9"/>
  <c r="CP237" i="9"/>
  <c r="CP200" i="9"/>
  <c r="CP82" i="9"/>
  <c r="CP85" i="9"/>
  <c r="CP264" i="9"/>
  <c r="CP394" i="9"/>
  <c r="CP188" i="9"/>
  <c r="CP94" i="9"/>
  <c r="CP538" i="9"/>
  <c r="CP355" i="9"/>
  <c r="CP227" i="9"/>
  <c r="CP542" i="9"/>
  <c r="CP494" i="9"/>
  <c r="CP546" i="9"/>
  <c r="CP547" i="9"/>
  <c r="CP297" i="9"/>
  <c r="CP102" i="9"/>
  <c r="CP625" i="9"/>
  <c r="CP359" i="9"/>
  <c r="CP106" i="9"/>
  <c r="CP472" i="9"/>
  <c r="CP443" i="9"/>
  <c r="CP422" i="9"/>
  <c r="CP311" i="9"/>
  <c r="CP157" i="9"/>
  <c r="CP390" i="9"/>
  <c r="CP569" i="9"/>
  <c r="CP343" i="9"/>
  <c r="CP600" i="9"/>
  <c r="CP127" i="9"/>
  <c r="CP273" i="9"/>
  <c r="CP364" i="9"/>
  <c r="CP505" i="9"/>
  <c r="CP212" i="9"/>
  <c r="CP277" i="9"/>
  <c r="CP459" i="9"/>
  <c r="CP511" i="9"/>
  <c r="CP323" i="9"/>
  <c r="CP198" i="9"/>
  <c r="CP437" i="9"/>
  <c r="CP461" i="9"/>
  <c r="CP371" i="9"/>
  <c r="CP325" i="9"/>
  <c r="CP23" i="9"/>
  <c r="CP59" i="9"/>
  <c r="CP290" i="9"/>
  <c r="CP282" i="9"/>
  <c r="CP64" i="9"/>
  <c r="CP434" i="9"/>
  <c r="CP66" i="9"/>
  <c r="CP577" i="9"/>
  <c r="CP533" i="9"/>
  <c r="CP435" i="9"/>
  <c r="CP481" i="9"/>
  <c r="CP263" i="9"/>
  <c r="CP373" i="9"/>
  <c r="CP310" i="9"/>
  <c r="CP216" i="9"/>
  <c r="CP195" i="9"/>
  <c r="CP225" i="9"/>
  <c r="CP295" i="9"/>
  <c r="CP173" i="9"/>
  <c r="CP27" i="9"/>
  <c r="CP356" i="9"/>
  <c r="CP98" i="9"/>
  <c r="CP99" i="9"/>
  <c r="CP548" i="9"/>
  <c r="CP298" i="9"/>
  <c r="CP441" i="9"/>
  <c r="CP615" i="9"/>
  <c r="CP480" i="9"/>
  <c r="CP456" i="9"/>
  <c r="CP107" i="9"/>
  <c r="CP360" i="9"/>
  <c r="CP111" i="9"/>
  <c r="CP243" i="9"/>
  <c r="CP502" i="9"/>
  <c r="CP433" i="9"/>
  <c r="CP570" i="9"/>
  <c r="CP596" i="9"/>
  <c r="CP286" i="9"/>
  <c r="CP574" i="9"/>
  <c r="CP128" i="9"/>
  <c r="CP448" i="9"/>
  <c r="CP34" i="9"/>
  <c r="CP346" i="9"/>
  <c r="CP253" i="9"/>
  <c r="CP41" i="9"/>
  <c r="CP222" i="9"/>
  <c r="CP513" i="9"/>
  <c r="CP232" i="9"/>
  <c r="CP233" i="9"/>
  <c r="CP517" i="9"/>
  <c r="CP452" i="9"/>
  <c r="CP605" i="9"/>
  <c r="CP622" i="9"/>
  <c r="CP60" i="9"/>
  <c r="CP408" i="9"/>
  <c r="CP328" i="9"/>
  <c r="CP292" i="9"/>
  <c r="CP528" i="9"/>
  <c r="CP487" i="9"/>
  <c r="CP462" i="9"/>
  <c r="CP236" i="9"/>
  <c r="CP589" i="9"/>
  <c r="CP535" i="9"/>
  <c r="CP194" i="9"/>
  <c r="CP478" i="9"/>
  <c r="CP211" i="9"/>
  <c r="CP465" i="9"/>
  <c r="CP415" i="9"/>
  <c r="CP315" i="9"/>
  <c r="CP467" i="9"/>
  <c r="CP320" i="9"/>
  <c r="CP288" i="9"/>
  <c r="CP149" i="9"/>
  <c r="CP418" i="9"/>
  <c r="CP377" i="9"/>
  <c r="CP614" i="9"/>
  <c r="CP550" i="9"/>
  <c r="CP552" i="9"/>
  <c r="CP501" i="9"/>
  <c r="CP156" i="9"/>
  <c r="CP301" i="9"/>
  <c r="CP341" i="9"/>
  <c r="CP109" i="9"/>
  <c r="CP219" i="9"/>
  <c r="CP115" i="9"/>
  <c r="CP30" i="9"/>
  <c r="CP483" i="9"/>
  <c r="CP229" i="9"/>
  <c r="CP503" i="9"/>
  <c r="CP160" i="9"/>
  <c r="CP601" i="9"/>
  <c r="CP491" i="9"/>
  <c r="CP278" i="9"/>
  <c r="CP305" i="9"/>
  <c r="CP209" i="9"/>
  <c r="CP515" i="9"/>
  <c r="CP404" i="9"/>
  <c r="CP604" i="9"/>
  <c r="CP475" i="9"/>
  <c r="CP133" i="9"/>
  <c r="CP492" i="9"/>
  <c r="CP586" i="9"/>
  <c r="CP524" i="9"/>
  <c r="CP291" i="9"/>
  <c r="CP138" i="9"/>
  <c r="CP529" i="9"/>
  <c r="CP493" i="9"/>
  <c r="CP70" i="9"/>
  <c r="CP412" i="9"/>
  <c r="CP78" i="9"/>
  <c r="CP332" i="9"/>
  <c r="CP84" i="9"/>
  <c r="CP488" i="9"/>
  <c r="CP365" i="9"/>
  <c r="CP179" i="9"/>
  <c r="CP92" i="9"/>
  <c r="CP466" i="9"/>
  <c r="CP468" i="9"/>
  <c r="CP145" i="9"/>
  <c r="CP611" i="9"/>
  <c r="CP612" i="9"/>
  <c r="CP545" i="9"/>
  <c r="CP388" i="9"/>
  <c r="CP500" i="9"/>
  <c r="CP190" i="9"/>
  <c r="CP553" i="9"/>
  <c r="CP28" i="9"/>
  <c r="CP379" i="9"/>
  <c r="CP557" i="9"/>
  <c r="CP442" i="9"/>
  <c r="CP110" i="9"/>
  <c r="CP112" i="9"/>
  <c r="CP303" i="9"/>
  <c r="CP118" i="9"/>
  <c r="CP619" i="9"/>
  <c r="CP391" i="9"/>
  <c r="CP573" i="9"/>
  <c r="CP124" i="9"/>
  <c r="CP220" i="9"/>
  <c r="CP629" i="9"/>
  <c r="CP506" i="9"/>
  <c r="CP221" i="9"/>
  <c r="CP205" i="9"/>
  <c r="CP231" i="9"/>
  <c r="CP279" i="9"/>
  <c r="CP254" i="9"/>
  <c r="CP255" i="9"/>
  <c r="CP193" i="9"/>
  <c r="CP185" i="9"/>
  <c r="CP519" i="9"/>
  <c r="CP520" i="9"/>
  <c r="CP134" i="9"/>
  <c r="CP135" i="9"/>
  <c r="CP61" i="9"/>
  <c r="CP329" i="9"/>
  <c r="CP450" i="9"/>
  <c r="CP530" i="9"/>
  <c r="CP139" i="9"/>
  <c r="CP262" i="9"/>
  <c r="CP76" i="9"/>
  <c r="CP331" i="9"/>
  <c r="CP386" i="9"/>
  <c r="CP250" i="9"/>
  <c r="CP163" i="9"/>
  <c r="CP142" i="9"/>
  <c r="CP201" i="9"/>
  <c r="CP93" i="9"/>
  <c r="CP265" i="9"/>
  <c r="CP283" i="9"/>
  <c r="CP610" i="9"/>
  <c r="CP375" i="9"/>
  <c r="CP266" i="9"/>
  <c r="CP289" i="9"/>
  <c r="CP317" i="9"/>
  <c r="CP251" i="9"/>
  <c r="CP358" i="9"/>
  <c r="CP555" i="9"/>
  <c r="CP634" i="9"/>
  <c r="CP617" i="9"/>
  <c r="CP560" i="9"/>
  <c r="CP302" i="9"/>
  <c r="CP177" i="9"/>
  <c r="CP33" i="9"/>
  <c r="CP304" i="9"/>
  <c r="CP248" i="9"/>
  <c r="CP131" i="9"/>
  <c r="CP324" i="9"/>
  <c r="CP307" i="9"/>
  <c r="CP476" i="9"/>
  <c r="CP199" i="9"/>
  <c r="CP206" i="9"/>
  <c r="CP259" i="9"/>
  <c r="CP588" i="9"/>
  <c r="CP72" i="9"/>
  <c r="CP534" i="9"/>
  <c r="CP633" i="9"/>
  <c r="CP608" i="9"/>
  <c r="CP319" i="9"/>
  <c r="CP318" i="9"/>
  <c r="CP539" i="9"/>
  <c r="CP148" i="9"/>
  <c r="CP150" i="9"/>
  <c r="CP296" i="9"/>
  <c r="CP103" i="9"/>
  <c r="CP196" i="9"/>
  <c r="CP457" i="9"/>
  <c r="CP361" i="9"/>
  <c r="CP564" i="9"/>
  <c r="CP313" i="9"/>
  <c r="CP427" i="9"/>
  <c r="CP582" i="9"/>
  <c r="CP32" i="9"/>
  <c r="CP274" i="9"/>
  <c r="CR322" i="9"/>
  <c r="CR35" i="9"/>
  <c r="CR508" i="9"/>
  <c r="CR248" i="9"/>
  <c r="CR484" i="9"/>
  <c r="CR223" i="9"/>
  <c r="CR45" i="9"/>
  <c r="CR516" i="9"/>
  <c r="CR210" i="9"/>
  <c r="CR497" i="9"/>
  <c r="CR485" i="9"/>
  <c r="CR522" i="9"/>
  <c r="CR308" i="9"/>
  <c r="CR525" i="9"/>
  <c r="CP583" i="9"/>
  <c r="CP37" i="9"/>
  <c r="CP213" i="9"/>
  <c r="CP402" i="9"/>
  <c r="CP370" i="9"/>
  <c r="CP49" i="9"/>
  <c r="CP485" i="9"/>
  <c r="CP24" i="9"/>
  <c r="CP62" i="9"/>
  <c r="CP477" i="9"/>
  <c r="CP235" i="9"/>
  <c r="CP372" i="9"/>
  <c r="CP141" i="9"/>
  <c r="CP482" i="9"/>
  <c r="CP86" i="9"/>
  <c r="CP91" i="9"/>
  <c r="CP171" i="9"/>
  <c r="CP226" i="9"/>
  <c r="CP357" i="9"/>
  <c r="CP241" i="9"/>
  <c r="CP175" i="9"/>
  <c r="CP378" i="9"/>
  <c r="CP155" i="9"/>
  <c r="CP558" i="9"/>
  <c r="CP421" i="9"/>
  <c r="CP362" i="9"/>
  <c r="CP119" i="9"/>
  <c r="CP595" i="9"/>
  <c r="CP363" i="9"/>
  <c r="CP380" i="9"/>
  <c r="CP628" i="9"/>
  <c r="CR230" i="9"/>
  <c r="CR36" i="9"/>
  <c r="CR39" i="9"/>
  <c r="CR213" i="9"/>
  <c r="CR401" i="9"/>
  <c r="CR197" i="9"/>
  <c r="CR46" i="9"/>
  <c r="CR405" i="9"/>
  <c r="CR307" i="9"/>
  <c r="CR406" i="9"/>
  <c r="CR54" i="9"/>
  <c r="CR57" i="9"/>
  <c r="CR314" i="9"/>
  <c r="CR327" i="9"/>
  <c r="CR350" i="9"/>
  <c r="CR477" i="9"/>
  <c r="CR499" i="9"/>
  <c r="CR67" i="9"/>
  <c r="CR71" i="9"/>
  <c r="CR75" i="9"/>
  <c r="CR534" i="9"/>
  <c r="CR414" i="9"/>
  <c r="CR309" i="9"/>
  <c r="CR578" i="9"/>
  <c r="CR87" i="9"/>
  <c r="CR238" i="9"/>
  <c r="CR479" i="9"/>
  <c r="CR171" i="9"/>
  <c r="CR143" i="9"/>
  <c r="CR189" i="9"/>
  <c r="CP130" i="9"/>
  <c r="CP398" i="9"/>
  <c r="CP347" i="9"/>
  <c r="CP223" i="9"/>
  <c r="CP47" i="9"/>
  <c r="CP50" i="9"/>
  <c r="CP54" i="9"/>
  <c r="CP257" i="9"/>
  <c r="CP63" i="9"/>
  <c r="CP260" i="9"/>
  <c r="CP25" i="9"/>
  <c r="CP351" i="9"/>
  <c r="CP590" i="9"/>
  <c r="CP309" i="9"/>
  <c r="CP215" i="9"/>
  <c r="CP294" i="9"/>
  <c r="CP164" i="9"/>
  <c r="CP97" i="9"/>
  <c r="CP451" i="9"/>
  <c r="CP321" i="9"/>
  <c r="CP100" i="9"/>
  <c r="CP104" i="9"/>
  <c r="CP626" i="9"/>
  <c r="CP559" i="9"/>
  <c r="CP218" i="9"/>
  <c r="CP29" i="9"/>
  <c r="CP566" i="9"/>
  <c r="CP571" i="9"/>
  <c r="CP192" i="9"/>
  <c r="CP126" i="9"/>
  <c r="CP575" i="9"/>
  <c r="CR204" i="9"/>
  <c r="CR304" i="9"/>
  <c r="CR40" i="9"/>
  <c r="CR347" i="9"/>
  <c r="CR166" i="9"/>
  <c r="CR460" i="9"/>
  <c r="CR403" i="9"/>
  <c r="CR167" i="9"/>
  <c r="CR49" i="9"/>
  <c r="CR518" i="9"/>
  <c r="CR438" i="9"/>
  <c r="CR598" i="9"/>
  <c r="CR281" i="9"/>
  <c r="CR206" i="9"/>
  <c r="CR137" i="9"/>
  <c r="CR260" i="9"/>
  <c r="CR65" i="9"/>
  <c r="CR68" i="9"/>
  <c r="CR532" i="9"/>
  <c r="CR169" i="9"/>
  <c r="CR141" i="9"/>
  <c r="CR454" i="9"/>
  <c r="CP230" i="9"/>
  <c r="CP602" i="9"/>
  <c r="CP22" i="9"/>
  <c r="CP460" i="9"/>
  <c r="CP516" i="9"/>
  <c r="CP496" i="9"/>
  <c r="CP486" i="9"/>
  <c r="CP314" i="9"/>
  <c r="CP136" i="9"/>
  <c r="CP214" i="9"/>
  <c r="CP68" i="9"/>
  <c r="CP74" i="9"/>
  <c r="CP591" i="9"/>
  <c r="CP207" i="9"/>
  <c r="CP87" i="9"/>
  <c r="CP609" i="9"/>
  <c r="CP217" i="9"/>
  <c r="CP146" i="9"/>
  <c r="CP174" i="9"/>
  <c r="CP268" i="9"/>
  <c r="CP269" i="9"/>
  <c r="CP183" i="9"/>
  <c r="CP339" i="9"/>
  <c r="CP340" i="9"/>
  <c r="CP181" i="9"/>
  <c r="CP116" i="9"/>
  <c r="CP567" i="9"/>
  <c r="CP473" i="9"/>
  <c r="CP632" i="9"/>
  <c r="CP367" i="9"/>
  <c r="CP630" i="9"/>
  <c r="CR495" i="9"/>
  <c r="CR37" i="9"/>
  <c r="CR509" i="9"/>
  <c r="CR400" i="9"/>
  <c r="CR369" i="9"/>
  <c r="CR620" i="9"/>
  <c r="CR324" i="9"/>
  <c r="CR621" i="9"/>
  <c r="CR50" i="9"/>
  <c r="CR407" i="9"/>
  <c r="CR486" i="9"/>
  <c r="CR58" i="9"/>
  <c r="CR383" i="9"/>
  <c r="CR62" i="9"/>
  <c r="CR526" i="9"/>
  <c r="CR186" i="9"/>
  <c r="CR607" i="9"/>
  <c r="CP322" i="9"/>
  <c r="CP509" i="9"/>
  <c r="CP197" i="9"/>
  <c r="CP306" i="9"/>
  <c r="CP438" i="9"/>
  <c r="CP498" i="9"/>
  <c r="CP186" i="9"/>
  <c r="CP624" i="9"/>
  <c r="CP80" i="9"/>
  <c r="CP464" i="9"/>
  <c r="CP334" i="9"/>
  <c r="CP143" i="9"/>
  <c r="CP376" i="9"/>
  <c r="CP419" i="9"/>
  <c r="CP554" i="9"/>
  <c r="CP184" i="9"/>
  <c r="CP618" i="9"/>
  <c r="CP208" i="9"/>
  <c r="CP122" i="9"/>
  <c r="CP429" i="9"/>
  <c r="CP392" i="9"/>
  <c r="CR506" i="9"/>
  <c r="CR507" i="9"/>
  <c r="CR231" i="9"/>
  <c r="CR131" i="9"/>
  <c r="CR255" i="9"/>
  <c r="CR256" i="9"/>
  <c r="CR519" i="9"/>
  <c r="CR349" i="9"/>
  <c r="CR135" i="9"/>
  <c r="CR168" i="9"/>
  <c r="CR410" i="9"/>
  <c r="CR439" i="9"/>
  <c r="CR69" i="9"/>
  <c r="CR236" i="9"/>
  <c r="CR79" i="9"/>
  <c r="CR386" i="9"/>
  <c r="CR207" i="9"/>
  <c r="CR264" i="9"/>
  <c r="CR216" i="9"/>
  <c r="CR294" i="9"/>
  <c r="CR592" i="9"/>
  <c r="CR467" i="9"/>
  <c r="CR145" i="9"/>
  <c r="CR541" i="9"/>
  <c r="CR376" i="9"/>
  <c r="CR228" i="9"/>
  <c r="CR284" i="9"/>
  <c r="CR296" i="9"/>
  <c r="CR182" i="9"/>
  <c r="CR104" i="9"/>
  <c r="CR180" i="9"/>
  <c r="CR339" i="9"/>
  <c r="CR242" i="9"/>
  <c r="CR108" i="9"/>
  <c r="CR421" i="9"/>
  <c r="CR113" i="9"/>
  <c r="CR116" i="9"/>
  <c r="CR313" i="9"/>
  <c r="CR568" i="9"/>
  <c r="CR473" i="9"/>
  <c r="CR582" i="9"/>
  <c r="CR446" i="9"/>
  <c r="CR272" i="9"/>
  <c r="CR392" i="9"/>
  <c r="CP210" i="9"/>
  <c r="CP532" i="9"/>
  <c r="CP537" i="9"/>
  <c r="CP242" i="9"/>
  <c r="CP424" i="9"/>
  <c r="CP474" i="9"/>
  <c r="CR602" i="9"/>
  <c r="CR521" i="9"/>
  <c r="CR588" i="9"/>
  <c r="CR162" i="9"/>
  <c r="CR92" i="9"/>
  <c r="CR354" i="9"/>
  <c r="CR241" i="9"/>
  <c r="CR470" i="9"/>
  <c r="CP204" i="9"/>
  <c r="CP510" i="9"/>
  <c r="CP620" i="9"/>
  <c r="CP256" i="9"/>
  <c r="CP56" i="9"/>
  <c r="CP409" i="9"/>
  <c r="CP623" i="9"/>
  <c r="CP330" i="9"/>
  <c r="CP26" i="9"/>
  <c r="CP578" i="9"/>
  <c r="CP489" i="9"/>
  <c r="CP96" i="9"/>
  <c r="CP440" i="9"/>
  <c r="CP395" i="9"/>
  <c r="CP470" i="9"/>
  <c r="CP165" i="9"/>
  <c r="CP490" i="9"/>
  <c r="CP312" i="9"/>
  <c r="CP31" i="9"/>
  <c r="CP446" i="9"/>
  <c r="CP129" i="9"/>
  <c r="CR276" i="9"/>
  <c r="CR253" i="9"/>
  <c r="CR42" i="9"/>
  <c r="CR513" i="9"/>
  <c r="CR584" i="9"/>
  <c r="CR517" i="9"/>
  <c r="CR52" i="9"/>
  <c r="CR622" i="9"/>
  <c r="CR326" i="9"/>
  <c r="CR328" i="9"/>
  <c r="CR259" i="9"/>
  <c r="CR66" i="9"/>
  <c r="CR140" i="9"/>
  <c r="CR412" i="9"/>
  <c r="CR453" i="9"/>
  <c r="CR81" i="9"/>
  <c r="CR85" i="9"/>
  <c r="CR310" i="9"/>
  <c r="CR89" i="9"/>
  <c r="CR334" i="9"/>
  <c r="CR315" i="9"/>
  <c r="CR468" i="9"/>
  <c r="CR226" i="9"/>
  <c r="CR599" i="9"/>
  <c r="CR174" i="9"/>
  <c r="CR613" i="9"/>
  <c r="CR151" i="9"/>
  <c r="CR175" i="9"/>
  <c r="CR396" i="9"/>
  <c r="CR554" i="9"/>
  <c r="CR285" i="9"/>
  <c r="CR432" i="9"/>
  <c r="CR457" i="9"/>
  <c r="CR191" i="9"/>
  <c r="CR218" i="9"/>
  <c r="CR423" i="9"/>
  <c r="CR244" i="9"/>
  <c r="CR119" i="9"/>
  <c r="CR120" i="9"/>
  <c r="CR31" i="9"/>
  <c r="CR363" i="9"/>
  <c r="CR504" i="9"/>
  <c r="CR246" i="9"/>
  <c r="CR630" i="9"/>
  <c r="CR129" i="9"/>
  <c r="CP287" i="9"/>
  <c r="CP514" i="9"/>
  <c r="CP327" i="9"/>
  <c r="CP414" i="9"/>
  <c r="CP536" i="9"/>
  <c r="CP267" i="9"/>
  <c r="CP562" i="9"/>
  <c r="CR287" i="9"/>
  <c r="CR22" i="9"/>
  <c r="CR402" i="9"/>
  <c r="CR348" i="9"/>
  <c r="CR382" i="9"/>
  <c r="CR136" i="9"/>
  <c r="CR431" i="9"/>
  <c r="CR70" i="9"/>
  <c r="CR590" i="9"/>
  <c r="CR86" i="9"/>
  <c r="CR465" i="9"/>
  <c r="CR417" i="9"/>
  <c r="CR337" i="9"/>
  <c r="CR471" i="9"/>
  <c r="CP495" i="9"/>
  <c r="CP399" i="9"/>
  <c r="CP576" i="9"/>
  <c r="CP348" i="9"/>
  <c r="CP349" i="9"/>
  <c r="CP525" i="9"/>
  <c r="CP411" i="9"/>
  <c r="CP71" i="9"/>
  <c r="CP463" i="9"/>
  <c r="CP353" i="9"/>
  <c r="CP479" i="9"/>
  <c r="CP336" i="9"/>
  <c r="CP337" i="9"/>
  <c r="CP549" i="9"/>
  <c r="CP105" i="9"/>
  <c r="CP556" i="9"/>
  <c r="CP178" i="9"/>
  <c r="CP158" i="9"/>
  <c r="CP428" i="9"/>
  <c r="CP504" i="9"/>
  <c r="CP430" i="9"/>
  <c r="CR212" i="9"/>
  <c r="CR491" i="9"/>
  <c r="CR511" i="9"/>
  <c r="CR209" i="9"/>
  <c r="CR437" i="9"/>
  <c r="CR604" i="9"/>
  <c r="CR325" i="9"/>
  <c r="CR492" i="9"/>
  <c r="CR290" i="9"/>
  <c r="CR291" i="9"/>
  <c r="CR450" i="9"/>
  <c r="CR531" i="9"/>
  <c r="CR462" i="9"/>
  <c r="CR161" i="9"/>
  <c r="CR331" i="9"/>
  <c r="CR82" i="9"/>
  <c r="CR373" i="9"/>
  <c r="CR608" i="9"/>
  <c r="CR224" i="9"/>
  <c r="CR415" i="9"/>
  <c r="CR466" i="9"/>
  <c r="CR335" i="9"/>
  <c r="CR97" i="9"/>
  <c r="CR240" i="9"/>
  <c r="CR440" i="9"/>
  <c r="CR150" i="9"/>
  <c r="CR469" i="9"/>
  <c r="CR100" i="9"/>
  <c r="CR551" i="9"/>
  <c r="CR183" i="9"/>
  <c r="CR154" i="9"/>
  <c r="CR300" i="9"/>
  <c r="CR558" i="9"/>
  <c r="CR627" i="9"/>
  <c r="CR618" i="9"/>
  <c r="CR563" i="9"/>
  <c r="CR565" i="9"/>
  <c r="CR566" i="9"/>
  <c r="CR121" i="9"/>
  <c r="CR428" i="9"/>
  <c r="CR192" i="9"/>
  <c r="CR125" i="9"/>
  <c r="CR344" i="9"/>
  <c r="CP247" i="9"/>
  <c r="CP521" i="9"/>
  <c r="CP587" i="9"/>
  <c r="CP144" i="9"/>
  <c r="CP579" i="9"/>
  <c r="CP616" i="9"/>
  <c r="CP125" i="9"/>
  <c r="CP275" i="9"/>
  <c r="CR370" i="9"/>
  <c r="CR606" i="9"/>
  <c r="CR74" i="9"/>
  <c r="CR263" i="9"/>
  <c r="CR416" i="9"/>
  <c r="CR146" i="9"/>
  <c r="CR419" i="9"/>
  <c r="CR580" i="9"/>
  <c r="CR101" i="9"/>
  <c r="CR196" i="9"/>
  <c r="CP368" i="9"/>
  <c r="CP400" i="9"/>
  <c r="CP449" i="9"/>
  <c r="CP585" i="9"/>
  <c r="CP522" i="9"/>
  <c r="CP168" i="9"/>
  <c r="CP499" i="9"/>
  <c r="CP161" i="9"/>
  <c r="CP454" i="9"/>
  <c r="CP393" i="9"/>
  <c r="CP239" i="9"/>
  <c r="CP189" i="9"/>
  <c r="CP543" i="9"/>
  <c r="CP580" i="9"/>
  <c r="CP389" i="9"/>
  <c r="CP561" i="9"/>
  <c r="CP113" i="9"/>
  <c r="CP445" i="9"/>
  <c r="CP123" i="9"/>
  <c r="CP597" i="9"/>
  <c r="CP203" i="9"/>
  <c r="CR368" i="9"/>
  <c r="CR205" i="9"/>
  <c r="CR43" i="9"/>
  <c r="CR254" i="9"/>
  <c r="CR47" i="9"/>
  <c r="CR185" i="9"/>
  <c r="CR53" i="9"/>
  <c r="CR134" i="9"/>
  <c r="CR498" i="9"/>
  <c r="CR384" i="9"/>
  <c r="CR434" i="9"/>
  <c r="CR487" i="9"/>
  <c r="CR624" i="9"/>
  <c r="CR76" i="9"/>
  <c r="CR200" i="9"/>
  <c r="CR83" i="9"/>
  <c r="CR455" i="9"/>
  <c r="CR211" i="9"/>
  <c r="CR179" i="9"/>
  <c r="CR609" i="9"/>
  <c r="CR318" i="9"/>
  <c r="CR96" i="9"/>
  <c r="CR610" i="9"/>
  <c r="CR375" i="9"/>
  <c r="CR266" i="9"/>
  <c r="CR289" i="9"/>
  <c r="CR317" i="9"/>
  <c r="CR251" i="9"/>
  <c r="CR358" i="9"/>
  <c r="CR555" i="9"/>
  <c r="CR634" i="9"/>
  <c r="CR617" i="9"/>
  <c r="CR560" i="9"/>
  <c r="CR302" i="9"/>
  <c r="CR177" i="9"/>
  <c r="CR564" i="9"/>
  <c r="CR208" i="9"/>
  <c r="CR567" i="9"/>
  <c r="CR427" i="9"/>
  <c r="CR123" i="9"/>
  <c r="CR632" i="9"/>
  <c r="CR380" i="9"/>
  <c r="CR635" i="9"/>
  <c r="CR275" i="9"/>
  <c r="CP381" i="9"/>
  <c r="CP43" i="9"/>
  <c r="CP45" i="9"/>
  <c r="CP234" i="9"/>
  <c r="CP57" i="9"/>
  <c r="CP384" i="9"/>
  <c r="CP65" i="9"/>
  <c r="CP75" i="9"/>
  <c r="CP81" i="9"/>
  <c r="CP88" i="9"/>
  <c r="CP387" i="9"/>
  <c r="CP316" i="9"/>
  <c r="CP544" i="9"/>
  <c r="CP152" i="9"/>
  <c r="CP180" i="9"/>
  <c r="CP176" i="9"/>
  <c r="CP423" i="9"/>
  <c r="CP594" i="9"/>
  <c r="CP342" i="9"/>
  <c r="CP35" i="9"/>
  <c r="CP46" i="9"/>
  <c r="CP598" i="9"/>
  <c r="CP607" i="9"/>
  <c r="CP83" i="9"/>
  <c r="CP592" i="9"/>
  <c r="CP228" i="9"/>
  <c r="CP285" i="9"/>
  <c r="CP563" i="9"/>
  <c r="CP572" i="9"/>
  <c r="CP345" i="9"/>
  <c r="CR397" i="9"/>
  <c r="CR277" i="9"/>
  <c r="CR279" i="9"/>
  <c r="CR404" i="9"/>
  <c r="CR234" i="9"/>
  <c r="CR60" i="9"/>
  <c r="CR64" i="9"/>
  <c r="CR493" i="9"/>
  <c r="CR372" i="9"/>
  <c r="CR535" i="9"/>
  <c r="CR488" i="9"/>
  <c r="CR394" i="9"/>
  <c r="CR94" i="9"/>
  <c r="CR355" i="9"/>
  <c r="CR148" i="9"/>
  <c r="CR418" i="9"/>
  <c r="CR549" i="9"/>
  <c r="CR102" i="9"/>
  <c r="CR28" i="9"/>
  <c r="CR556" i="9"/>
  <c r="CR458" i="9"/>
  <c r="CR562" i="9"/>
  <c r="CR312" i="9"/>
  <c r="CR425" i="9"/>
  <c r="CR342" i="9"/>
  <c r="CR245" i="9"/>
  <c r="CR345" i="9"/>
  <c r="CR219" i="9"/>
  <c r="CR483" i="9"/>
  <c r="CR429" i="9"/>
  <c r="CP405" i="9"/>
  <c r="CP281" i="9"/>
  <c r="CP293" i="9"/>
  <c r="CP162" i="9"/>
  <c r="CP244" i="9"/>
  <c r="CR512" i="9"/>
  <c r="CR139" i="9"/>
  <c r="CR237" i="9"/>
  <c r="CR539" i="9"/>
  <c r="CR500" i="9"/>
  <c r="CR270" i="9"/>
  <c r="CR274" i="9"/>
  <c r="CP151" i="9"/>
  <c r="CP565" i="9"/>
  <c r="CR249" i="9"/>
  <c r="CR138" i="9"/>
  <c r="CR293" i="9"/>
  <c r="CR163" i="9"/>
  <c r="CR265" i="9"/>
  <c r="CR552" i="9"/>
  <c r="CR561" i="9"/>
  <c r="CR595" i="9"/>
  <c r="CR156" i="9"/>
  <c r="CR118" i="9"/>
  <c r="CR573" i="9"/>
  <c r="CP484" i="9"/>
  <c r="CP137" i="9"/>
  <c r="CP147" i="9"/>
  <c r="CP191" i="9"/>
  <c r="CR278" i="9"/>
  <c r="CR371" i="9"/>
  <c r="CR631" i="9"/>
  <c r="CR589" i="9"/>
  <c r="CR295" i="9"/>
  <c r="CR377" i="9"/>
  <c r="CR625" i="9"/>
  <c r="CR29" i="9"/>
  <c r="CR445" i="9"/>
  <c r="CP36" i="9"/>
  <c r="CP403" i="9"/>
  <c r="CP58" i="9"/>
  <c r="CP531" i="9"/>
  <c r="CP187" i="9"/>
  <c r="CP354" i="9"/>
  <c r="CP613" i="9"/>
  <c r="CP154" i="9"/>
  <c r="CP444" i="9"/>
  <c r="CP581" i="9"/>
  <c r="CR505" i="9"/>
  <c r="CR398" i="9"/>
  <c r="CR280" i="9"/>
  <c r="CR132" i="9"/>
  <c r="CR605" i="9"/>
  <c r="CR586" i="9"/>
  <c r="CR385" i="9"/>
  <c r="CR235" i="9"/>
  <c r="CR351" i="9"/>
  <c r="CR332" i="9"/>
  <c r="CR352" i="9"/>
  <c r="CR333" i="9"/>
  <c r="CR225" i="9"/>
  <c r="CR173" i="9"/>
  <c r="CR542" i="9"/>
  <c r="CR545" i="9"/>
  <c r="CR579" i="9"/>
  <c r="CR441" i="9"/>
  <c r="CR155" i="9"/>
  <c r="CR301" i="9"/>
  <c r="CR443" i="9"/>
  <c r="CR157" i="9"/>
  <c r="CR343" i="9"/>
  <c r="CR273" i="9"/>
  <c r="CP432" i="9"/>
  <c r="CR583" i="9"/>
  <c r="CR408" i="9"/>
  <c r="CR292" i="9"/>
  <c r="CR463" i="9"/>
  <c r="CR319" i="9"/>
  <c r="CR546" i="9"/>
  <c r="CR559" i="9"/>
  <c r="CR444" i="9"/>
  <c r="CR32" i="9"/>
  <c r="CP39" i="9"/>
  <c r="CP383" i="9"/>
  <c r="CP69" i="9"/>
  <c r="CP335" i="9"/>
  <c r="CP300" i="9"/>
  <c r="CP159" i="9"/>
  <c r="CR510" i="9"/>
  <c r="CR524" i="9"/>
  <c r="CR187" i="9"/>
  <c r="CR320" i="9"/>
  <c r="CR99" i="9"/>
  <c r="CR626" i="9"/>
  <c r="CR361" i="9"/>
  <c r="CR424" i="9"/>
  <c r="CR581" i="9"/>
  <c r="CR298" i="9"/>
  <c r="CR105" i="9"/>
  <c r="CR107" i="9"/>
  <c r="CR110" i="9"/>
  <c r="CR570" i="9"/>
  <c r="CR629" i="9"/>
  <c r="CP89" i="9"/>
  <c r="CP425" i="9"/>
  <c r="CR346" i="9"/>
  <c r="CR514" i="9"/>
  <c r="CR330" i="9"/>
  <c r="CR195" i="9"/>
  <c r="CR152" i="9"/>
  <c r="CR379" i="9"/>
  <c r="CR340" i="9"/>
  <c r="CR202" i="9"/>
  <c r="CP507" i="9"/>
  <c r="CP132" i="9"/>
  <c r="CP308" i="9"/>
  <c r="CP67" i="9"/>
  <c r="CP436" i="9"/>
  <c r="CP172" i="9"/>
  <c r="CP338" i="9"/>
  <c r="CP299" i="9"/>
  <c r="CP114" i="9"/>
  <c r="CP202" i="9"/>
  <c r="CR33" i="9"/>
  <c r="CR603" i="9"/>
  <c r="CR323" i="9"/>
  <c r="CR193" i="9"/>
  <c r="CR133" i="9"/>
  <c r="CR257" i="9"/>
  <c r="CR258" i="9"/>
  <c r="CR25" i="9"/>
  <c r="CR77" i="9"/>
  <c r="CR26" i="9"/>
  <c r="CR464" i="9"/>
  <c r="CR90" i="9"/>
  <c r="CR387" i="9"/>
  <c r="CR144" i="9"/>
  <c r="CR356" i="9"/>
  <c r="CR321" i="9"/>
  <c r="CR614" i="9"/>
  <c r="CR103" i="9"/>
  <c r="CR359" i="9"/>
  <c r="CR557" i="9"/>
  <c r="CR360" i="9"/>
  <c r="CR112" i="9"/>
  <c r="CR502" i="9"/>
  <c r="CR619" i="9"/>
  <c r="CR596" i="9"/>
  <c r="CR124" i="9"/>
  <c r="CR128" i="9"/>
  <c r="CP508" i="9"/>
  <c r="CP95" i="9"/>
  <c r="CP284" i="9"/>
  <c r="CP366" i="9"/>
  <c r="CR459" i="9"/>
  <c r="CR48" i="9"/>
  <c r="CR476" i="9"/>
  <c r="CR353" i="9"/>
  <c r="CR164" i="9"/>
  <c r="CR357" i="9"/>
  <c r="CR378" i="9"/>
  <c r="CR480" i="9"/>
  <c r="CR158" i="9"/>
  <c r="CR426" i="9"/>
  <c r="CR572" i="9"/>
  <c r="CP167" i="9"/>
  <c r="CP455" i="9"/>
  <c r="CR34" i="9"/>
  <c r="CR461" i="9"/>
  <c r="CR520" i="9"/>
  <c r="CR435" i="9"/>
  <c r="CR201" i="9"/>
  <c r="CR451" i="9"/>
  <c r="CR269" i="9"/>
  <c r="CR362" i="9"/>
  <c r="CR126" i="9"/>
  <c r="CR628" i="9"/>
  <c r="CR243" i="9"/>
  <c r="CR574" i="9"/>
  <c r="CP406" i="9"/>
  <c r="CP77" i="9"/>
  <c r="CP182" i="9"/>
  <c r="CP272" i="9"/>
  <c r="CR56" i="9"/>
  <c r="CR528" i="9"/>
  <c r="CR215" i="9"/>
  <c r="CR27" i="9"/>
  <c r="CR267" i="9"/>
  <c r="CR181" i="9"/>
  <c r="CR571" i="9"/>
  <c r="CR430" i="9"/>
  <c r="CP40" i="9"/>
  <c r="CP621" i="9"/>
  <c r="CP606" i="9"/>
  <c r="CP140" i="9"/>
  <c r="CP352" i="9"/>
  <c r="CP416" i="9"/>
  <c r="CP469" i="9"/>
  <c r="CP471" i="9"/>
  <c r="CP117" i="9"/>
  <c r="CP245" i="9"/>
  <c r="CR160" i="9"/>
  <c r="CR399" i="9"/>
  <c r="CR198" i="9"/>
  <c r="CR306" i="9"/>
  <c r="CR55" i="9"/>
  <c r="CR409" i="9"/>
  <c r="CR214" i="9"/>
  <c r="CR261" i="9"/>
  <c r="CR413" i="9"/>
  <c r="CR194" i="9"/>
  <c r="CR536" i="9"/>
  <c r="CR91" i="9"/>
  <c r="CR172" i="9"/>
  <c r="CR316" i="9"/>
  <c r="CR149" i="9"/>
  <c r="CR338" i="9"/>
  <c r="CR297" i="9"/>
  <c r="CR553" i="9"/>
  <c r="CR299" i="9"/>
  <c r="CR472" i="9"/>
  <c r="CR109" i="9"/>
  <c r="CR311" i="9"/>
  <c r="CR30" i="9"/>
  <c r="CR569" i="9"/>
  <c r="CR503" i="9"/>
  <c r="CR127" i="9"/>
  <c r="CR575" i="9"/>
  <c r="CP44" i="9"/>
  <c r="CP497" i="9"/>
  <c r="CP350" i="9"/>
  <c r="CP169" i="9"/>
  <c r="CP374" i="9"/>
  <c r="CP540" i="9"/>
  <c r="CP593" i="9"/>
  <c r="CP108" i="9"/>
  <c r="CP271" i="9"/>
  <c r="CP447" i="9"/>
  <c r="CR130" i="9"/>
  <c r="CR41" i="9"/>
  <c r="CR576" i="9"/>
  <c r="CR51" i="9"/>
  <c r="CR23" i="9"/>
  <c r="CR61" i="9"/>
  <c r="CR623" i="9"/>
  <c r="CR577" i="9"/>
  <c r="CR170" i="9"/>
  <c r="CR84" i="9"/>
  <c r="CR365" i="9"/>
  <c r="CR188" i="9"/>
  <c r="CR538" i="9"/>
  <c r="CR227" i="9"/>
  <c r="CR612" i="9"/>
  <c r="CR268" i="9"/>
  <c r="CR633" i="9"/>
  <c r="CR597" i="9"/>
  <c r="CP369" i="9"/>
  <c r="CP382" i="9"/>
  <c r="CP258" i="9"/>
  <c r="CP79" i="9"/>
  <c r="CP90" i="9"/>
  <c r="CP240" i="9"/>
  <c r="CP101" i="9"/>
  <c r="CP458" i="9"/>
  <c r="CP121" i="9"/>
  <c r="CP252" i="9"/>
  <c r="CR221" i="9"/>
  <c r="CR305" i="9"/>
  <c r="CR449" i="9"/>
  <c r="CR452" i="9"/>
  <c r="CR199" i="9"/>
  <c r="CR329" i="9"/>
  <c r="CR587" i="9"/>
  <c r="CR73" i="9"/>
  <c r="CR80" i="9"/>
  <c r="CR250" i="9"/>
  <c r="CR142" i="9"/>
  <c r="CR93" i="9"/>
  <c r="CR283" i="9"/>
  <c r="CR288" i="9"/>
  <c r="CR543" i="9"/>
  <c r="CR547" i="9"/>
  <c r="CR190" i="9"/>
  <c r="CR389" i="9"/>
  <c r="CR456" i="9"/>
  <c r="CR442" i="9"/>
  <c r="CR111" i="9"/>
  <c r="CR303" i="9"/>
  <c r="CR433" i="9"/>
  <c r="CR391" i="9"/>
  <c r="CR286" i="9"/>
  <c r="CR220" i="9"/>
  <c r="CR448" i="9"/>
  <c r="CP512" i="9"/>
  <c r="CP53" i="9"/>
  <c r="CP410" i="9"/>
  <c r="CP453" i="9"/>
  <c r="CP238" i="9"/>
  <c r="CP417" i="9"/>
  <c r="CP153" i="9"/>
  <c r="CP270" i="9"/>
  <c r="CP426" i="9"/>
  <c r="CP635" i="9"/>
  <c r="CR38" i="9"/>
  <c r="CR44" i="9"/>
  <c r="CR233" i="9"/>
  <c r="CR475" i="9"/>
  <c r="CR24" i="9"/>
  <c r="CR527" i="9"/>
  <c r="CR530" i="9"/>
  <c r="CR533" i="9"/>
  <c r="CR591" i="9"/>
  <c r="CR478" i="9"/>
  <c r="CR374" i="9"/>
  <c r="CR239" i="9"/>
  <c r="CR336" i="9"/>
  <c r="CP401" i="9"/>
  <c r="CP396" i="9"/>
  <c r="CR585" i="9"/>
  <c r="CR482" i="9"/>
  <c r="CR98" i="9"/>
  <c r="CR106" i="9"/>
  <c r="CR390" i="9"/>
  <c r="CR364" i="9"/>
  <c r="CR593" i="9"/>
  <c r="CR217" i="9"/>
  <c r="CR78" i="9"/>
  <c r="CR252" i="9"/>
  <c r="CR203" i="9"/>
  <c r="CP166" i="9"/>
  <c r="CP551" i="9"/>
  <c r="CR496" i="9"/>
  <c r="CR436" i="9"/>
  <c r="CR544" i="9"/>
  <c r="CR165" i="9"/>
  <c r="CR271" i="9"/>
  <c r="CR366" i="9"/>
  <c r="CR550" i="9"/>
  <c r="CR411" i="9"/>
  <c r="CR153" i="9"/>
  <c r="CR247" i="9"/>
  <c r="CR114" i="9"/>
  <c r="CR367" i="9"/>
  <c r="CR72" i="9"/>
  <c r="CR115" i="9"/>
  <c r="CR611" i="9"/>
  <c r="CR184" i="9"/>
  <c r="CP518" i="9"/>
  <c r="CP627" i="9"/>
  <c r="CR523" i="9"/>
  <c r="CR393" i="9"/>
  <c r="CR388" i="9"/>
  <c r="CR176" i="9"/>
  <c r="CR122" i="9"/>
  <c r="CP420" i="9"/>
  <c r="CR59" i="9"/>
  <c r="CR88" i="9"/>
  <c r="CR341" i="9"/>
  <c r="CP413" i="9"/>
  <c r="CR601" i="9"/>
  <c r="CP344" i="9"/>
  <c r="CR159" i="9"/>
  <c r="CR262" i="9"/>
  <c r="CR222" i="9"/>
  <c r="CR117" i="9"/>
  <c r="CP599" i="9"/>
  <c r="CR494" i="9"/>
  <c r="CP407" i="9"/>
  <c r="CR395" i="9"/>
  <c r="CR229" i="9"/>
  <c r="CP246" i="9"/>
  <c r="CR422" i="9"/>
  <c r="CR600" i="9"/>
  <c r="CR381" i="9"/>
  <c r="CP224" i="9"/>
  <c r="CR615" i="9"/>
  <c r="CR616" i="9"/>
  <c r="CR515" i="9"/>
  <c r="CP526" i="9"/>
  <c r="CP568" i="9"/>
  <c r="CR282" i="9"/>
  <c r="CR489" i="9"/>
  <c r="CR548" i="9"/>
  <c r="CR420" i="9"/>
  <c r="CR474" i="9"/>
  <c r="CP385" i="9"/>
  <c r="CP120" i="9"/>
  <c r="CR63" i="9"/>
  <c r="CR537" i="9"/>
  <c r="CR490" i="9"/>
  <c r="CR529" i="9"/>
  <c r="CP170" i="9"/>
  <c r="CR95" i="9"/>
  <c r="CR178" i="9"/>
  <c r="CR540" i="9"/>
  <c r="CP333" i="9"/>
  <c r="CR147" i="9"/>
  <c r="CR447" i="9"/>
  <c r="CR481" i="9"/>
  <c r="CP541" i="9"/>
  <c r="CR232" i="9"/>
  <c r="CR501" i="9"/>
  <c r="CR594" i="9"/>
  <c r="EH33" i="9"/>
  <c r="EH91" i="9"/>
  <c r="EH95" i="9"/>
  <c r="EH60" i="9"/>
  <c r="EH71" i="9"/>
  <c r="EH56" i="9"/>
  <c r="EH86" i="9"/>
  <c r="EH67" i="9"/>
  <c r="EJ90" i="9"/>
  <c r="EJ38" i="9"/>
  <c r="EJ59" i="9"/>
  <c r="EJ98" i="9"/>
  <c r="EJ72" i="9"/>
  <c r="EJ57" i="9"/>
  <c r="EJ87" i="9"/>
  <c r="EJ75" i="9"/>
  <c r="EH73" i="9"/>
  <c r="EJ94" i="9"/>
  <c r="EH108" i="9"/>
  <c r="EH64" i="9"/>
  <c r="EH105" i="9"/>
  <c r="EJ45" i="9"/>
  <c r="EH42" i="9"/>
  <c r="EJ70" i="9"/>
  <c r="EH25" i="9"/>
  <c r="EH51" i="9"/>
  <c r="EJ103" i="9"/>
  <c r="EH85" i="9"/>
  <c r="EH89" i="9"/>
  <c r="EJ46" i="9"/>
  <c r="EH28" i="9"/>
  <c r="EH61" i="9"/>
  <c r="EJ60" i="9"/>
  <c r="EJ56" i="9"/>
  <c r="EH69" i="9"/>
  <c r="EH52" i="9"/>
  <c r="EJ83" i="9"/>
  <c r="EH62" i="9"/>
  <c r="EH37" i="9"/>
  <c r="EH79" i="9"/>
  <c r="EH29" i="9"/>
  <c r="EH83" i="9"/>
  <c r="EH84" i="9"/>
  <c r="EH110" i="9"/>
  <c r="EH106" i="9"/>
  <c r="EJ109" i="9"/>
  <c r="EJ27" i="9"/>
  <c r="EJ22" i="9"/>
  <c r="EJ43" i="9"/>
  <c r="EJ47" i="9"/>
  <c r="EJ74" i="9"/>
  <c r="EJ104" i="9"/>
  <c r="EJ24" i="9"/>
  <c r="EJ31" i="9"/>
  <c r="EH30" i="9"/>
  <c r="EJ42" i="9"/>
  <c r="EH63" i="9"/>
  <c r="EH65" i="9"/>
  <c r="EJ25" i="9"/>
  <c r="EJ51" i="9"/>
  <c r="EH48" i="9"/>
  <c r="EJ50" i="9"/>
  <c r="EH45" i="9"/>
  <c r="EJ28" i="9"/>
  <c r="EH68" i="9"/>
  <c r="EH97" i="9"/>
  <c r="EJ69" i="9"/>
  <c r="EJ52" i="9"/>
  <c r="EH103" i="9"/>
  <c r="EJ71" i="9"/>
  <c r="EH41" i="9"/>
  <c r="EJ79" i="9"/>
  <c r="EJ84" i="9"/>
  <c r="EH90" i="9"/>
  <c r="EH38" i="9"/>
  <c r="EH59" i="9"/>
  <c r="EH98" i="9"/>
  <c r="EH72" i="9"/>
  <c r="EH57" i="9"/>
  <c r="EH87" i="9"/>
  <c r="EH75" i="9"/>
  <c r="EJ77" i="9"/>
  <c r="EJ92" i="9"/>
  <c r="EJ96" i="9"/>
  <c r="EJ44" i="9"/>
  <c r="EJ100" i="9"/>
  <c r="EJ102" i="9"/>
  <c r="EJ107" i="9"/>
  <c r="EJ82" i="9"/>
  <c r="EJ32" i="9"/>
  <c r="EH76" i="9"/>
  <c r="EJ80" i="9"/>
  <c r="EJ88" i="9"/>
  <c r="EH94" i="9"/>
  <c r="EJ68" i="9"/>
  <c r="EJ85" i="9"/>
  <c r="EH39" i="9"/>
  <c r="EJ78" i="9"/>
  <c r="EJ61" i="9"/>
  <c r="EH40" i="9"/>
  <c r="EJ36" i="9"/>
  <c r="EH26" i="9"/>
  <c r="EH99" i="9"/>
  <c r="EJ91" i="9"/>
  <c r="EJ86" i="9"/>
  <c r="EH55" i="9"/>
  <c r="EH54" i="9"/>
  <c r="EH109" i="9"/>
  <c r="EH27" i="9"/>
  <c r="EH22" i="9"/>
  <c r="EH43" i="9"/>
  <c r="EH47" i="9"/>
  <c r="EH74" i="9"/>
  <c r="EH104" i="9"/>
  <c r="EH24" i="9"/>
  <c r="EJ58" i="9"/>
  <c r="EJ93" i="9"/>
  <c r="EJ23" i="9"/>
  <c r="EJ81" i="9"/>
  <c r="EJ73" i="9"/>
  <c r="EJ30" i="9"/>
  <c r="EJ53" i="9"/>
  <c r="EH81" i="9"/>
  <c r="EH53" i="9"/>
  <c r="EJ48" i="9"/>
  <c r="EJ39" i="9"/>
  <c r="EH35" i="9"/>
  <c r="EJ40" i="9"/>
  <c r="EJ89" i="9"/>
  <c r="EH49" i="9"/>
  <c r="EJ99" i="9"/>
  <c r="EH50" i="9"/>
  <c r="EJ55" i="9"/>
  <c r="EH78" i="9"/>
  <c r="EH101" i="9"/>
  <c r="EJ95" i="9"/>
  <c r="EH36" i="9"/>
  <c r="EJ62" i="9"/>
  <c r="EJ29" i="9"/>
  <c r="EJ110" i="9"/>
  <c r="EJ106" i="9"/>
  <c r="EH77" i="9"/>
  <c r="EH92" i="9"/>
  <c r="EH96" i="9"/>
  <c r="EH44" i="9"/>
  <c r="EH100" i="9"/>
  <c r="EH102" i="9"/>
  <c r="EH31" i="9"/>
  <c r="EH107" i="9"/>
  <c r="EJ34" i="9"/>
  <c r="EJ108" i="9"/>
  <c r="EJ63" i="9"/>
  <c r="EJ64" i="9"/>
  <c r="EJ65" i="9"/>
  <c r="EJ76" i="9"/>
  <c r="EJ105" i="9"/>
  <c r="EH58" i="9"/>
  <c r="EH93" i="9"/>
  <c r="EH23" i="9"/>
  <c r="EJ35" i="9"/>
  <c r="EJ66" i="9"/>
  <c r="EH34" i="9"/>
  <c r="EJ49" i="9"/>
  <c r="EH82" i="9"/>
  <c r="EH66" i="9"/>
  <c r="EH32" i="9"/>
  <c r="EJ97" i="9"/>
  <c r="EH80" i="9"/>
  <c r="EH88" i="9"/>
  <c r="EJ26" i="9"/>
  <c r="EJ101" i="9"/>
  <c r="EH70" i="9"/>
  <c r="EJ41" i="9"/>
  <c r="EJ54" i="9"/>
  <c r="EJ33" i="9"/>
  <c r="EJ67" i="9"/>
  <c r="EH46" i="9"/>
  <c r="EJ37" i="9"/>
  <c r="DL256" i="9"/>
  <c r="DL104" i="9"/>
  <c r="DL187" i="9"/>
  <c r="DL251" i="9"/>
  <c r="DL264" i="9"/>
  <c r="DL191" i="9"/>
  <c r="DL156" i="9"/>
  <c r="DL269" i="9"/>
  <c r="DL199" i="9"/>
  <c r="DL273" i="9"/>
  <c r="DL52" i="9"/>
  <c r="DL144" i="9"/>
  <c r="DL204" i="9"/>
  <c r="DL283" i="9"/>
  <c r="DL131" i="9"/>
  <c r="DL237" i="9"/>
  <c r="DL211" i="9"/>
  <c r="DL290" i="9"/>
  <c r="DL294" i="9"/>
  <c r="DL295" i="9"/>
  <c r="DL296" i="9"/>
  <c r="DL301" i="9"/>
  <c r="DL302" i="9"/>
  <c r="DL150" i="9"/>
  <c r="DL315" i="9"/>
  <c r="DL222" i="9"/>
  <c r="DN257" i="9"/>
  <c r="DN318" i="9"/>
  <c r="DN188" i="9"/>
  <c r="DN189" i="9"/>
  <c r="DN190" i="9"/>
  <c r="DN32" i="9"/>
  <c r="DN57" i="9"/>
  <c r="DN105" i="9"/>
  <c r="DN272" i="9"/>
  <c r="DN314" i="9"/>
  <c r="DN24" i="9"/>
  <c r="DN66" i="9"/>
  <c r="DN281" i="9"/>
  <c r="DN207" i="9"/>
  <c r="DN163" i="9"/>
  <c r="DN322" i="9"/>
  <c r="DN239" i="9"/>
  <c r="DN55" i="9"/>
  <c r="DN69" i="9"/>
  <c r="DN43" i="9"/>
  <c r="DN297" i="9"/>
  <c r="DN242" i="9"/>
  <c r="DN149" i="9"/>
  <c r="DN183" i="9"/>
  <c r="DN310" i="9"/>
  <c r="DN71" i="9"/>
  <c r="DN210" i="9"/>
  <c r="DN331" i="9"/>
  <c r="DN298" i="9"/>
  <c r="DN182" i="9"/>
  <c r="DN311" i="9"/>
  <c r="DN58" i="9"/>
  <c r="DN159" i="9"/>
  <c r="DL209" i="9"/>
  <c r="DL216" i="9"/>
  <c r="DN28" i="9"/>
  <c r="DN34" i="9"/>
  <c r="DN23" i="9"/>
  <c r="DN249" i="9"/>
  <c r="DN94" i="9"/>
  <c r="DN111" i="9"/>
  <c r="DN244" i="9"/>
  <c r="DL68" i="9"/>
  <c r="DL136" i="9"/>
  <c r="DL27" i="9"/>
  <c r="DL250" i="9"/>
  <c r="DL139" i="9"/>
  <c r="DL162" i="9"/>
  <c r="DL140" i="9"/>
  <c r="DL127" i="9"/>
  <c r="DL319" i="9"/>
  <c r="DL114" i="9"/>
  <c r="DL200" i="9"/>
  <c r="DL202" i="9"/>
  <c r="DL108" i="9"/>
  <c r="DL321" i="9"/>
  <c r="DL80" i="9"/>
  <c r="DL37" i="9"/>
  <c r="DL132" i="9"/>
  <c r="DL180" i="9"/>
  <c r="DL115" i="9"/>
  <c r="DL213" i="9"/>
  <c r="DL42" i="9"/>
  <c r="DL135" i="9"/>
  <c r="DL83" i="9"/>
  <c r="DL215" i="9"/>
  <c r="DL243" i="9"/>
  <c r="DL305" i="9"/>
  <c r="DL45" i="9"/>
  <c r="DL327" i="9"/>
  <c r="DN185" i="9"/>
  <c r="DN261" i="9"/>
  <c r="DN59" i="9"/>
  <c r="DN224" i="9"/>
  <c r="DN169" i="9"/>
  <c r="DN170" i="9"/>
  <c r="DN195" i="9"/>
  <c r="DN270" i="9"/>
  <c r="DN157" i="9"/>
  <c r="DN175" i="9"/>
  <c r="DN275" i="9"/>
  <c r="DN158" i="9"/>
  <c r="DN282" i="9"/>
  <c r="DN235" i="9"/>
  <c r="DN209" i="9"/>
  <c r="DN212" i="9"/>
  <c r="DN79" i="9"/>
  <c r="DN112" i="9"/>
  <c r="DN216" i="9"/>
  <c r="DN217" i="9"/>
  <c r="DN312" i="9"/>
  <c r="DL157" i="9"/>
  <c r="DL212" i="9"/>
  <c r="DL182" i="9"/>
  <c r="DN262" i="9"/>
  <c r="DN51" i="9"/>
  <c r="DN154" i="9"/>
  <c r="DN324" i="9"/>
  <c r="DL286" i="9"/>
  <c r="DL165" i="9"/>
  <c r="DL219" i="9"/>
  <c r="DL317" i="9"/>
  <c r="DL125" i="9"/>
  <c r="DL168" i="9"/>
  <c r="DL223" i="9"/>
  <c r="DL30" i="9"/>
  <c r="DL192" i="9"/>
  <c r="DL194" i="9"/>
  <c r="DL173" i="9"/>
  <c r="DL271" i="9"/>
  <c r="DL228" i="9"/>
  <c r="DL274" i="9"/>
  <c r="DL231" i="9"/>
  <c r="DL205" i="9"/>
  <c r="DL121" i="9"/>
  <c r="DL54" i="9"/>
  <c r="DL238" i="9"/>
  <c r="DL101" i="9"/>
  <c r="DL122" i="9"/>
  <c r="DL86" i="9"/>
  <c r="DL160" i="9"/>
  <c r="DL44" i="9"/>
  <c r="DL118" i="9"/>
  <c r="DL255" i="9"/>
  <c r="DL325" i="9"/>
  <c r="DL248" i="9"/>
  <c r="DL151" i="9"/>
  <c r="DN258" i="9"/>
  <c r="DN126" i="9"/>
  <c r="DN155" i="9"/>
  <c r="DN61" i="9"/>
  <c r="DN31" i="9"/>
  <c r="DN267" i="9"/>
  <c r="DN90" i="9"/>
  <c r="DN174" i="9"/>
  <c r="DN64" i="9"/>
  <c r="DN50" i="9"/>
  <c r="DN65" i="9"/>
  <c r="DN232" i="9"/>
  <c r="DN76" i="9"/>
  <c r="DN130" i="9"/>
  <c r="DN92" i="9"/>
  <c r="DN323" i="9"/>
  <c r="DN288" i="9"/>
  <c r="DN116" i="9"/>
  <c r="DN25" i="9"/>
  <c r="DN147" i="9"/>
  <c r="DN241" i="9"/>
  <c r="DN119" i="9"/>
  <c r="DN84" i="9"/>
  <c r="DN218" i="9"/>
  <c r="DL275" i="9"/>
  <c r="DL282" i="9"/>
  <c r="DL235" i="9"/>
  <c r="DL331" i="9"/>
  <c r="DL311" i="9"/>
  <c r="DN97" i="9"/>
  <c r="DN134" i="9"/>
  <c r="DL93" i="9"/>
  <c r="DL87" i="9"/>
  <c r="DL184" i="9"/>
  <c r="DL186" i="9"/>
  <c r="DL29" i="9"/>
  <c r="DL113" i="9"/>
  <c r="DL225" i="9"/>
  <c r="DL227" i="9"/>
  <c r="DL62" i="9"/>
  <c r="DL143" i="9"/>
  <c r="DL72" i="9"/>
  <c r="DL99" i="9"/>
  <c r="DL229" i="9"/>
  <c r="DL277" i="9"/>
  <c r="DL280" i="9"/>
  <c r="DL78" i="9"/>
  <c r="DL236" i="9"/>
  <c r="DL109" i="9"/>
  <c r="DL287" i="9"/>
  <c r="DL291" i="9"/>
  <c r="DL123" i="9"/>
  <c r="DL46" i="9"/>
  <c r="DL74" i="9"/>
  <c r="DL102" i="9"/>
  <c r="DL137" i="9"/>
  <c r="DL306" i="9"/>
  <c r="DL309" i="9"/>
  <c r="DL110" i="9"/>
  <c r="DN161" i="9"/>
  <c r="DN167" i="9"/>
  <c r="DN329" i="9"/>
  <c r="DN153" i="9"/>
  <c r="DN49" i="9"/>
  <c r="DN33" i="9"/>
  <c r="DN196" i="9"/>
  <c r="DN197" i="9"/>
  <c r="DN201" i="9"/>
  <c r="DN176" i="9"/>
  <c r="DN230" i="9"/>
  <c r="DN278" i="9"/>
  <c r="DN77" i="9"/>
  <c r="DN68" i="9"/>
  <c r="DN93" i="9"/>
  <c r="DN286" i="9"/>
  <c r="DN40" i="9"/>
  <c r="DN292" i="9"/>
  <c r="DN165" i="9"/>
  <c r="DN87" i="9"/>
  <c r="DN299" i="9"/>
  <c r="DN136" i="9"/>
  <c r="DN303" i="9"/>
  <c r="DN219" i="9"/>
  <c r="DN95" i="9"/>
  <c r="DN313" i="9"/>
  <c r="DL59" i="9"/>
  <c r="DL170" i="9"/>
  <c r="DL270" i="9"/>
  <c r="DL175" i="9"/>
  <c r="DL210" i="9"/>
  <c r="DL112" i="9"/>
  <c r="DL58" i="9"/>
  <c r="DN22" i="9"/>
  <c r="DN91" i="9"/>
  <c r="DN67" i="9"/>
  <c r="DN240" i="9"/>
  <c r="DN300" i="9"/>
  <c r="DN307" i="9"/>
  <c r="DN138" i="9"/>
  <c r="DL313" i="9"/>
  <c r="DL257" i="9"/>
  <c r="DL318" i="9"/>
  <c r="DL188" i="9"/>
  <c r="DL189" i="9"/>
  <c r="DL190" i="9"/>
  <c r="DL32" i="9"/>
  <c r="DL57" i="9"/>
  <c r="DL105" i="9"/>
  <c r="DL272" i="9"/>
  <c r="DL314" i="9"/>
  <c r="DL24" i="9"/>
  <c r="DL66" i="9"/>
  <c r="DL281" i="9"/>
  <c r="DL207" i="9"/>
  <c r="DL163" i="9"/>
  <c r="DL322" i="9"/>
  <c r="DL239" i="9"/>
  <c r="DL55" i="9"/>
  <c r="DL69" i="9"/>
  <c r="DL43" i="9"/>
  <c r="DL297" i="9"/>
  <c r="DL242" i="9"/>
  <c r="DL149" i="9"/>
  <c r="DL183" i="9"/>
  <c r="DL310" i="9"/>
  <c r="DL71" i="9"/>
  <c r="DN328" i="9"/>
  <c r="DN48" i="9"/>
  <c r="DN60" i="9"/>
  <c r="DN96" i="9"/>
  <c r="DN265" i="9"/>
  <c r="DN141" i="9"/>
  <c r="DN142" i="9"/>
  <c r="DN198" i="9"/>
  <c r="DN107" i="9"/>
  <c r="DN203" i="9"/>
  <c r="DN276" i="9"/>
  <c r="DN53" i="9"/>
  <c r="DN178" i="9"/>
  <c r="DN179" i="9"/>
  <c r="DN164" i="9"/>
  <c r="DN39" i="9"/>
  <c r="DN145" i="9"/>
  <c r="DN146" i="9"/>
  <c r="DN316" i="9"/>
  <c r="DN82" i="9"/>
  <c r="DN166" i="9"/>
  <c r="DN103" i="9"/>
  <c r="DN70" i="9"/>
  <c r="DN246" i="9"/>
  <c r="DN220" i="9"/>
  <c r="DN152" i="9"/>
  <c r="DL185" i="9"/>
  <c r="DL261" i="9"/>
  <c r="DL224" i="9"/>
  <c r="DL169" i="9"/>
  <c r="DL195" i="9"/>
  <c r="DL158" i="9"/>
  <c r="DL79" i="9"/>
  <c r="DL298" i="9"/>
  <c r="DL217" i="9"/>
  <c r="DN259" i="9"/>
  <c r="DN106" i="9"/>
  <c r="DN279" i="9"/>
  <c r="DN100" i="9"/>
  <c r="DN47" i="9"/>
  <c r="DN326" i="9"/>
  <c r="DL292" i="9"/>
  <c r="DL95" i="9"/>
  <c r="DL258" i="9"/>
  <c r="DL126" i="9"/>
  <c r="DL155" i="9"/>
  <c r="DL61" i="9"/>
  <c r="DL31" i="9"/>
  <c r="DL267" i="9"/>
  <c r="DL90" i="9"/>
  <c r="DL174" i="9"/>
  <c r="DL64" i="9"/>
  <c r="DL50" i="9"/>
  <c r="DL65" i="9"/>
  <c r="DL232" i="9"/>
  <c r="DL76" i="9"/>
  <c r="DL130" i="9"/>
  <c r="DL92" i="9"/>
  <c r="DL323" i="9"/>
  <c r="DL288" i="9"/>
  <c r="DL116" i="9"/>
  <c r="DL25" i="9"/>
  <c r="DL147" i="9"/>
  <c r="DL241" i="9"/>
  <c r="DL119" i="9"/>
  <c r="DL84" i="9"/>
  <c r="DL218" i="9"/>
  <c r="DL312" i="9"/>
  <c r="DL159" i="9"/>
  <c r="DN120" i="9"/>
  <c r="DN88" i="9"/>
  <c r="DN263" i="9"/>
  <c r="DN98" i="9"/>
  <c r="DN266" i="9"/>
  <c r="DN193" i="9"/>
  <c r="DN268" i="9"/>
  <c r="DN320" i="9"/>
  <c r="DN128" i="9"/>
  <c r="DN35" i="9"/>
  <c r="DN129" i="9"/>
  <c r="DN233" i="9"/>
  <c r="DN234" i="9"/>
  <c r="DN284" i="9"/>
  <c r="DN285" i="9"/>
  <c r="DN253" i="9"/>
  <c r="DN41" i="9"/>
  <c r="DN293" i="9"/>
  <c r="DN81" i="9"/>
  <c r="DN124" i="9"/>
  <c r="DN181" i="9"/>
  <c r="DN254" i="9"/>
  <c r="DN245" i="9"/>
  <c r="DN308" i="9"/>
  <c r="DN26" i="9"/>
  <c r="DL161" i="9"/>
  <c r="DL167" i="9"/>
  <c r="DL329" i="9"/>
  <c r="DL153" i="9"/>
  <c r="DL49" i="9"/>
  <c r="DL33" i="9"/>
  <c r="DL196" i="9"/>
  <c r="DL197" i="9"/>
  <c r="DL201" i="9"/>
  <c r="DL176" i="9"/>
  <c r="DL230" i="9"/>
  <c r="DL278" i="9"/>
  <c r="DL77" i="9"/>
  <c r="DL40" i="9"/>
  <c r="DL299" i="9"/>
  <c r="DL303" i="9"/>
  <c r="DL328" i="9"/>
  <c r="DL96" i="9"/>
  <c r="DL142" i="9"/>
  <c r="DL203" i="9"/>
  <c r="DL178" i="9"/>
  <c r="DL39" i="9"/>
  <c r="DL316" i="9"/>
  <c r="DL103" i="9"/>
  <c r="DL220" i="9"/>
  <c r="DN104" i="9"/>
  <c r="DN223" i="9"/>
  <c r="DN171" i="9"/>
  <c r="DN200" i="9"/>
  <c r="DN229" i="9"/>
  <c r="DN283" i="9"/>
  <c r="DN238" i="9"/>
  <c r="DN73" i="9"/>
  <c r="DN83" i="9"/>
  <c r="DN137" i="9"/>
  <c r="DN222" i="9"/>
  <c r="DN89" i="9"/>
  <c r="DN72" i="9"/>
  <c r="DN144" i="9"/>
  <c r="DN133" i="9"/>
  <c r="DN150" i="9"/>
  <c r="DN143" i="9"/>
  <c r="DN38" i="9"/>
  <c r="DN46" i="9"/>
  <c r="DN248" i="9"/>
  <c r="DL128" i="9"/>
  <c r="DN122" i="9"/>
  <c r="DL247" i="9"/>
  <c r="DN274" i="9"/>
  <c r="DN291" i="9"/>
  <c r="DN221" i="9"/>
  <c r="DL259" i="9"/>
  <c r="DL97" i="9"/>
  <c r="DL91" i="9"/>
  <c r="DL51" i="9"/>
  <c r="DL67" i="9"/>
  <c r="DL100" i="9"/>
  <c r="DL240" i="9"/>
  <c r="DL47" i="9"/>
  <c r="DL326" i="9"/>
  <c r="DN250" i="9"/>
  <c r="DN113" i="9"/>
  <c r="DN156" i="9"/>
  <c r="DN271" i="9"/>
  <c r="DN252" i="9"/>
  <c r="DN37" i="9"/>
  <c r="DN109" i="9"/>
  <c r="DN294" i="9"/>
  <c r="DN44" i="9"/>
  <c r="DN304" i="9"/>
  <c r="DN327" i="9"/>
  <c r="DL120" i="9"/>
  <c r="DL98" i="9"/>
  <c r="DL268" i="9"/>
  <c r="DL35" i="9"/>
  <c r="DL234" i="9"/>
  <c r="DL253" i="9"/>
  <c r="DL81" i="9"/>
  <c r="DL254" i="9"/>
  <c r="DL26" i="9"/>
  <c r="DN125" i="9"/>
  <c r="DN319" i="9"/>
  <c r="DN121" i="9"/>
  <c r="DN42" i="9"/>
  <c r="DN74" i="9"/>
  <c r="DN151" i="9"/>
  <c r="DN52" i="9"/>
  <c r="DN213" i="9"/>
  <c r="DL293" i="9"/>
  <c r="DN251" i="9"/>
  <c r="DN108" i="9"/>
  <c r="DN280" i="9"/>
  <c r="DN309" i="9"/>
  <c r="DL85" i="9"/>
  <c r="DN260" i="9"/>
  <c r="DN180" i="9"/>
  <c r="DL260" i="9"/>
  <c r="DL89" i="9"/>
  <c r="DL172" i="9"/>
  <c r="DL177" i="9"/>
  <c r="DL206" i="9"/>
  <c r="DL133" i="9"/>
  <c r="DL117" i="9"/>
  <c r="DL56" i="9"/>
  <c r="DL221" i="9"/>
  <c r="DN186" i="9"/>
  <c r="DN264" i="9"/>
  <c r="DN194" i="9"/>
  <c r="DN85" i="9"/>
  <c r="DN321" i="9"/>
  <c r="DN78" i="9"/>
  <c r="DN211" i="9"/>
  <c r="DN86" i="9"/>
  <c r="DN148" i="9"/>
  <c r="DN305" i="9"/>
  <c r="DN110" i="9"/>
  <c r="DN204" i="9"/>
  <c r="DL141" i="9"/>
  <c r="DL107" i="9"/>
  <c r="DL166" i="9"/>
  <c r="DN29" i="9"/>
  <c r="DN177" i="9"/>
  <c r="DN45" i="9"/>
  <c r="DL34" i="9"/>
  <c r="DL279" i="9"/>
  <c r="DL300" i="9"/>
  <c r="DN330" i="9"/>
  <c r="DL285" i="9"/>
  <c r="DL308" i="9"/>
  <c r="DN192" i="9"/>
  <c r="DL330" i="9"/>
  <c r="DN206" i="9"/>
  <c r="DL48" i="9"/>
  <c r="DL265" i="9"/>
  <c r="DL198" i="9"/>
  <c r="DL276" i="9"/>
  <c r="DL179" i="9"/>
  <c r="DL145" i="9"/>
  <c r="DL82" i="9"/>
  <c r="DL70" i="9"/>
  <c r="DL152" i="9"/>
  <c r="DN75" i="9"/>
  <c r="DN140" i="9"/>
  <c r="DN62" i="9"/>
  <c r="DN273" i="9"/>
  <c r="DN231" i="9"/>
  <c r="DN208" i="9"/>
  <c r="DN115" i="9"/>
  <c r="DN123" i="9"/>
  <c r="DN301" i="9"/>
  <c r="DN325" i="9"/>
  <c r="DN117" i="9"/>
  <c r="DN306" i="9"/>
  <c r="DL208" i="9"/>
  <c r="DN168" i="9"/>
  <c r="DN289" i="9"/>
  <c r="DN315" i="9"/>
  <c r="DL60" i="9"/>
  <c r="DL164" i="9"/>
  <c r="DL246" i="9"/>
  <c r="DN80" i="9"/>
  <c r="DN236" i="9"/>
  <c r="DN160" i="9"/>
  <c r="DL307" i="9"/>
  <c r="DN127" i="9"/>
  <c r="DL233" i="9"/>
  <c r="DN184" i="9"/>
  <c r="DN243" i="9"/>
  <c r="DL36" i="9"/>
  <c r="DL38" i="9"/>
  <c r="DL148" i="9"/>
  <c r="DN162" i="9"/>
  <c r="DN296" i="9"/>
  <c r="DL28" i="9"/>
  <c r="DL22" i="9"/>
  <c r="DL106" i="9"/>
  <c r="DL249" i="9"/>
  <c r="DL154" i="9"/>
  <c r="DL134" i="9"/>
  <c r="DL324" i="9"/>
  <c r="DL244" i="9"/>
  <c r="DL138" i="9"/>
  <c r="DN187" i="9"/>
  <c r="DN30" i="9"/>
  <c r="DN172" i="9"/>
  <c r="DN202" i="9"/>
  <c r="DN277" i="9"/>
  <c r="DN131" i="9"/>
  <c r="DN101" i="9"/>
  <c r="DN215" i="9"/>
  <c r="DL214" i="9"/>
  <c r="DN226" i="9"/>
  <c r="DN99" i="9"/>
  <c r="DN102" i="9"/>
  <c r="DL53" i="9"/>
  <c r="DN27" i="9"/>
  <c r="DN173" i="9"/>
  <c r="DN56" i="9"/>
  <c r="DL23" i="9"/>
  <c r="DL111" i="9"/>
  <c r="DN205" i="9"/>
  <c r="DL193" i="9"/>
  <c r="DN63" i="9"/>
  <c r="DN214" i="9"/>
  <c r="DL73" i="9"/>
  <c r="DN199" i="9"/>
  <c r="DL88" i="9"/>
  <c r="DL266" i="9"/>
  <c r="DL320" i="9"/>
  <c r="DL129" i="9"/>
  <c r="DL284" i="9"/>
  <c r="DL41" i="9"/>
  <c r="DL124" i="9"/>
  <c r="DL245" i="9"/>
  <c r="DN139" i="9"/>
  <c r="DN225" i="9"/>
  <c r="DN269" i="9"/>
  <c r="DN228" i="9"/>
  <c r="DN36" i="9"/>
  <c r="DN132" i="9"/>
  <c r="DN287" i="9"/>
  <c r="DN295" i="9"/>
  <c r="DN118" i="9"/>
  <c r="DN247" i="9"/>
  <c r="DL75" i="9"/>
  <c r="DL226" i="9"/>
  <c r="DL63" i="9"/>
  <c r="DL252" i="9"/>
  <c r="DL289" i="9"/>
  <c r="DL304" i="9"/>
  <c r="DN256" i="9"/>
  <c r="DN114" i="9"/>
  <c r="DN54" i="9"/>
  <c r="DN135" i="9"/>
  <c r="DL146" i="9"/>
  <c r="DN191" i="9"/>
  <c r="DN290" i="9"/>
  <c r="DL262" i="9"/>
  <c r="DL94" i="9"/>
  <c r="DN317" i="9"/>
  <c r="DN302" i="9"/>
  <c r="DL263" i="9"/>
  <c r="DL181" i="9"/>
  <c r="DN237" i="9"/>
  <c r="DL171" i="9"/>
  <c r="DN227" i="9"/>
  <c r="DN255" i="9"/>
  <c r="DA128" i="9"/>
  <c r="DA217" i="9"/>
  <c r="DA130" i="9"/>
  <c r="DA156" i="9"/>
  <c r="DA74" i="9"/>
  <c r="DA195" i="9"/>
  <c r="DA159" i="9"/>
  <c r="DA115" i="9"/>
  <c r="DA113" i="9"/>
  <c r="DA34" i="9"/>
  <c r="DA141" i="9"/>
  <c r="DA206" i="9"/>
  <c r="DA208" i="9"/>
  <c r="DA226" i="9"/>
  <c r="DA80" i="9"/>
  <c r="DA178" i="9"/>
  <c r="DA92" i="9"/>
  <c r="DA70" i="9"/>
  <c r="DC101" i="9"/>
  <c r="DC174" i="9"/>
  <c r="DC72" i="9"/>
  <c r="DC133" i="9"/>
  <c r="DC194" i="9"/>
  <c r="DC138" i="9"/>
  <c r="DC200" i="9"/>
  <c r="DC76" i="9"/>
  <c r="DC165" i="9"/>
  <c r="DC77" i="9"/>
  <c r="DC205" i="9"/>
  <c r="DC78" i="9"/>
  <c r="DC147" i="9"/>
  <c r="DC105" i="9"/>
  <c r="DC170" i="9"/>
  <c r="DC53" i="9"/>
  <c r="DC216" i="9"/>
  <c r="DA28" i="9"/>
  <c r="DC128" i="9"/>
  <c r="DC130" i="9"/>
  <c r="DC195" i="9"/>
  <c r="DC159" i="9"/>
  <c r="DC113" i="9"/>
  <c r="DC206" i="9"/>
  <c r="DC208" i="9"/>
  <c r="DC80" i="9"/>
  <c r="DC178" i="9"/>
  <c r="DA86" i="9"/>
  <c r="DA82" i="9"/>
  <c r="DA64" i="9"/>
  <c r="DA179" i="9"/>
  <c r="DA160" i="9"/>
  <c r="DA162" i="9"/>
  <c r="DA85" i="9"/>
  <c r="DA146" i="9"/>
  <c r="DA119" i="9"/>
  <c r="DA127" i="9"/>
  <c r="DC58" i="9"/>
  <c r="DC23" i="9"/>
  <c r="DC66" i="9"/>
  <c r="DC198" i="9"/>
  <c r="DC60" i="9"/>
  <c r="DC202" i="9"/>
  <c r="DC67" i="9"/>
  <c r="DC63" i="9"/>
  <c r="DC223" i="9"/>
  <c r="DA120" i="9"/>
  <c r="DA58" i="9"/>
  <c r="DA23" i="9"/>
  <c r="DA157" i="9"/>
  <c r="DA66" i="9"/>
  <c r="DA136" i="9"/>
  <c r="DA198" i="9"/>
  <c r="DA60" i="9"/>
  <c r="DA61" i="9"/>
  <c r="DA202" i="9"/>
  <c r="DA184" i="9"/>
  <c r="DA67" i="9"/>
  <c r="DA209" i="9"/>
  <c r="DA104" i="9"/>
  <c r="DA63" i="9"/>
  <c r="DA223" i="9"/>
  <c r="DA186" i="9"/>
  <c r="DC29" i="9"/>
  <c r="DC180" i="9"/>
  <c r="DC59" i="9"/>
  <c r="DC134" i="9"/>
  <c r="DC90" i="9"/>
  <c r="DC197" i="9"/>
  <c r="DC188" i="9"/>
  <c r="DC161" i="9"/>
  <c r="DC124" i="9"/>
  <c r="DC83" i="9"/>
  <c r="DC166" i="9"/>
  <c r="DC48" i="9"/>
  <c r="DC27" i="9"/>
  <c r="DC177" i="9"/>
  <c r="DC214" i="9"/>
  <c r="DC173" i="9"/>
  <c r="DC152" i="9"/>
  <c r="DA189" i="9"/>
  <c r="DA88" i="9"/>
  <c r="DA37" i="9"/>
  <c r="DA56" i="9"/>
  <c r="DA89" i="9"/>
  <c r="DA187" i="9"/>
  <c r="DA199" i="9"/>
  <c r="DA98" i="9"/>
  <c r="DA201" i="9"/>
  <c r="DA45" i="9"/>
  <c r="DA116" i="9"/>
  <c r="DA47" i="9"/>
  <c r="DA35" i="9"/>
  <c r="DA51" i="9"/>
  <c r="DA106" i="9"/>
  <c r="DA108" i="9"/>
  <c r="DC217" i="9"/>
  <c r="DC156" i="9"/>
  <c r="DC74" i="9"/>
  <c r="DC115" i="9"/>
  <c r="DC34" i="9"/>
  <c r="DC141" i="9"/>
  <c r="DC226" i="9"/>
  <c r="DC92" i="9"/>
  <c r="DC70" i="9"/>
  <c r="DA224" i="9"/>
  <c r="DA41" i="9"/>
  <c r="DA103" i="9"/>
  <c r="DA46" i="9"/>
  <c r="DA93" i="9"/>
  <c r="DA210" i="9"/>
  <c r="DA107" i="9"/>
  <c r="DC120" i="9"/>
  <c r="DC157" i="9"/>
  <c r="DC136" i="9"/>
  <c r="DC61" i="9"/>
  <c r="DC184" i="9"/>
  <c r="DC209" i="9"/>
  <c r="DC104" i="9"/>
  <c r="DA190" i="9"/>
  <c r="DA153" i="9"/>
  <c r="DA71" i="9"/>
  <c r="DA158" i="9"/>
  <c r="DA40" i="9"/>
  <c r="DA32" i="9"/>
  <c r="DA96" i="9"/>
  <c r="DA25" i="9"/>
  <c r="DA163" i="9"/>
  <c r="DA203" i="9"/>
  <c r="DA142" i="9"/>
  <c r="DA62" i="9"/>
  <c r="DA167" i="9"/>
  <c r="DA52" i="9"/>
  <c r="DA212" i="9"/>
  <c r="DA109" i="9"/>
  <c r="DA149" i="9"/>
  <c r="DC189" i="9"/>
  <c r="DC88" i="9"/>
  <c r="DC37" i="9"/>
  <c r="DC56" i="9"/>
  <c r="DC89" i="9"/>
  <c r="DC187" i="9"/>
  <c r="DC199" i="9"/>
  <c r="DC98" i="9"/>
  <c r="DC201" i="9"/>
  <c r="DC45" i="9"/>
  <c r="DC116" i="9"/>
  <c r="DC47" i="9"/>
  <c r="DC35" i="9"/>
  <c r="DC51" i="9"/>
  <c r="DC106" i="9"/>
  <c r="DC108" i="9"/>
  <c r="DC28" i="9"/>
  <c r="DA22" i="9"/>
  <c r="DA154" i="9"/>
  <c r="DA155" i="9"/>
  <c r="DA73" i="9"/>
  <c r="DA24" i="9"/>
  <c r="DA137" i="9"/>
  <c r="DA75" i="9"/>
  <c r="DA91" i="9"/>
  <c r="DA122" i="9"/>
  <c r="DA97" i="9"/>
  <c r="DA111" i="9"/>
  <c r="DA143" i="9"/>
  <c r="DA55" i="9"/>
  <c r="DA168" i="9"/>
  <c r="DA222" i="9"/>
  <c r="DA171" i="9"/>
  <c r="DA36" i="9"/>
  <c r="DC86" i="9"/>
  <c r="DC82" i="9"/>
  <c r="DC224" i="9"/>
  <c r="DC64" i="9"/>
  <c r="DC179" i="9"/>
  <c r="DC41" i="9"/>
  <c r="DC103" i="9"/>
  <c r="DC160" i="9"/>
  <c r="DC162" i="9"/>
  <c r="DC46" i="9"/>
  <c r="DC93" i="9"/>
  <c r="DC85" i="9"/>
  <c r="DC146" i="9"/>
  <c r="DC210" i="9"/>
  <c r="DC107" i="9"/>
  <c r="DC119" i="9"/>
  <c r="DC127" i="9"/>
  <c r="DA191" i="9"/>
  <c r="DA218" i="9"/>
  <c r="DA38" i="9"/>
  <c r="DA132" i="9"/>
  <c r="DA192" i="9"/>
  <c r="DA114" i="9"/>
  <c r="DA181" i="9"/>
  <c r="DA43" i="9"/>
  <c r="DA100" i="9"/>
  <c r="DA30" i="9"/>
  <c r="DA90" i="9"/>
  <c r="DA44" i="9"/>
  <c r="DA26" i="9"/>
  <c r="DA145" i="9"/>
  <c r="DA169" i="9"/>
  <c r="DA110" i="9"/>
  <c r="DC218" i="9"/>
  <c r="DC132" i="9"/>
  <c r="DC114" i="9"/>
  <c r="DC43" i="9"/>
  <c r="DC125" i="9"/>
  <c r="DC144" i="9"/>
  <c r="DC50" i="9"/>
  <c r="DC148" i="9"/>
  <c r="DA161" i="9"/>
  <c r="DA83" i="9"/>
  <c r="DA48" i="9"/>
  <c r="DC121" i="9"/>
  <c r="DC207" i="9"/>
  <c r="DC172" i="9"/>
  <c r="DC22" i="9"/>
  <c r="DC24" i="9"/>
  <c r="DC122" i="9"/>
  <c r="DA133" i="9"/>
  <c r="DA49" i="9"/>
  <c r="DC191" i="9"/>
  <c r="DC123" i="9"/>
  <c r="DA112" i="9"/>
  <c r="DC139" i="9"/>
  <c r="DA174" i="9"/>
  <c r="DA170" i="9"/>
  <c r="DC39" i="9"/>
  <c r="DC140" i="9"/>
  <c r="DA124" i="9"/>
  <c r="DC112" i="9"/>
  <c r="DA129" i="9"/>
  <c r="DA72" i="9"/>
  <c r="DA196" i="9"/>
  <c r="DA182" i="9"/>
  <c r="DA176" i="9"/>
  <c r="DA207" i="9"/>
  <c r="DA57" i="9"/>
  <c r="DA172" i="9"/>
  <c r="DC219" i="9"/>
  <c r="DC225" i="9"/>
  <c r="DC196" i="9"/>
  <c r="DC33" i="9"/>
  <c r="DC183" i="9"/>
  <c r="DC99" i="9"/>
  <c r="DC211" i="9"/>
  <c r="DC215" i="9"/>
  <c r="DC169" i="9"/>
  <c r="DC110" i="9"/>
  <c r="DA225" i="9"/>
  <c r="DA177" i="9"/>
  <c r="DC182" i="9"/>
  <c r="DC176" i="9"/>
  <c r="DC75" i="9"/>
  <c r="DC222" i="9"/>
  <c r="DA118" i="9"/>
  <c r="DA94" i="9"/>
  <c r="DC181" i="9"/>
  <c r="DA121" i="9"/>
  <c r="DC100" i="9"/>
  <c r="DC126" i="9"/>
  <c r="DA205" i="9"/>
  <c r="DC129" i="9"/>
  <c r="DA200" i="9"/>
  <c r="DA214" i="9"/>
  <c r="DC30" i="9"/>
  <c r="DC221" i="9"/>
  <c r="DA87" i="9"/>
  <c r="DA59" i="9"/>
  <c r="DA81" i="9"/>
  <c r="DA76" i="9"/>
  <c r="DA77" i="9"/>
  <c r="DA78" i="9"/>
  <c r="DA105" i="9"/>
  <c r="DA53" i="9"/>
  <c r="DC102" i="9"/>
  <c r="DC65" i="9"/>
  <c r="DC81" i="9"/>
  <c r="DC44" i="9"/>
  <c r="DC26" i="9"/>
  <c r="DC145" i="9"/>
  <c r="DA101" i="9"/>
  <c r="DA220" i="9"/>
  <c r="DA173" i="9"/>
  <c r="DC31" i="9"/>
  <c r="DC220" i="9"/>
  <c r="DC57" i="9"/>
  <c r="DC155" i="9"/>
  <c r="DC111" i="9"/>
  <c r="DC149" i="9"/>
  <c r="DA140" i="9"/>
  <c r="DC84" i="9"/>
  <c r="DA42" i="9"/>
  <c r="DA175" i="9"/>
  <c r="DC135" i="9"/>
  <c r="DC79" i="9"/>
  <c r="DA221" i="9"/>
  <c r="DC42" i="9"/>
  <c r="DC213" i="9"/>
  <c r="DA180" i="9"/>
  <c r="DA27" i="9"/>
  <c r="DA152" i="9"/>
  <c r="DC95" i="9"/>
  <c r="DC94" i="9"/>
  <c r="DA29" i="9"/>
  <c r="DA65" i="9"/>
  <c r="DA138" i="9"/>
  <c r="DA123" i="9"/>
  <c r="DA204" i="9"/>
  <c r="DA84" i="9"/>
  <c r="DA68" i="9"/>
  <c r="DA69" i="9"/>
  <c r="DC190" i="9"/>
  <c r="DC71" i="9"/>
  <c r="DC40" i="9"/>
  <c r="DC96" i="9"/>
  <c r="DC163" i="9"/>
  <c r="DC142" i="9"/>
  <c r="DC167" i="9"/>
  <c r="DC212" i="9"/>
  <c r="DC186" i="9"/>
  <c r="DA219" i="9"/>
  <c r="DA31" i="9"/>
  <c r="DA197" i="9"/>
  <c r="DA164" i="9"/>
  <c r="DA117" i="9"/>
  <c r="DA79" i="9"/>
  <c r="DA126" i="9"/>
  <c r="DA150" i="9"/>
  <c r="DC55" i="9"/>
  <c r="DA102" i="9"/>
  <c r="DA213" i="9"/>
  <c r="DC192" i="9"/>
  <c r="DC68" i="9"/>
  <c r="DA95" i="9"/>
  <c r="DA151" i="9"/>
  <c r="DC164" i="9"/>
  <c r="DC69" i="9"/>
  <c r="DA165" i="9"/>
  <c r="DA216" i="9"/>
  <c r="DC193" i="9"/>
  <c r="DC118" i="9"/>
  <c r="DA193" i="9"/>
  <c r="DA166" i="9"/>
  <c r="DC87" i="9"/>
  <c r="DC175" i="9"/>
  <c r="DA131" i="9"/>
  <c r="DA54" i="9"/>
  <c r="DA188" i="9"/>
  <c r="DA125" i="9"/>
  <c r="DA144" i="9"/>
  <c r="DA50" i="9"/>
  <c r="DA148" i="9"/>
  <c r="DC153" i="9"/>
  <c r="DC158" i="9"/>
  <c r="DC32" i="9"/>
  <c r="DC25" i="9"/>
  <c r="DC203" i="9"/>
  <c r="DC62" i="9"/>
  <c r="DC52" i="9"/>
  <c r="DC109" i="9"/>
  <c r="DC151" i="9"/>
  <c r="DA39" i="9"/>
  <c r="DA194" i="9"/>
  <c r="DA33" i="9"/>
  <c r="DA183" i="9"/>
  <c r="DA99" i="9"/>
  <c r="DA211" i="9"/>
  <c r="DA215" i="9"/>
  <c r="DC154" i="9"/>
  <c r="DC73" i="9"/>
  <c r="DC137" i="9"/>
  <c r="DC91" i="9"/>
  <c r="DC97" i="9"/>
  <c r="DC143" i="9"/>
  <c r="DC168" i="9"/>
  <c r="DC171" i="9"/>
  <c r="DA139" i="9"/>
  <c r="DC38" i="9"/>
  <c r="DC204" i="9"/>
  <c r="DC36" i="9"/>
  <c r="DA134" i="9"/>
  <c r="DA185" i="9"/>
  <c r="DC131" i="9"/>
  <c r="DC117" i="9"/>
  <c r="DA135" i="9"/>
  <c r="DA147" i="9"/>
  <c r="DC49" i="9"/>
  <c r="DC150" i="9"/>
  <c r="DC54" i="9"/>
  <c r="DC185" i="9"/>
  <c r="CE128" i="9"/>
  <c r="CE139" i="9"/>
  <c r="CE146" i="9"/>
  <c r="CE23" i="9"/>
  <c r="CE165" i="9"/>
  <c r="CE172" i="9"/>
  <c r="CE177" i="9"/>
  <c r="CE57" i="9"/>
  <c r="CE115" i="9"/>
  <c r="CE200" i="9"/>
  <c r="CE206" i="9"/>
  <c r="CE213" i="9"/>
  <c r="CE220" i="9"/>
  <c r="CE226" i="9"/>
  <c r="CE234" i="9"/>
  <c r="CE28" i="9"/>
  <c r="CE250" i="9"/>
  <c r="CE258" i="9"/>
  <c r="CE268" i="9"/>
  <c r="CE276" i="9"/>
  <c r="CE282" i="9"/>
  <c r="CE65" i="9"/>
  <c r="CE48" i="9"/>
  <c r="CE304" i="9"/>
  <c r="CE311" i="9"/>
  <c r="CE320" i="9"/>
  <c r="CE327" i="9"/>
  <c r="CG137" i="9"/>
  <c r="CG145" i="9"/>
  <c r="CG121" i="9"/>
  <c r="CG163" i="9"/>
  <c r="CG171" i="9"/>
  <c r="CG56" i="9"/>
  <c r="CG183" i="9"/>
  <c r="CG190" i="9"/>
  <c r="CG198" i="9"/>
  <c r="CG204" i="9"/>
  <c r="CG211" i="9"/>
  <c r="CG218" i="9"/>
  <c r="CG225" i="9"/>
  <c r="CG93" i="9"/>
  <c r="CG105" i="9"/>
  <c r="CG249" i="9"/>
  <c r="CG126" i="9"/>
  <c r="CG266" i="9"/>
  <c r="CG274" i="9"/>
  <c r="CG280" i="9"/>
  <c r="CG290" i="9"/>
  <c r="CG29" i="9"/>
  <c r="CG303" i="9"/>
  <c r="CG309" i="9"/>
  <c r="CG318" i="9"/>
  <c r="CG68" i="9"/>
  <c r="CE209" i="9"/>
  <c r="CE246" i="9"/>
  <c r="CE278" i="9"/>
  <c r="CE110" i="9"/>
  <c r="CE129" i="9"/>
  <c r="CE329" i="9"/>
  <c r="CE147" i="9"/>
  <c r="CE156" i="9"/>
  <c r="CE41" i="9"/>
  <c r="CE96" i="9"/>
  <c r="CE178" i="9"/>
  <c r="CE185" i="9"/>
  <c r="CE192" i="9"/>
  <c r="CE201" i="9"/>
  <c r="CE207" i="9"/>
  <c r="CE214" i="9"/>
  <c r="CE102" i="9"/>
  <c r="CE227" i="9"/>
  <c r="CE235" i="9"/>
  <c r="CE243" i="9"/>
  <c r="CE86" i="9"/>
  <c r="CE259" i="9"/>
  <c r="CE62" i="9"/>
  <c r="CE107" i="9"/>
  <c r="CE283" i="9"/>
  <c r="CE292" i="9"/>
  <c r="CE297" i="9"/>
  <c r="CE89" i="9"/>
  <c r="CE312" i="9"/>
  <c r="CE321" i="9"/>
  <c r="CG138" i="9"/>
  <c r="CG69" i="9"/>
  <c r="CG155" i="9"/>
  <c r="CG164" i="9"/>
  <c r="CG91" i="9"/>
  <c r="CG176" i="9"/>
  <c r="CG184" i="9"/>
  <c r="CG191" i="9"/>
  <c r="CG199" i="9"/>
  <c r="CG205" i="9"/>
  <c r="CG212" i="9"/>
  <c r="CG219" i="9"/>
  <c r="CG92" i="9"/>
  <c r="CG233" i="9"/>
  <c r="CG27" i="9"/>
  <c r="CG118" i="9"/>
  <c r="CG257" i="9"/>
  <c r="CG267" i="9"/>
  <c r="CG275" i="9"/>
  <c r="CG281" i="9"/>
  <c r="CG291" i="9"/>
  <c r="CG296" i="9"/>
  <c r="CG40" i="9"/>
  <c r="CG310" i="9"/>
  <c r="CG319" i="9"/>
  <c r="CG326" i="9"/>
  <c r="CE120" i="9"/>
  <c r="CE150" i="9"/>
  <c r="CE114" i="9"/>
  <c r="CE71" i="9"/>
  <c r="CE230" i="9"/>
  <c r="CE45" i="9"/>
  <c r="CE286" i="9"/>
  <c r="CE315" i="9"/>
  <c r="CE130" i="9"/>
  <c r="CE119" i="9"/>
  <c r="CE148" i="9"/>
  <c r="CE157" i="9"/>
  <c r="CE166" i="9"/>
  <c r="CE173" i="9"/>
  <c r="CE179" i="9"/>
  <c r="CE82" i="9"/>
  <c r="CE330" i="9"/>
  <c r="CE116" i="9"/>
  <c r="CE83" i="9"/>
  <c r="CE332" i="9"/>
  <c r="CE59" i="9"/>
  <c r="CE228" i="9"/>
  <c r="CE236" i="9"/>
  <c r="CE244" i="9"/>
  <c r="CE251" i="9"/>
  <c r="CE106" i="9"/>
  <c r="CE269" i="9"/>
  <c r="CE63" i="9"/>
  <c r="CE284" i="9"/>
  <c r="CE88" i="9"/>
  <c r="CE298" i="9"/>
  <c r="CE49" i="9"/>
  <c r="CE313" i="9"/>
  <c r="CE90" i="9"/>
  <c r="CG128" i="9"/>
  <c r="CG139" i="9"/>
  <c r="CG146" i="9"/>
  <c r="CG23" i="9"/>
  <c r="CG165" i="9"/>
  <c r="CG172" i="9"/>
  <c r="CG177" i="9"/>
  <c r="CG57" i="9"/>
  <c r="CG115" i="9"/>
  <c r="CG200" i="9"/>
  <c r="CG206" i="9"/>
  <c r="CG213" i="9"/>
  <c r="CG220" i="9"/>
  <c r="CG226" i="9"/>
  <c r="CG234" i="9"/>
  <c r="CG28" i="9"/>
  <c r="CG250" i="9"/>
  <c r="CG258" i="9"/>
  <c r="CG268" i="9"/>
  <c r="CG276" i="9"/>
  <c r="CG282" i="9"/>
  <c r="CG65" i="9"/>
  <c r="CG48" i="9"/>
  <c r="CG304" i="9"/>
  <c r="CG311" i="9"/>
  <c r="CG320" i="9"/>
  <c r="CG327" i="9"/>
  <c r="CE54" i="9"/>
  <c r="CE222" i="9"/>
  <c r="CE260" i="9"/>
  <c r="CE294" i="9"/>
  <c r="CE50" i="9"/>
  <c r="CE131" i="9"/>
  <c r="CE52" i="9"/>
  <c r="CE149" i="9"/>
  <c r="CE158" i="9"/>
  <c r="CE167" i="9"/>
  <c r="CE97" i="9"/>
  <c r="CE81" i="9"/>
  <c r="CE58" i="9"/>
  <c r="CE193" i="9"/>
  <c r="CE32" i="9"/>
  <c r="CE208" i="9"/>
  <c r="CE215" i="9"/>
  <c r="CE221" i="9"/>
  <c r="CE229" i="9"/>
  <c r="CE237" i="9"/>
  <c r="CE245" i="9"/>
  <c r="CE252" i="9"/>
  <c r="CE46" i="9"/>
  <c r="CE35" i="9"/>
  <c r="CE277" i="9"/>
  <c r="CE285" i="9"/>
  <c r="CE293" i="9"/>
  <c r="CE38" i="9"/>
  <c r="CE109" i="9"/>
  <c r="CE314" i="9"/>
  <c r="CE322" i="9"/>
  <c r="CG129" i="9"/>
  <c r="CG329" i="9"/>
  <c r="CG147" i="9"/>
  <c r="CG156" i="9"/>
  <c r="CG41" i="9"/>
  <c r="CG96" i="9"/>
  <c r="CG178" i="9"/>
  <c r="CG185" i="9"/>
  <c r="CG192" i="9"/>
  <c r="CG201" i="9"/>
  <c r="CG207" i="9"/>
  <c r="CG214" i="9"/>
  <c r="CG102" i="9"/>
  <c r="CG227" i="9"/>
  <c r="CG235" i="9"/>
  <c r="CG243" i="9"/>
  <c r="CG86" i="9"/>
  <c r="CG259" i="9"/>
  <c r="CG62" i="9"/>
  <c r="CG107" i="9"/>
  <c r="CG283" i="9"/>
  <c r="CG292" i="9"/>
  <c r="CG297" i="9"/>
  <c r="CG89" i="9"/>
  <c r="CG312" i="9"/>
  <c r="CG321" i="9"/>
  <c r="CE132" i="9"/>
  <c r="CE79" i="9"/>
  <c r="CE94" i="9"/>
  <c r="CE24" i="9"/>
  <c r="CE194" i="9"/>
  <c r="CE73" i="9"/>
  <c r="CE238" i="9"/>
  <c r="CE270" i="9"/>
  <c r="CE299" i="9"/>
  <c r="CE134" i="9"/>
  <c r="CE141" i="9"/>
  <c r="CE152" i="9"/>
  <c r="CE160" i="9"/>
  <c r="CE168" i="9"/>
  <c r="CE122" i="9"/>
  <c r="CE181" i="9"/>
  <c r="CE42" i="9"/>
  <c r="CE331" i="9"/>
  <c r="CE202" i="9"/>
  <c r="CE99" i="9"/>
  <c r="CE101" i="9"/>
  <c r="CE74" i="9"/>
  <c r="CE103" i="9"/>
  <c r="CE239" i="9"/>
  <c r="CE61" i="9"/>
  <c r="CE333" i="9"/>
  <c r="CE262" i="9"/>
  <c r="CE272" i="9"/>
  <c r="CE87" i="9"/>
  <c r="CE287" i="9"/>
  <c r="CE77" i="9"/>
  <c r="CE301" i="9"/>
  <c r="CE306" i="9"/>
  <c r="CE316" i="9"/>
  <c r="CE324" i="9"/>
  <c r="CG132" i="9"/>
  <c r="CG120" i="9"/>
  <c r="CG150" i="9"/>
  <c r="CG79" i="9"/>
  <c r="CG94" i="9"/>
  <c r="CG54" i="9"/>
  <c r="CG114" i="9"/>
  <c r="CG24" i="9"/>
  <c r="CG194" i="9"/>
  <c r="CG71" i="9"/>
  <c r="CG209" i="9"/>
  <c r="CG73" i="9"/>
  <c r="CG222" i="9"/>
  <c r="CG230" i="9"/>
  <c r="CG238" i="9"/>
  <c r="CG246" i="9"/>
  <c r="CG45" i="9"/>
  <c r="CG260" i="9"/>
  <c r="CG270" i="9"/>
  <c r="CG278" i="9"/>
  <c r="CG286" i="9"/>
  <c r="CG294" i="9"/>
  <c r="CG299" i="9"/>
  <c r="CG110" i="9"/>
  <c r="CG315" i="9"/>
  <c r="CG50" i="9"/>
  <c r="CE328" i="9"/>
  <c r="CE142" i="9"/>
  <c r="CE22" i="9"/>
  <c r="CE161" i="9"/>
  <c r="CE95" i="9"/>
  <c r="CE175" i="9"/>
  <c r="CE70" i="9"/>
  <c r="CE187" i="9"/>
  <c r="CE25" i="9"/>
  <c r="CE203" i="9"/>
  <c r="CE33" i="9"/>
  <c r="CE216" i="9"/>
  <c r="CE43" i="9"/>
  <c r="CE232" i="9"/>
  <c r="CE240" i="9"/>
  <c r="CE247" i="9"/>
  <c r="CE254" i="9"/>
  <c r="CE133" i="9"/>
  <c r="CE154" i="9"/>
  <c r="CE91" i="9"/>
  <c r="CE188" i="9"/>
  <c r="CE204" i="9"/>
  <c r="CE223" i="9"/>
  <c r="CE242" i="9"/>
  <c r="CE257" i="9"/>
  <c r="CE275" i="9"/>
  <c r="CE291" i="9"/>
  <c r="CE40" i="9"/>
  <c r="CE319" i="9"/>
  <c r="CG131" i="9"/>
  <c r="CG144" i="9"/>
  <c r="CG161" i="9"/>
  <c r="CG174" i="9"/>
  <c r="CG82" i="9"/>
  <c r="CG196" i="9"/>
  <c r="CG99" i="9"/>
  <c r="CG221" i="9"/>
  <c r="CG60" i="9"/>
  <c r="CG247" i="9"/>
  <c r="CG261" i="9"/>
  <c r="CG63" i="9"/>
  <c r="CG288" i="9"/>
  <c r="CG301" i="9"/>
  <c r="CG314" i="9"/>
  <c r="CG325" i="9"/>
  <c r="CG34" i="9"/>
  <c r="CG269" i="9"/>
  <c r="CE197" i="9"/>
  <c r="CE281" i="9"/>
  <c r="CG119" i="9"/>
  <c r="CG124" i="9"/>
  <c r="CG241" i="9"/>
  <c r="CE198" i="9"/>
  <c r="CE271" i="9"/>
  <c r="CG154" i="9"/>
  <c r="CG229" i="9"/>
  <c r="CG66" i="9"/>
  <c r="CE26" i="9"/>
  <c r="CE64" i="9"/>
  <c r="CG193" i="9"/>
  <c r="CG272" i="9"/>
  <c r="CE69" i="9"/>
  <c r="CE217" i="9"/>
  <c r="CE39" i="9"/>
  <c r="CG70" i="9"/>
  <c r="CG195" i="9"/>
  <c r="CG36" i="9"/>
  <c r="CE184" i="9"/>
  <c r="CE256" i="9"/>
  <c r="CG142" i="9"/>
  <c r="CG232" i="9"/>
  <c r="CG113" i="9"/>
  <c r="CE186" i="9"/>
  <c r="CE290" i="9"/>
  <c r="CG160" i="9"/>
  <c r="CG61" i="9"/>
  <c r="CE135" i="9"/>
  <c r="CE121" i="9"/>
  <c r="CE174" i="9"/>
  <c r="CE189" i="9"/>
  <c r="CE205" i="9"/>
  <c r="CE224" i="9"/>
  <c r="CE105" i="9"/>
  <c r="CE261" i="9"/>
  <c r="CE279" i="9"/>
  <c r="CE37" i="9"/>
  <c r="CE305" i="9"/>
  <c r="CE323" i="9"/>
  <c r="CG133" i="9"/>
  <c r="CG148" i="9"/>
  <c r="CG162" i="9"/>
  <c r="CG122" i="9"/>
  <c r="CG58" i="9"/>
  <c r="CG197" i="9"/>
  <c r="CG33" i="9"/>
  <c r="CG223" i="9"/>
  <c r="CG236" i="9"/>
  <c r="CG248" i="9"/>
  <c r="CG262" i="9"/>
  <c r="CG277" i="9"/>
  <c r="CG289" i="9"/>
  <c r="CG302" i="9"/>
  <c r="CG112" i="9"/>
  <c r="CG202" i="9"/>
  <c r="CG108" i="9"/>
  <c r="CG317" i="9"/>
  <c r="CE212" i="9"/>
  <c r="CG153" i="9"/>
  <c r="CG228" i="9"/>
  <c r="CE31" i="9"/>
  <c r="CE300" i="9"/>
  <c r="CG52" i="9"/>
  <c r="CG242" i="9"/>
  <c r="CG306" i="9"/>
  <c r="CE93" i="9"/>
  <c r="CG157" i="9"/>
  <c r="CG216" i="9"/>
  <c r="CG285" i="9"/>
  <c r="CE169" i="9"/>
  <c r="CE255" i="9"/>
  <c r="CG141" i="9"/>
  <c r="CG26" i="9"/>
  <c r="CG75" i="9"/>
  <c r="CG298" i="9"/>
  <c r="CE117" i="9"/>
  <c r="CE289" i="9"/>
  <c r="CG173" i="9"/>
  <c r="CG106" i="9"/>
  <c r="CG38" i="9"/>
  <c r="CE171" i="9"/>
  <c r="CE274" i="9"/>
  <c r="CG143" i="9"/>
  <c r="CG104" i="9"/>
  <c r="CG47" i="9"/>
  <c r="CG313" i="9"/>
  <c r="CE136" i="9"/>
  <c r="CE155" i="9"/>
  <c r="CE123" i="9"/>
  <c r="CE190" i="9"/>
  <c r="CE210" i="9"/>
  <c r="CE34" i="9"/>
  <c r="CE27" i="9"/>
  <c r="CE263" i="9"/>
  <c r="CE127" i="9"/>
  <c r="CE334" i="9"/>
  <c r="CE307" i="9"/>
  <c r="CE113" i="9"/>
  <c r="CG134" i="9"/>
  <c r="CG149" i="9"/>
  <c r="CG53" i="9"/>
  <c r="CG175" i="9"/>
  <c r="CG186" i="9"/>
  <c r="CG116" i="9"/>
  <c r="CG100" i="9"/>
  <c r="CG74" i="9"/>
  <c r="CG237" i="9"/>
  <c r="CG125" i="9"/>
  <c r="CG263" i="9"/>
  <c r="CG279" i="9"/>
  <c r="CG88" i="9"/>
  <c r="CG39" i="9"/>
  <c r="CG316" i="9"/>
  <c r="CE196" i="9"/>
  <c r="CE266" i="9"/>
  <c r="CE309" i="9"/>
  <c r="CG22" i="9"/>
  <c r="CG80" i="9"/>
  <c r="CG179" i="9"/>
  <c r="CG240" i="9"/>
  <c r="CE143" i="9"/>
  <c r="CE104" i="9"/>
  <c r="CE296" i="9"/>
  <c r="CG168" i="9"/>
  <c r="CG333" i="9"/>
  <c r="CG35" i="9"/>
  <c r="CE164" i="9"/>
  <c r="CE118" i="9"/>
  <c r="CE112" i="9"/>
  <c r="CG95" i="9"/>
  <c r="CG101" i="9"/>
  <c r="CG254" i="9"/>
  <c r="CG322" i="9"/>
  <c r="CE253" i="9"/>
  <c r="CG140" i="9"/>
  <c r="CG98" i="9"/>
  <c r="CG255" i="9"/>
  <c r="CG323" i="9"/>
  <c r="CE233" i="9"/>
  <c r="CE67" i="9"/>
  <c r="CG83" i="9"/>
  <c r="CG103" i="9"/>
  <c r="CG111" i="9"/>
  <c r="CG324" i="9"/>
  <c r="CE47" i="9"/>
  <c r="CG159" i="9"/>
  <c r="CG85" i="9"/>
  <c r="CG273" i="9"/>
  <c r="CE153" i="9"/>
  <c r="CE241" i="9"/>
  <c r="CE318" i="9"/>
  <c r="CG182" i="9"/>
  <c r="CG46" i="9"/>
  <c r="CG64" i="9"/>
  <c r="CE137" i="9"/>
  <c r="CE159" i="9"/>
  <c r="CE55" i="9"/>
  <c r="CE191" i="9"/>
  <c r="CE100" i="9"/>
  <c r="CE225" i="9"/>
  <c r="CE85" i="9"/>
  <c r="CE264" i="9"/>
  <c r="CE108" i="9"/>
  <c r="CE66" i="9"/>
  <c r="CE111" i="9"/>
  <c r="CE51" i="9"/>
  <c r="CG328" i="9"/>
  <c r="CG151" i="9"/>
  <c r="CG166" i="9"/>
  <c r="CG123" i="9"/>
  <c r="CG42" i="9"/>
  <c r="CG32" i="9"/>
  <c r="CG84" i="9"/>
  <c r="CG43" i="9"/>
  <c r="CG44" i="9"/>
  <c r="CG251" i="9"/>
  <c r="CG264" i="9"/>
  <c r="CG87" i="9"/>
  <c r="CG293" i="9"/>
  <c r="CG78" i="9"/>
  <c r="CG30" i="9"/>
  <c r="CG127" i="9"/>
  <c r="CG49" i="9"/>
  <c r="CE140" i="9"/>
  <c r="CE53" i="9"/>
  <c r="CE231" i="9"/>
  <c r="CE280" i="9"/>
  <c r="CG136" i="9"/>
  <c r="CG215" i="9"/>
  <c r="CG77" i="9"/>
  <c r="CG109" i="9"/>
  <c r="CE163" i="9"/>
  <c r="CE249" i="9"/>
  <c r="CE310" i="9"/>
  <c r="CG81" i="9"/>
  <c r="CG203" i="9"/>
  <c r="CG334" i="9"/>
  <c r="CG90" i="9"/>
  <c r="CE144" i="9"/>
  <c r="CE124" i="9"/>
  <c r="CE36" i="9"/>
  <c r="CG180" i="9"/>
  <c r="CG271" i="9"/>
  <c r="CE145" i="9"/>
  <c r="CE199" i="9"/>
  <c r="CE302" i="9"/>
  <c r="CG181" i="9"/>
  <c r="CG244" i="9"/>
  <c r="CG307" i="9"/>
  <c r="CE72" i="9"/>
  <c r="CE288" i="9"/>
  <c r="CG170" i="9"/>
  <c r="CG256" i="9"/>
  <c r="CE170" i="9"/>
  <c r="CE44" i="9"/>
  <c r="CE78" i="9"/>
  <c r="CG31" i="9"/>
  <c r="CG217" i="9"/>
  <c r="CG308" i="9"/>
  <c r="CE219" i="9"/>
  <c r="CG130" i="9"/>
  <c r="CG59" i="9"/>
  <c r="CG51" i="9"/>
  <c r="CE138" i="9"/>
  <c r="CE162" i="9"/>
  <c r="CE56" i="9"/>
  <c r="CE195" i="9"/>
  <c r="CE84" i="9"/>
  <c r="CE92" i="9"/>
  <c r="CE248" i="9"/>
  <c r="CE265" i="9"/>
  <c r="CE76" i="9"/>
  <c r="CE295" i="9"/>
  <c r="CE308" i="9"/>
  <c r="CE325" i="9"/>
  <c r="CG135" i="9"/>
  <c r="CG152" i="9"/>
  <c r="CG167" i="9"/>
  <c r="CG55" i="9"/>
  <c r="CG187" i="9"/>
  <c r="CG72" i="9"/>
  <c r="CG332" i="9"/>
  <c r="CG224" i="9"/>
  <c r="CG239" i="9"/>
  <c r="CG252" i="9"/>
  <c r="CG265" i="9"/>
  <c r="CG37" i="9"/>
  <c r="CG67" i="9"/>
  <c r="CE176" i="9"/>
  <c r="CE211" i="9"/>
  <c r="CE125" i="9"/>
  <c r="CE29" i="9"/>
  <c r="CE68" i="9"/>
  <c r="CG188" i="9"/>
  <c r="CG253" i="9"/>
  <c r="CE180" i="9"/>
  <c r="CE267" i="9"/>
  <c r="CE326" i="9"/>
  <c r="CG189" i="9"/>
  <c r="CG76" i="9"/>
  <c r="CG305" i="9"/>
  <c r="CE60" i="9"/>
  <c r="CG330" i="9"/>
  <c r="CG117" i="9"/>
  <c r="CG284" i="9"/>
  <c r="CE80" i="9"/>
  <c r="CE182" i="9"/>
  <c r="CE75" i="9"/>
  <c r="CE30" i="9"/>
  <c r="CG169" i="9"/>
  <c r="CG231" i="9"/>
  <c r="CG295" i="9"/>
  <c r="CE183" i="9"/>
  <c r="CE273" i="9"/>
  <c r="CG158" i="9"/>
  <c r="CG245" i="9"/>
  <c r="CE151" i="9"/>
  <c r="CE218" i="9"/>
  <c r="CE317" i="9"/>
  <c r="CG331" i="9"/>
  <c r="CG208" i="9"/>
  <c r="CG287" i="9"/>
  <c r="CE98" i="9"/>
  <c r="CE126" i="9"/>
  <c r="CE303" i="9"/>
  <c r="CG97" i="9"/>
  <c r="CG25" i="9"/>
  <c r="CG210" i="9"/>
  <c r="CG300" i="9"/>
  <c r="BT190" i="9"/>
  <c r="BT214" i="9"/>
  <c r="BT436" i="9"/>
  <c r="BT71" i="9"/>
  <c r="BT412" i="9"/>
  <c r="BT319" i="9"/>
  <c r="BT252" i="9"/>
  <c r="BT334" i="9"/>
  <c r="BT244" i="9"/>
  <c r="BT415" i="9"/>
  <c r="BT279" i="9"/>
  <c r="BT37" i="9"/>
  <c r="BT199" i="9"/>
  <c r="BT124" i="9"/>
  <c r="BT262" i="9"/>
  <c r="BT73" i="9"/>
  <c r="BT256" i="9"/>
  <c r="BT445" i="9"/>
  <c r="BT421" i="9"/>
  <c r="BT402" i="9"/>
  <c r="BT292" i="9"/>
  <c r="BT318" i="9"/>
  <c r="BT448" i="9"/>
  <c r="BT350" i="9"/>
  <c r="BT357" i="9"/>
  <c r="BT119" i="9"/>
  <c r="BT60" i="9"/>
  <c r="BT62" i="9"/>
  <c r="BT371" i="9"/>
  <c r="BT133" i="9"/>
  <c r="BT64" i="9"/>
  <c r="BT161" i="9"/>
  <c r="BT100" i="9"/>
  <c r="BT223" i="9"/>
  <c r="BT189" i="9"/>
  <c r="BT69" i="9"/>
  <c r="BV447" i="9"/>
  <c r="BV194" i="9"/>
  <c r="BV174" i="9"/>
  <c r="BV122" i="9"/>
  <c r="BV196" i="9"/>
  <c r="BV111" i="9"/>
  <c r="BV291" i="9"/>
  <c r="BV286" i="9"/>
  <c r="BV89" i="9"/>
  <c r="BV198" i="9"/>
  <c r="BV417" i="9"/>
  <c r="BV113" i="9"/>
  <c r="BV275" i="9"/>
  <c r="BV201" i="9"/>
  <c r="BV125" i="9"/>
  <c r="BV202" i="9"/>
  <c r="BV235" i="9"/>
  <c r="BV47" i="9"/>
  <c r="BV311" i="9"/>
  <c r="BV236" i="9"/>
  <c r="BV76" i="9"/>
  <c r="BV205" i="9"/>
  <c r="BV423" i="9"/>
  <c r="BV157" i="9"/>
  <c r="BV253" i="9"/>
  <c r="BV250" i="9"/>
  <c r="BV405" i="9"/>
  <c r="BV78" i="9"/>
  <c r="BV99" i="9"/>
  <c r="BV373" i="9"/>
  <c r="BT191" i="9"/>
  <c r="BT259" i="9"/>
  <c r="BT173" i="9"/>
  <c r="BT86" i="9"/>
  <c r="BT87" i="9"/>
  <c r="BT30" i="9"/>
  <c r="BT304" i="9"/>
  <c r="BT315" i="9"/>
  <c r="BT321" i="9"/>
  <c r="BT177" i="9"/>
  <c r="BT340" i="9"/>
  <c r="BT38" i="9"/>
  <c r="BT261" i="9"/>
  <c r="BT335" i="9"/>
  <c r="BT255" i="9"/>
  <c r="BT74" i="9"/>
  <c r="BT419" i="9"/>
  <c r="BT219" i="9"/>
  <c r="BT168" i="9"/>
  <c r="BT95" i="9"/>
  <c r="BT51" i="9"/>
  <c r="BT220" i="9"/>
  <c r="BT349" i="9"/>
  <c r="BT343" i="9"/>
  <c r="BT184" i="9"/>
  <c r="BT297" i="9"/>
  <c r="BT301" i="9"/>
  <c r="BT171" i="9"/>
  <c r="BT438" i="9"/>
  <c r="BT134" i="9"/>
  <c r="BT79" i="9"/>
  <c r="BT66" i="9"/>
  <c r="BT210" i="9"/>
  <c r="BT102" i="9"/>
  <c r="BT283" i="9"/>
  <c r="BT432" i="9"/>
  <c r="BV149" i="9"/>
  <c r="BV84" i="9"/>
  <c r="BV104" i="9"/>
  <c r="BV276" i="9"/>
  <c r="BV29" i="9"/>
  <c r="BV391" i="9"/>
  <c r="BV327" i="9"/>
  <c r="BV34" i="9"/>
  <c r="BV112" i="9"/>
  <c r="BV151" i="9"/>
  <c r="BV396" i="9"/>
  <c r="BV41" i="9"/>
  <c r="BV245" i="9"/>
  <c r="BV93" i="9"/>
  <c r="BV178" i="9"/>
  <c r="BV336" i="9"/>
  <c r="BV203" i="9"/>
  <c r="BV382" i="9"/>
  <c r="BV422" i="9"/>
  <c r="BV288" i="9"/>
  <c r="BV282" i="9"/>
  <c r="BV55" i="9"/>
  <c r="BV424" i="9"/>
  <c r="BV425" i="9"/>
  <c r="BV294" i="9"/>
  <c r="BV96" i="9"/>
  <c r="BV426" i="9"/>
  <c r="BV160" i="9"/>
  <c r="BV254" i="9"/>
  <c r="BV449" i="9"/>
  <c r="BV332" i="9"/>
  <c r="BV162" i="9"/>
  <c r="BV303" i="9"/>
  <c r="BV429" i="9"/>
  <c r="BV68" i="9"/>
  <c r="BV224" i="9"/>
  <c r="BV186" i="9"/>
  <c r="BT22" i="9"/>
  <c r="BT360" i="9"/>
  <c r="BT195" i="9"/>
  <c r="BT226" i="9"/>
  <c r="BT413" i="9"/>
  <c r="BT378" i="9"/>
  <c r="BT393" i="9"/>
  <c r="BT414" i="9"/>
  <c r="BT35" i="9"/>
  <c r="BT416" i="9"/>
  <c r="BT105" i="9"/>
  <c r="BT39" i="9"/>
  <c r="BT43" i="9"/>
  <c r="BT131" i="9"/>
  <c r="BT280" i="9"/>
  <c r="BT246" i="9"/>
  <c r="BT180" i="9"/>
  <c r="BT381" i="9"/>
  <c r="BT48" i="9"/>
  <c r="BT50" i="9"/>
  <c r="BT227" i="9"/>
  <c r="BT367" i="9"/>
  <c r="BT183" i="9"/>
  <c r="BT208" i="9"/>
  <c r="BT116" i="9"/>
  <c r="BT352" i="9"/>
  <c r="BT298" i="9"/>
  <c r="BT353" i="9"/>
  <c r="BT372" i="9"/>
  <c r="BT258" i="9"/>
  <c r="BT127" i="9"/>
  <c r="BT407" i="9"/>
  <c r="BT408" i="9"/>
  <c r="BT148" i="9"/>
  <c r="BT284" i="9"/>
  <c r="BT70" i="9"/>
  <c r="BV325" i="9"/>
  <c r="BV361" i="9"/>
  <c r="BV239" i="9"/>
  <c r="BV72" i="9"/>
  <c r="BV135" i="9"/>
  <c r="BV88" i="9"/>
  <c r="BV150" i="9"/>
  <c r="BV136" i="9"/>
  <c r="BV90" i="9"/>
  <c r="BV140" i="9"/>
  <c r="BV397" i="9"/>
  <c r="BV114" i="9"/>
  <c r="BV44" i="9"/>
  <c r="BV310" i="9"/>
  <c r="BV341" i="9"/>
  <c r="BV143" i="9"/>
  <c r="BV204" i="9"/>
  <c r="BV264" i="9"/>
  <c r="BV265" i="9"/>
  <c r="BV240" i="9"/>
  <c r="BV366" i="9"/>
  <c r="BV257" i="9"/>
  <c r="BV207" i="9"/>
  <c r="BV329" i="9"/>
  <c r="BV118" i="9"/>
  <c r="BV369" i="9"/>
  <c r="BV312" i="9"/>
  <c r="BV63" i="9"/>
  <c r="BV427" i="9"/>
  <c r="BV313" i="9"/>
  <c r="BT333" i="9"/>
  <c r="BT193" i="9"/>
  <c r="BT26" i="9"/>
  <c r="BT121" i="9"/>
  <c r="BT109" i="9"/>
  <c r="BT326" i="9"/>
  <c r="BT176" i="9"/>
  <c r="BT394" i="9"/>
  <c r="BT316" i="9"/>
  <c r="BT359" i="9"/>
  <c r="BT380" i="9"/>
  <c r="BT287" i="9"/>
  <c r="BT216" i="9"/>
  <c r="BT92" i="9"/>
  <c r="BT399" i="9"/>
  <c r="BT299" i="9"/>
  <c r="BT281" i="9"/>
  <c r="BT347" i="9"/>
  <c r="BT300" i="9"/>
  <c r="BT296" i="9"/>
  <c r="BT169" i="9"/>
  <c r="BT441" i="9"/>
  <c r="BT368" i="9"/>
  <c r="BT249" i="9"/>
  <c r="BT446" i="9"/>
  <c r="BT59" i="9"/>
  <c r="BT330" i="9"/>
  <c r="BT290" i="9"/>
  <c r="BT302" i="9"/>
  <c r="BT221" i="9"/>
  <c r="BT324" i="9"/>
  <c r="BT375" i="9"/>
  <c r="BT211" i="9"/>
  <c r="BT172" i="9"/>
  <c r="BT430" i="9"/>
  <c r="BT346" i="9"/>
  <c r="BV192" i="9"/>
  <c r="BV388" i="9"/>
  <c r="BV120" i="9"/>
  <c r="BV28" i="9"/>
  <c r="BV110" i="9"/>
  <c r="BV362" i="9"/>
  <c r="BV123" i="9"/>
  <c r="BV137" i="9"/>
  <c r="BV36" i="9"/>
  <c r="BV130" i="9"/>
  <c r="BV152" i="9"/>
  <c r="BV91" i="9"/>
  <c r="BV323" i="9"/>
  <c r="BV217" i="9"/>
  <c r="BV218" i="9"/>
  <c r="BV132" i="9"/>
  <c r="BV317" i="9"/>
  <c r="BV305" i="9"/>
  <c r="BV248" i="9"/>
  <c r="BV144" i="9"/>
  <c r="BV155" i="9"/>
  <c r="BV156" i="9"/>
  <c r="BV289" i="9"/>
  <c r="BV170" i="9"/>
  <c r="BV58" i="9"/>
  <c r="BV159" i="9"/>
  <c r="BV97" i="9"/>
  <c r="BV320" i="9"/>
  <c r="BV442" i="9"/>
  <c r="BV238" i="9"/>
  <c r="BV147" i="9"/>
  <c r="BV443" i="9"/>
  <c r="BV231" i="9"/>
  <c r="BV387" i="9"/>
  <c r="BV274" i="9"/>
  <c r="BV81" i="9"/>
  <c r="BV49" i="9"/>
  <c r="BT314" i="9"/>
  <c r="BT25" i="9"/>
  <c r="BT27" i="9"/>
  <c r="BT285" i="9"/>
  <c r="BT243" i="9"/>
  <c r="BT31" i="9"/>
  <c r="BT260" i="9"/>
  <c r="BT440" i="9"/>
  <c r="BT395" i="9"/>
  <c r="BT138" i="9"/>
  <c r="BT364" i="9"/>
  <c r="BT40" i="9"/>
  <c r="BT444" i="9"/>
  <c r="BT365" i="9"/>
  <c r="BT142" i="9"/>
  <c r="BT247" i="9"/>
  <c r="BT342" i="9"/>
  <c r="BT348" i="9"/>
  <c r="BT383" i="9"/>
  <c r="BT154" i="9"/>
  <c r="BT75" i="9"/>
  <c r="BT228" i="9"/>
  <c r="BT56" i="9"/>
  <c r="BT386" i="9"/>
  <c r="BT117" i="9"/>
  <c r="BT295" i="9"/>
  <c r="BT331" i="9"/>
  <c r="BT229" i="9"/>
  <c r="BT268" i="9"/>
  <c r="BT222" i="9"/>
  <c r="BT337" i="9"/>
  <c r="BT271" i="9"/>
  <c r="BT338" i="9"/>
  <c r="BT67" i="9"/>
  <c r="BT188" i="9"/>
  <c r="BT103" i="9"/>
  <c r="BV24" i="9"/>
  <c r="BV215" i="9"/>
  <c r="BV175" i="9"/>
  <c r="BV390" i="9"/>
  <c r="BV129" i="9"/>
  <c r="BV392" i="9"/>
  <c r="BV379" i="9"/>
  <c r="BV437" i="9"/>
  <c r="BV307" i="9"/>
  <c r="BV278" i="9"/>
  <c r="BV322" i="9"/>
  <c r="BV309" i="9"/>
  <c r="BV398" i="9"/>
  <c r="BV328" i="9"/>
  <c r="BV167" i="9"/>
  <c r="BV94" i="9"/>
  <c r="BV181" i="9"/>
  <c r="BT447" i="9"/>
  <c r="BT194" i="9"/>
  <c r="BT174" i="9"/>
  <c r="BT122" i="9"/>
  <c r="BT196" i="9"/>
  <c r="BT111" i="9"/>
  <c r="BT291" i="9"/>
  <c r="BT286" i="9"/>
  <c r="BT89" i="9"/>
  <c r="BT198" i="9"/>
  <c r="BT417" i="9"/>
  <c r="BT113" i="9"/>
  <c r="BT275" i="9"/>
  <c r="BT201" i="9"/>
  <c r="BT125" i="9"/>
  <c r="BT202" i="9"/>
  <c r="BT235" i="9"/>
  <c r="BT47" i="9"/>
  <c r="BT311" i="9"/>
  <c r="BT236" i="9"/>
  <c r="BT76" i="9"/>
  <c r="BT205" i="9"/>
  <c r="BT423" i="9"/>
  <c r="BT157" i="9"/>
  <c r="BT253" i="9"/>
  <c r="BT250" i="9"/>
  <c r="BT405" i="9"/>
  <c r="BT78" i="9"/>
  <c r="BT99" i="9"/>
  <c r="BT373" i="9"/>
  <c r="BT65" i="9"/>
  <c r="BT355" i="9"/>
  <c r="BT101" i="9"/>
  <c r="BT212" i="9"/>
  <c r="BT164" i="9"/>
  <c r="BT358" i="9"/>
  <c r="BV190" i="9"/>
  <c r="BV214" i="9"/>
  <c r="BV436" i="9"/>
  <c r="BV71" i="9"/>
  <c r="BV412" i="9"/>
  <c r="BV319" i="9"/>
  <c r="BV252" i="9"/>
  <c r="BV334" i="9"/>
  <c r="BV244" i="9"/>
  <c r="BV415" i="9"/>
  <c r="BV279" i="9"/>
  <c r="BV37" i="9"/>
  <c r="BV199" i="9"/>
  <c r="BV124" i="9"/>
  <c r="BV262" i="9"/>
  <c r="BV73" i="9"/>
  <c r="BV256" i="9"/>
  <c r="BV445" i="9"/>
  <c r="BV421" i="9"/>
  <c r="BV402" i="9"/>
  <c r="BV292" i="9"/>
  <c r="BV318" i="9"/>
  <c r="BV448" i="9"/>
  <c r="BV350" i="9"/>
  <c r="BV357" i="9"/>
  <c r="BT23" i="9"/>
  <c r="BT411" i="9"/>
  <c r="BT433" i="9"/>
  <c r="BT32" i="9"/>
  <c r="BT166" i="9"/>
  <c r="BT356" i="9"/>
  <c r="BT200" i="9"/>
  <c r="BT115" i="9"/>
  <c r="BT263" i="9"/>
  <c r="BT126" i="9"/>
  <c r="BT106" i="9"/>
  <c r="BT57" i="9"/>
  <c r="BT185" i="9"/>
  <c r="BT61" i="9"/>
  <c r="BT344" i="9"/>
  <c r="BT270" i="9"/>
  <c r="BT377" i="9"/>
  <c r="BT431" i="9"/>
  <c r="BV439" i="9"/>
  <c r="BV85" i="9"/>
  <c r="BV197" i="9"/>
  <c r="BV83" i="9"/>
  <c r="BV339" i="9"/>
  <c r="BV308" i="9"/>
  <c r="BV141" i="9"/>
  <c r="BV45" i="9"/>
  <c r="BV182" i="9"/>
  <c r="BV401" i="9"/>
  <c r="BV106" i="9"/>
  <c r="BV368" i="9"/>
  <c r="BV184" i="9"/>
  <c r="BV404" i="9"/>
  <c r="BV171" i="9"/>
  <c r="BV344" i="9"/>
  <c r="BV79" i="9"/>
  <c r="BV271" i="9"/>
  <c r="BV101" i="9"/>
  <c r="BV345" i="9"/>
  <c r="BV69" i="9"/>
  <c r="BV46" i="9"/>
  <c r="BV343" i="9"/>
  <c r="BV158" i="9"/>
  <c r="BV258" i="9"/>
  <c r="BT80" i="9"/>
  <c r="BT234" i="9"/>
  <c r="BT403" i="9"/>
  <c r="BT165" i="9"/>
  <c r="BV363" i="9"/>
  <c r="BV330" i="9"/>
  <c r="BV267" i="9"/>
  <c r="BT276" i="9"/>
  <c r="BT93" i="9"/>
  <c r="BT55" i="9"/>
  <c r="BT160" i="9"/>
  <c r="BT429" i="9"/>
  <c r="BV340" i="9"/>
  <c r="BV168" i="9"/>
  <c r="BV331" i="9"/>
  <c r="BV371" i="9"/>
  <c r="BV225" i="9"/>
  <c r="BT136" i="9"/>
  <c r="BT264" i="9"/>
  <c r="BT149" i="9"/>
  <c r="BT104" i="9"/>
  <c r="BT29" i="9"/>
  <c r="BT327" i="9"/>
  <c r="BT112" i="9"/>
  <c r="BT396" i="9"/>
  <c r="BT245" i="9"/>
  <c r="BT178" i="9"/>
  <c r="BT203" i="9"/>
  <c r="BT422" i="9"/>
  <c r="BT282" i="9"/>
  <c r="BT424" i="9"/>
  <c r="BT294" i="9"/>
  <c r="BT426" i="9"/>
  <c r="BT254" i="9"/>
  <c r="BT332" i="9"/>
  <c r="BT303" i="9"/>
  <c r="BT68" i="9"/>
  <c r="BV259" i="9"/>
  <c r="BV86" i="9"/>
  <c r="BV30" i="9"/>
  <c r="BV315" i="9"/>
  <c r="BV177" i="9"/>
  <c r="BV38" i="9"/>
  <c r="BV335" i="9"/>
  <c r="BV74" i="9"/>
  <c r="BV219" i="9"/>
  <c r="BV95" i="9"/>
  <c r="BV52" i="9"/>
  <c r="BV56" i="9"/>
  <c r="BV116" i="9"/>
  <c r="BV370" i="9"/>
  <c r="BV353" i="9"/>
  <c r="BV230" i="9"/>
  <c r="BV127" i="9"/>
  <c r="BV209" i="9"/>
  <c r="BV272" i="9"/>
  <c r="BV273" i="9"/>
  <c r="BV432" i="9"/>
  <c r="BV189" i="9"/>
  <c r="BV70" i="9"/>
  <c r="BV337" i="9"/>
  <c r="BV283" i="9"/>
  <c r="BV346" i="9"/>
  <c r="BT141" i="9"/>
  <c r="BT53" i="9"/>
  <c r="BT146" i="9"/>
  <c r="BT374" i="9"/>
  <c r="BV80" i="9"/>
  <c r="BV234" i="9"/>
  <c r="BV441" i="9"/>
  <c r="BV298" i="9"/>
  <c r="BV430" i="9"/>
  <c r="BT139" i="9"/>
  <c r="BT145" i="9"/>
  <c r="BT98" i="9"/>
  <c r="BT351" i="9"/>
  <c r="BV233" i="9"/>
  <c r="BV420" i="9"/>
  <c r="BV221" i="9"/>
  <c r="BT151" i="9"/>
  <c r="BT288" i="9"/>
  <c r="BT449" i="9"/>
  <c r="BT224" i="9"/>
  <c r="BV304" i="9"/>
  <c r="BV255" i="9"/>
  <c r="BV119" i="9"/>
  <c r="BV172" i="9"/>
  <c r="BT361" i="9"/>
  <c r="BT325" i="9"/>
  <c r="BT239" i="9"/>
  <c r="BT135" i="9"/>
  <c r="BT150" i="9"/>
  <c r="BT90" i="9"/>
  <c r="BT397" i="9"/>
  <c r="BT44" i="9"/>
  <c r="BT341" i="9"/>
  <c r="BT204" i="9"/>
  <c r="BT265" i="9"/>
  <c r="BT366" i="9"/>
  <c r="BT207" i="9"/>
  <c r="BT118" i="9"/>
  <c r="BT312" i="9"/>
  <c r="BT186" i="9"/>
  <c r="BT313" i="9"/>
  <c r="BT272" i="9"/>
  <c r="BT213" i="9"/>
  <c r="BV360" i="9"/>
  <c r="BV226" i="9"/>
  <c r="BV378" i="9"/>
  <c r="BV414" i="9"/>
  <c r="BV416" i="9"/>
  <c r="BV39" i="9"/>
  <c r="BV131" i="9"/>
  <c r="BV246" i="9"/>
  <c r="BV381" i="9"/>
  <c r="BV50" i="9"/>
  <c r="BV53" i="9"/>
  <c r="BV57" i="9"/>
  <c r="BV446" i="9"/>
  <c r="BV77" i="9"/>
  <c r="BV290" i="9"/>
  <c r="BV269" i="9"/>
  <c r="BV324" i="9"/>
  <c r="BV355" i="9"/>
  <c r="BV187" i="9"/>
  <c r="BV163" i="9"/>
  <c r="BT45" i="9"/>
  <c r="BT434" i="9"/>
  <c r="BT241" i="9"/>
  <c r="BT232" i="9"/>
  <c r="BV108" i="9"/>
  <c r="BV139" i="9"/>
  <c r="BV403" i="9"/>
  <c r="BV376" i="9"/>
  <c r="BT33" i="9"/>
  <c r="BT46" i="9"/>
  <c r="BT54" i="9"/>
  <c r="BT404" i="9"/>
  <c r="BV277" i="9"/>
  <c r="BV42" i="9"/>
  <c r="BV179" i="9"/>
  <c r="BV208" i="9"/>
  <c r="BV100" i="9"/>
  <c r="BV358" i="9"/>
  <c r="BT41" i="9"/>
  <c r="BT425" i="9"/>
  <c r="BV87" i="9"/>
  <c r="BV321" i="9"/>
  <c r="BV261" i="9"/>
  <c r="BV210" i="9"/>
  <c r="BV431" i="9"/>
  <c r="BT114" i="9"/>
  <c r="BT192" i="9"/>
  <c r="BT120" i="9"/>
  <c r="BT110" i="9"/>
  <c r="BT123" i="9"/>
  <c r="BT36" i="9"/>
  <c r="BT152" i="9"/>
  <c r="BT323" i="9"/>
  <c r="BT218" i="9"/>
  <c r="BT317" i="9"/>
  <c r="BT248" i="9"/>
  <c r="BT155" i="9"/>
  <c r="BT289" i="9"/>
  <c r="BT58" i="9"/>
  <c r="BT97" i="9"/>
  <c r="BT442" i="9"/>
  <c r="BT147" i="9"/>
  <c r="BT231" i="9"/>
  <c r="BT274" i="9"/>
  <c r="BV193" i="9"/>
  <c r="BV121" i="9"/>
  <c r="BV326" i="9"/>
  <c r="BV394" i="9"/>
  <c r="BV359" i="9"/>
  <c r="BV287" i="9"/>
  <c r="BV92" i="9"/>
  <c r="BV299" i="9"/>
  <c r="BV347" i="9"/>
  <c r="BV296" i="9"/>
  <c r="BV220" i="9"/>
  <c r="BV385" i="9"/>
  <c r="BV117" i="9"/>
  <c r="BV60" i="9"/>
  <c r="BV229" i="9"/>
  <c r="BV133" i="9"/>
  <c r="BV107" i="9"/>
  <c r="BT182" i="9"/>
  <c r="BT163" i="9"/>
  <c r="BV128" i="9"/>
  <c r="BV418" i="9"/>
  <c r="BV65" i="9"/>
  <c r="BV102" i="9"/>
  <c r="BT128" i="9"/>
  <c r="BT418" i="9"/>
  <c r="BT209" i="9"/>
  <c r="BV450" i="9"/>
  <c r="BV153" i="9"/>
  <c r="BV384" i="9"/>
  <c r="BV148" i="9"/>
  <c r="BT84" i="9"/>
  <c r="BT391" i="9"/>
  <c r="BT96" i="9"/>
  <c r="BT162" i="9"/>
  <c r="BV191" i="9"/>
  <c r="BV419" i="9"/>
  <c r="BV222" i="9"/>
  <c r="BT88" i="9"/>
  <c r="BT310" i="9"/>
  <c r="BT24" i="9"/>
  <c r="BT175" i="9"/>
  <c r="BT129" i="9"/>
  <c r="BT379" i="9"/>
  <c r="BT307" i="9"/>
  <c r="BT322" i="9"/>
  <c r="BT398" i="9"/>
  <c r="BT167" i="9"/>
  <c r="BT181" i="9"/>
  <c r="BT49" i="9"/>
  <c r="BT52" i="9"/>
  <c r="BT385" i="9"/>
  <c r="BT158" i="9"/>
  <c r="BT406" i="9"/>
  <c r="BT230" i="9"/>
  <c r="BT435" i="9"/>
  <c r="BT187" i="9"/>
  <c r="BT410" i="9"/>
  <c r="BV25" i="9"/>
  <c r="BV285" i="9"/>
  <c r="BV31" i="9"/>
  <c r="BV440" i="9"/>
  <c r="BV138" i="9"/>
  <c r="BV40" i="9"/>
  <c r="BV365" i="9"/>
  <c r="BV247" i="9"/>
  <c r="BV348" i="9"/>
  <c r="BV154" i="9"/>
  <c r="BV367" i="9"/>
  <c r="BV434" i="9"/>
  <c r="BV185" i="9"/>
  <c r="BV301" i="9"/>
  <c r="BV98" i="9"/>
  <c r="BV134" i="9"/>
  <c r="BV270" i="9"/>
  <c r="BV428" i="9"/>
  <c r="BV223" i="9"/>
  <c r="BV284" i="9"/>
  <c r="BV103" i="9"/>
  <c r="BT439" i="9"/>
  <c r="BT85" i="9"/>
  <c r="BT197" i="9"/>
  <c r="BT83" i="9"/>
  <c r="BT339" i="9"/>
  <c r="BT308" i="9"/>
  <c r="BT401" i="9"/>
  <c r="BT269" i="9"/>
  <c r="BV33" i="9"/>
  <c r="BV400" i="9"/>
  <c r="BV251" i="9"/>
  <c r="BV165" i="9"/>
  <c r="BT108" i="9"/>
  <c r="BT400" i="9"/>
  <c r="BT237" i="9"/>
  <c r="BV389" i="9"/>
  <c r="BV228" i="9"/>
  <c r="BV146" i="9"/>
  <c r="BV435" i="9"/>
  <c r="BV188" i="9"/>
  <c r="BT34" i="9"/>
  <c r="BT336" i="9"/>
  <c r="BT382" i="9"/>
  <c r="BV173" i="9"/>
  <c r="BV82" i="9"/>
  <c r="BV54" i="9"/>
  <c r="BV249" i="9"/>
  <c r="BV374" i="9"/>
  <c r="BT72" i="9"/>
  <c r="BT140" i="9"/>
  <c r="BT143" i="9"/>
  <c r="BT388" i="9"/>
  <c r="BT130" i="9"/>
  <c r="BT305" i="9"/>
  <c r="BT170" i="9"/>
  <c r="BT238" i="9"/>
  <c r="BV333" i="9"/>
  <c r="BV176" i="9"/>
  <c r="BV216" i="9"/>
  <c r="BV300" i="9"/>
  <c r="BV145" i="9"/>
  <c r="BV372" i="9"/>
  <c r="BV211" i="9"/>
  <c r="BV23" i="9"/>
  <c r="BV200" i="9"/>
  <c r="BV268" i="9"/>
  <c r="BV409" i="9"/>
  <c r="BT251" i="9"/>
  <c r="BV241" i="9"/>
  <c r="BT94" i="9"/>
  <c r="BT266" i="9"/>
  <c r="BV183" i="9"/>
  <c r="BV22" i="9"/>
  <c r="BV393" i="9"/>
  <c r="BT215" i="9"/>
  <c r="BT278" i="9"/>
  <c r="BT81" i="9"/>
  <c r="BT293" i="9"/>
  <c r="BT354" i="9"/>
  <c r="BV314" i="9"/>
  <c r="BV260" i="9"/>
  <c r="BV444" i="9"/>
  <c r="BV383" i="9"/>
  <c r="BV293" i="9"/>
  <c r="BV302" i="9"/>
  <c r="BV338" i="9"/>
  <c r="BT389" i="9"/>
  <c r="BT233" i="9"/>
  <c r="BT420" i="9"/>
  <c r="BT306" i="9"/>
  <c r="BT242" i="9"/>
  <c r="BV32" i="9"/>
  <c r="BV126" i="9"/>
  <c r="BV306" i="9"/>
  <c r="BV377" i="9"/>
  <c r="BV64" i="9"/>
  <c r="BV213" i="9"/>
  <c r="BV243" i="9"/>
  <c r="BT437" i="9"/>
  <c r="BV356" i="9"/>
  <c r="BV232" i="9"/>
  <c r="BT179" i="9"/>
  <c r="BV386" i="9"/>
  <c r="BT28" i="9"/>
  <c r="BT91" i="9"/>
  <c r="BT240" i="9"/>
  <c r="BT369" i="9"/>
  <c r="BT107" i="9"/>
  <c r="BV195" i="9"/>
  <c r="BV35" i="9"/>
  <c r="BV280" i="9"/>
  <c r="BV51" i="9"/>
  <c r="BV297" i="9"/>
  <c r="BV237" i="9"/>
  <c r="BV67" i="9"/>
  <c r="BT144" i="9"/>
  <c r="BT159" i="9"/>
  <c r="BT443" i="9"/>
  <c r="BV316" i="9"/>
  <c r="BV352" i="9"/>
  <c r="BV351" i="9"/>
  <c r="BT384" i="9"/>
  <c r="BT428" i="9"/>
  <c r="BV142" i="9"/>
  <c r="BV59" i="9"/>
  <c r="BV242" i="9"/>
  <c r="BV212" i="9"/>
  <c r="BT217" i="9"/>
  <c r="BV411" i="9"/>
  <c r="BV115" i="9"/>
  <c r="BV295" i="9"/>
  <c r="BT206" i="9"/>
  <c r="BV410" i="9"/>
  <c r="BV433" i="9"/>
  <c r="BV263" i="9"/>
  <c r="BT427" i="9"/>
  <c r="BT390" i="9"/>
  <c r="BT309" i="9"/>
  <c r="BV26" i="9"/>
  <c r="BV399" i="9"/>
  <c r="BV227" i="9"/>
  <c r="BV354" i="9"/>
  <c r="BT277" i="9"/>
  <c r="BT42" i="9"/>
  <c r="BT370" i="9"/>
  <c r="BV27" i="9"/>
  <c r="BV395" i="9"/>
  <c r="BV169" i="9"/>
  <c r="BT362" i="9"/>
  <c r="BT82" i="9"/>
  <c r="BT77" i="9"/>
  <c r="BT376" i="9"/>
  <c r="BV166" i="9"/>
  <c r="BV75" i="9"/>
  <c r="BV66" i="9"/>
  <c r="BT132" i="9"/>
  <c r="BV342" i="9"/>
  <c r="BV349" i="9"/>
  <c r="BV407" i="9"/>
  <c r="BT267" i="9"/>
  <c r="BV62" i="9"/>
  <c r="BT450" i="9"/>
  <c r="BT329" i="9"/>
  <c r="BT225" i="9"/>
  <c r="BV43" i="9"/>
  <c r="BV438" i="9"/>
  <c r="BT392" i="9"/>
  <c r="BT328" i="9"/>
  <c r="BT257" i="9"/>
  <c r="BT63" i="9"/>
  <c r="BT409" i="9"/>
  <c r="BV413" i="9"/>
  <c r="BV105" i="9"/>
  <c r="BV180" i="9"/>
  <c r="BV206" i="9"/>
  <c r="BV61" i="9"/>
  <c r="BV161" i="9"/>
  <c r="BV164" i="9"/>
  <c r="BT363" i="9"/>
  <c r="BT153" i="9"/>
  <c r="BT156" i="9"/>
  <c r="BT320" i="9"/>
  <c r="BT387" i="9"/>
  <c r="BV109" i="9"/>
  <c r="BV380" i="9"/>
  <c r="BV281" i="9"/>
  <c r="BV266" i="9"/>
  <c r="BV406" i="9"/>
  <c r="BT137" i="9"/>
  <c r="BT345" i="9"/>
  <c r="BV364" i="9"/>
  <c r="BT273" i="9"/>
  <c r="BV375" i="9"/>
  <c r="BV48" i="9"/>
  <c r="BV408" i="9"/>
  <c r="BI176" i="9"/>
  <c r="BI30" i="9"/>
  <c r="BI130" i="9"/>
  <c r="BI150" i="9"/>
  <c r="BI134" i="9"/>
  <c r="BI79" i="9"/>
  <c r="BI216" i="9"/>
  <c r="BI136" i="9"/>
  <c r="BI38" i="9"/>
  <c r="BI104" i="9"/>
  <c r="BI153" i="9"/>
  <c r="BI86" i="9"/>
  <c r="BI45" i="9"/>
  <c r="BI72" i="9"/>
  <c r="BI232" i="9"/>
  <c r="BI76" i="9"/>
  <c r="BI192" i="9"/>
  <c r="BI242" i="9"/>
  <c r="BI50" i="9"/>
  <c r="BK199" i="9"/>
  <c r="BK60" i="9"/>
  <c r="BK161" i="9"/>
  <c r="BK211" i="9"/>
  <c r="BK135" i="9"/>
  <c r="BK80" i="9"/>
  <c r="BK64" i="9"/>
  <c r="BK166" i="9"/>
  <c r="BK110" i="9"/>
  <c r="BK105" i="9"/>
  <c r="BK122" i="9"/>
  <c r="BK87" i="9"/>
  <c r="BK108" i="9"/>
  <c r="BK146" i="9"/>
  <c r="BK235" i="9"/>
  <c r="BK113" i="9"/>
  <c r="BK158" i="9"/>
  <c r="BK243" i="9"/>
  <c r="BK51" i="9"/>
  <c r="BI119" i="9"/>
  <c r="BI25" i="9"/>
  <c r="BI231" i="9"/>
  <c r="BI205" i="9"/>
  <c r="BK96" i="9"/>
  <c r="BK112" i="9"/>
  <c r="BI60" i="9"/>
  <c r="BI135" i="9"/>
  <c r="BI87" i="9"/>
  <c r="BI146" i="9"/>
  <c r="BI51" i="9"/>
  <c r="BK30" i="9"/>
  <c r="BK150" i="9"/>
  <c r="BK134" i="9"/>
  <c r="BK153" i="9"/>
  <c r="BK45" i="9"/>
  <c r="BK232" i="9"/>
  <c r="BI181" i="9"/>
  <c r="BI221" i="9"/>
  <c r="BI58" i="9"/>
  <c r="BK147" i="9"/>
  <c r="BK85" i="9"/>
  <c r="BK39" i="9"/>
  <c r="BK101" i="9"/>
  <c r="BK196" i="9"/>
  <c r="BK245" i="9"/>
  <c r="BI133" i="9"/>
  <c r="BI111" i="9"/>
  <c r="BI92" i="9"/>
  <c r="BI147" i="9"/>
  <c r="BI206" i="9"/>
  <c r="BI179" i="9"/>
  <c r="BI182" i="9"/>
  <c r="BI33" i="9"/>
  <c r="BI85" i="9"/>
  <c r="BI151" i="9"/>
  <c r="BI220" i="9"/>
  <c r="BI39" i="9"/>
  <c r="BI203" i="9"/>
  <c r="BI101" i="9"/>
  <c r="BI70" i="9"/>
  <c r="BI107" i="9"/>
  <c r="BI230" i="9"/>
  <c r="BI74" i="9"/>
  <c r="BI196" i="9"/>
  <c r="BI239" i="9"/>
  <c r="BI193" i="9"/>
  <c r="BI245" i="9"/>
  <c r="BK94" i="9"/>
  <c r="BK178" i="9"/>
  <c r="BK181" i="9"/>
  <c r="BK212" i="9"/>
  <c r="BK120" i="9"/>
  <c r="BK81" i="9"/>
  <c r="BK65" i="9"/>
  <c r="BK221" i="9"/>
  <c r="BK184" i="9"/>
  <c r="BK145" i="9"/>
  <c r="BK43" i="9"/>
  <c r="BK156" i="9"/>
  <c r="BK71" i="9"/>
  <c r="BK125" i="9"/>
  <c r="BK99" i="9"/>
  <c r="BK58" i="9"/>
  <c r="BK128" i="9"/>
  <c r="BK28" i="9"/>
  <c r="BK52" i="9"/>
  <c r="BI198" i="9"/>
  <c r="BI124" i="9"/>
  <c r="BK59" i="9"/>
  <c r="BK32" i="9"/>
  <c r="BK62" i="9"/>
  <c r="BK41" i="9"/>
  <c r="BK44" i="9"/>
  <c r="BK229" i="9"/>
  <c r="BK204" i="9"/>
  <c r="BI64" i="9"/>
  <c r="BI122" i="9"/>
  <c r="BI158" i="9"/>
  <c r="BI243" i="9"/>
  <c r="BK216" i="9"/>
  <c r="BK72" i="9"/>
  <c r="BK50" i="9"/>
  <c r="BI178" i="9"/>
  <c r="BI65" i="9"/>
  <c r="BI156" i="9"/>
  <c r="BI125" i="9"/>
  <c r="BK206" i="9"/>
  <c r="BK203" i="9"/>
  <c r="BK193" i="9"/>
  <c r="BI78" i="9"/>
  <c r="BI37" i="9"/>
  <c r="BI138" i="9"/>
  <c r="BI77" i="9"/>
  <c r="BI93" i="9"/>
  <c r="BI31" i="9"/>
  <c r="BI208" i="9"/>
  <c r="BI162" i="9"/>
  <c r="BI34" i="9"/>
  <c r="BI103" i="9"/>
  <c r="BI168" i="9"/>
  <c r="BI36" i="9"/>
  <c r="BI223" i="9"/>
  <c r="BI98" i="9"/>
  <c r="BI42" i="9"/>
  <c r="BI186" i="9"/>
  <c r="BI175" i="9"/>
  <c r="BI47" i="9"/>
  <c r="BI127" i="9"/>
  <c r="BI236" i="9"/>
  <c r="BI48" i="9"/>
  <c r="BI49" i="9"/>
  <c r="BI29" i="9"/>
  <c r="BK177" i="9"/>
  <c r="BK129" i="9"/>
  <c r="BK209" i="9"/>
  <c r="BK133" i="9"/>
  <c r="BK78" i="9"/>
  <c r="BK215" i="9"/>
  <c r="BK195" i="9"/>
  <c r="BK37" i="9"/>
  <c r="BK40" i="9"/>
  <c r="BK138" i="9"/>
  <c r="BK154" i="9"/>
  <c r="BK169" i="9"/>
  <c r="BK111" i="9"/>
  <c r="BK188" i="9"/>
  <c r="BK57" i="9"/>
  <c r="BK191" i="9"/>
  <c r="BK77" i="9"/>
  <c r="BK90" i="9"/>
  <c r="BK92" i="9"/>
  <c r="BK55" i="9"/>
  <c r="BI143" i="9"/>
  <c r="BI66" i="9"/>
  <c r="BI234" i="9"/>
  <c r="BK194" i="9"/>
  <c r="BK164" i="9"/>
  <c r="BK224" i="9"/>
  <c r="BK148" i="9"/>
  <c r="BI199" i="9"/>
  <c r="BI110" i="9"/>
  <c r="BI235" i="9"/>
  <c r="BK130" i="9"/>
  <c r="BK104" i="9"/>
  <c r="BK242" i="9"/>
  <c r="BI212" i="9"/>
  <c r="BI145" i="9"/>
  <c r="BI99" i="9"/>
  <c r="BI52" i="9"/>
  <c r="BK182" i="9"/>
  <c r="BK107" i="9"/>
  <c r="BK239" i="9"/>
  <c r="BI209" i="9"/>
  <c r="BI40" i="9"/>
  <c r="BI154" i="9"/>
  <c r="BI169" i="9"/>
  <c r="BI191" i="9"/>
  <c r="BI197" i="9"/>
  <c r="BI116" i="9"/>
  <c r="BI180" i="9"/>
  <c r="BI132" i="9"/>
  <c r="BI118" i="9"/>
  <c r="BI100" i="9"/>
  <c r="BI217" i="9"/>
  <c r="BI183" i="9"/>
  <c r="BI152" i="9"/>
  <c r="BI174" i="9"/>
  <c r="BI68" i="9"/>
  <c r="BI228" i="9"/>
  <c r="BI46" i="9"/>
  <c r="BI139" i="9"/>
  <c r="BI233" i="9"/>
  <c r="BI237" i="9"/>
  <c r="BI240" i="9"/>
  <c r="BI89" i="9"/>
  <c r="BI173" i="9"/>
  <c r="BK53" i="9"/>
  <c r="BK200" i="9"/>
  <c r="BK131" i="9"/>
  <c r="BK61" i="9"/>
  <c r="BK23" i="9"/>
  <c r="BK121" i="9"/>
  <c r="BK218" i="9"/>
  <c r="BK222" i="9"/>
  <c r="BK246" i="9"/>
  <c r="BK82" i="9"/>
  <c r="BK155" i="9"/>
  <c r="BK26" i="9"/>
  <c r="BK27" i="9"/>
  <c r="BK126" i="9"/>
  <c r="BK75" i="9"/>
  <c r="BK238" i="9"/>
  <c r="BK159" i="9"/>
  <c r="BI84" i="9"/>
  <c r="BI35" i="9"/>
  <c r="BI54" i="9"/>
  <c r="BI226" i="9"/>
  <c r="BI115" i="9"/>
  <c r="BK210" i="9"/>
  <c r="BK185" i="9"/>
  <c r="BK165" i="9"/>
  <c r="BI211" i="9"/>
  <c r="BI166" i="9"/>
  <c r="BI108" i="9"/>
  <c r="BK176" i="9"/>
  <c r="BK38" i="9"/>
  <c r="BK86" i="9"/>
  <c r="BK76" i="9"/>
  <c r="BI94" i="9"/>
  <c r="BI81" i="9"/>
  <c r="BI184" i="9"/>
  <c r="BI28" i="9"/>
  <c r="BK179" i="9"/>
  <c r="BK70" i="9"/>
  <c r="BK74" i="9"/>
  <c r="BI177" i="9"/>
  <c r="BI195" i="9"/>
  <c r="BI57" i="9"/>
  <c r="BI90" i="9"/>
  <c r="BI83" i="9"/>
  <c r="BI22" i="9"/>
  <c r="BI160" i="9"/>
  <c r="BI117" i="9"/>
  <c r="BI214" i="9"/>
  <c r="BI95" i="9"/>
  <c r="BI63" i="9"/>
  <c r="BI137" i="9"/>
  <c r="BI109" i="9"/>
  <c r="BI225" i="9"/>
  <c r="BI97" i="9"/>
  <c r="BI123" i="9"/>
  <c r="BI187" i="9"/>
  <c r="BI56" i="9"/>
  <c r="BI189" i="9"/>
  <c r="BI157" i="9"/>
  <c r="BI114" i="9"/>
  <c r="BI167" i="9"/>
  <c r="BI91" i="9"/>
  <c r="BK149" i="9"/>
  <c r="BK207" i="9"/>
  <c r="BK142" i="9"/>
  <c r="BK213" i="9"/>
  <c r="BK144" i="9"/>
  <c r="BK163" i="9"/>
  <c r="BK219" i="9"/>
  <c r="BK202" i="9"/>
  <c r="BK67" i="9"/>
  <c r="BK227" i="9"/>
  <c r="BK69" i="9"/>
  <c r="BK106" i="9"/>
  <c r="BK170" i="9"/>
  <c r="BK73" i="9"/>
  <c r="BK171" i="9"/>
  <c r="BK172" i="9"/>
  <c r="BK241" i="9"/>
  <c r="BK244" i="9"/>
  <c r="BI141" i="9"/>
  <c r="BI24" i="9"/>
  <c r="BI102" i="9"/>
  <c r="BI88" i="9"/>
  <c r="BI140" i="9"/>
  <c r="BK201" i="9"/>
  <c r="BK190" i="9"/>
  <c r="BI161" i="9"/>
  <c r="BI80" i="9"/>
  <c r="BI105" i="9"/>
  <c r="BI113" i="9"/>
  <c r="BK79" i="9"/>
  <c r="BK136" i="9"/>
  <c r="BK192" i="9"/>
  <c r="BI120" i="9"/>
  <c r="BI43" i="9"/>
  <c r="BI71" i="9"/>
  <c r="BI128" i="9"/>
  <c r="BK33" i="9"/>
  <c r="BK151" i="9"/>
  <c r="BK220" i="9"/>
  <c r="BK230" i="9"/>
  <c r="BI129" i="9"/>
  <c r="BI215" i="9"/>
  <c r="BI188" i="9"/>
  <c r="BI53" i="9"/>
  <c r="BI23" i="9"/>
  <c r="BI246" i="9"/>
  <c r="BI27" i="9"/>
  <c r="BI55" i="9"/>
  <c r="BK180" i="9"/>
  <c r="BK100" i="9"/>
  <c r="BK152" i="9"/>
  <c r="BK228" i="9"/>
  <c r="BK233" i="9"/>
  <c r="BK89" i="9"/>
  <c r="BK175" i="9"/>
  <c r="BI112" i="9"/>
  <c r="BK157" i="9"/>
  <c r="BI131" i="9"/>
  <c r="BK124" i="9"/>
  <c r="BI171" i="9"/>
  <c r="BK34" i="9"/>
  <c r="BK48" i="9"/>
  <c r="BI190" i="9"/>
  <c r="BK139" i="9"/>
  <c r="BI238" i="9"/>
  <c r="BK114" i="9"/>
  <c r="BK119" i="9"/>
  <c r="BI164" i="9"/>
  <c r="BK127" i="9"/>
  <c r="BI149" i="9"/>
  <c r="BI144" i="9"/>
  <c r="BI67" i="9"/>
  <c r="BI170" i="9"/>
  <c r="BI241" i="9"/>
  <c r="BK160" i="9"/>
  <c r="BK95" i="9"/>
  <c r="BK109" i="9"/>
  <c r="BK123" i="9"/>
  <c r="BK189" i="9"/>
  <c r="BK167" i="9"/>
  <c r="BK29" i="9"/>
  <c r="BI194" i="9"/>
  <c r="BK63" i="9"/>
  <c r="BK187" i="9"/>
  <c r="BK143" i="9"/>
  <c r="BK205" i="9"/>
  <c r="BK42" i="9"/>
  <c r="BK116" i="9"/>
  <c r="BK68" i="9"/>
  <c r="BI61" i="9"/>
  <c r="BK137" i="9"/>
  <c r="BI106" i="9"/>
  <c r="BK231" i="9"/>
  <c r="BK103" i="9"/>
  <c r="BI59" i="9"/>
  <c r="BI201" i="9"/>
  <c r="BI224" i="9"/>
  <c r="BI229" i="9"/>
  <c r="BI165" i="9"/>
  <c r="BK141" i="9"/>
  <c r="BK35" i="9"/>
  <c r="BK24" i="9"/>
  <c r="BK25" i="9"/>
  <c r="BK234" i="9"/>
  <c r="BK140" i="9"/>
  <c r="BK173" i="9"/>
  <c r="BI41" i="9"/>
  <c r="BK83" i="9"/>
  <c r="BK225" i="9"/>
  <c r="BI155" i="9"/>
  <c r="BK198" i="9"/>
  <c r="BI219" i="9"/>
  <c r="BI210" i="9"/>
  <c r="BK118" i="9"/>
  <c r="BI222" i="9"/>
  <c r="BK56" i="9"/>
  <c r="BI202" i="9"/>
  <c r="BK115" i="9"/>
  <c r="BK223" i="9"/>
  <c r="BI200" i="9"/>
  <c r="BI121" i="9"/>
  <c r="BI82" i="9"/>
  <c r="BI126" i="9"/>
  <c r="BI159" i="9"/>
  <c r="BK93" i="9"/>
  <c r="BK162" i="9"/>
  <c r="BK168" i="9"/>
  <c r="BK98" i="9"/>
  <c r="BK236" i="9"/>
  <c r="BI62" i="9"/>
  <c r="BK117" i="9"/>
  <c r="BK91" i="9"/>
  <c r="BI75" i="9"/>
  <c r="BK54" i="9"/>
  <c r="BK88" i="9"/>
  <c r="BI142" i="9"/>
  <c r="BK31" i="9"/>
  <c r="BK47" i="9"/>
  <c r="BI185" i="9"/>
  <c r="BK240" i="9"/>
  <c r="BK22" i="9"/>
  <c r="BK97" i="9"/>
  <c r="BI172" i="9"/>
  <c r="BK84" i="9"/>
  <c r="BK102" i="9"/>
  <c r="BI148" i="9"/>
  <c r="BK186" i="9"/>
  <c r="BI207" i="9"/>
  <c r="BI163" i="9"/>
  <c r="BI227" i="9"/>
  <c r="BI73" i="9"/>
  <c r="BI244" i="9"/>
  <c r="BK197" i="9"/>
  <c r="BK132" i="9"/>
  <c r="BK217" i="9"/>
  <c r="BK174" i="9"/>
  <c r="BK46" i="9"/>
  <c r="BK237" i="9"/>
  <c r="BI204" i="9"/>
  <c r="BI218" i="9"/>
  <c r="BK226" i="9"/>
  <c r="BI69" i="9"/>
  <c r="BK36" i="9"/>
  <c r="BI96" i="9"/>
  <c r="BK183" i="9"/>
  <c r="BI26" i="9"/>
  <c r="BK214" i="9"/>
  <c r="BI213" i="9"/>
  <c r="BK66" i="9"/>
  <c r="BI32" i="9"/>
  <c r="BI44" i="9"/>
  <c r="BK208" i="9"/>
  <c r="BK49" i="9"/>
  <c r="AX149" i="9"/>
  <c r="AX129" i="9"/>
  <c r="AX136" i="9"/>
  <c r="AX133" i="9"/>
  <c r="AX158" i="9"/>
  <c r="AX51" i="9"/>
  <c r="AX170" i="9"/>
  <c r="AX57" i="9"/>
  <c r="AX147" i="9"/>
  <c r="AX116" i="9"/>
  <c r="AX74" i="9"/>
  <c r="AX82" i="9"/>
  <c r="AX166" i="9"/>
  <c r="AZ149" i="9"/>
  <c r="AZ129" i="9"/>
  <c r="AZ136" i="9"/>
  <c r="AZ133" i="9"/>
  <c r="AZ158" i="9"/>
  <c r="AZ51" i="9"/>
  <c r="AZ170" i="9"/>
  <c r="AZ57" i="9"/>
  <c r="AZ147" i="9"/>
  <c r="AZ116" i="9"/>
  <c r="AZ74" i="9"/>
  <c r="AZ82" i="9"/>
  <c r="AZ166" i="9"/>
  <c r="AX73" i="9"/>
  <c r="AX60" i="9"/>
  <c r="AZ32" i="9"/>
  <c r="AZ24" i="9"/>
  <c r="AZ150" i="9"/>
  <c r="AX65" i="9"/>
  <c r="AX53" i="9"/>
  <c r="AX38" i="9"/>
  <c r="AX126" i="9"/>
  <c r="AX95" i="9"/>
  <c r="AZ65" i="9"/>
  <c r="AZ53" i="9"/>
  <c r="AZ38" i="9"/>
  <c r="AZ126" i="9"/>
  <c r="AZ76" i="9"/>
  <c r="AX90" i="9"/>
  <c r="AX162" i="9"/>
  <c r="AZ66" i="9"/>
  <c r="AZ36" i="9"/>
  <c r="AZ164" i="9"/>
  <c r="AX155" i="9"/>
  <c r="AX123" i="9"/>
  <c r="AX86" i="9"/>
  <c r="AZ157" i="9"/>
  <c r="AZ81" i="9"/>
  <c r="AX22" i="9"/>
  <c r="AX49" i="9"/>
  <c r="AX160" i="9"/>
  <c r="AX40" i="9"/>
  <c r="AZ22" i="9"/>
  <c r="AZ49" i="9"/>
  <c r="AX31" i="9"/>
  <c r="AX45" i="9"/>
  <c r="AX144" i="9"/>
  <c r="AX29" i="9"/>
  <c r="AX68" i="9"/>
  <c r="AX79" i="9"/>
  <c r="AX70" i="9"/>
  <c r="AX138" i="9"/>
  <c r="AX134" i="9"/>
  <c r="AX103" i="9"/>
  <c r="AX99" i="9"/>
  <c r="AX63" i="9"/>
  <c r="AX148" i="9"/>
  <c r="AZ31" i="9"/>
  <c r="AZ45" i="9"/>
  <c r="AZ144" i="9"/>
  <c r="AZ29" i="9"/>
  <c r="AZ68" i="9"/>
  <c r="AZ79" i="9"/>
  <c r="AZ70" i="9"/>
  <c r="AZ138" i="9"/>
  <c r="AZ134" i="9"/>
  <c r="AZ103" i="9"/>
  <c r="AZ99" i="9"/>
  <c r="AZ63" i="9"/>
  <c r="AZ148" i="9"/>
  <c r="AZ71" i="9"/>
  <c r="AZ117" i="9"/>
  <c r="AZ78" i="9"/>
  <c r="AX151" i="9"/>
  <c r="AX24" i="9"/>
  <c r="AX150" i="9"/>
  <c r="AX142" i="9"/>
  <c r="AZ111" i="9"/>
  <c r="AX107" i="9"/>
  <c r="AZ167" i="9"/>
  <c r="AZ95" i="9"/>
  <c r="AX27" i="9"/>
  <c r="AX66" i="9"/>
  <c r="AX36" i="9"/>
  <c r="AX164" i="9"/>
  <c r="AZ46" i="9"/>
  <c r="AZ88" i="9"/>
  <c r="AX55" i="9"/>
  <c r="AX39" i="9"/>
  <c r="AX96" i="9"/>
  <c r="AZ155" i="9"/>
  <c r="AZ55" i="9"/>
  <c r="AZ91" i="9"/>
  <c r="AZ96" i="9"/>
  <c r="AX28" i="9"/>
  <c r="AX168" i="9"/>
  <c r="AZ28" i="9"/>
  <c r="AZ168" i="9"/>
  <c r="AX127" i="9"/>
  <c r="AX121" i="9"/>
  <c r="AX132" i="9"/>
  <c r="AX137" i="9"/>
  <c r="AX35" i="9"/>
  <c r="AX69" i="9"/>
  <c r="AX84" i="9"/>
  <c r="AX71" i="9"/>
  <c r="AX89" i="9"/>
  <c r="AX117" i="9"/>
  <c r="AX61" i="9"/>
  <c r="AX42" i="9"/>
  <c r="AX78" i="9"/>
  <c r="AZ127" i="9"/>
  <c r="AZ121" i="9"/>
  <c r="AZ132" i="9"/>
  <c r="AZ137" i="9"/>
  <c r="AZ35" i="9"/>
  <c r="AZ69" i="9"/>
  <c r="AZ84" i="9"/>
  <c r="AZ89" i="9"/>
  <c r="AZ61" i="9"/>
  <c r="AZ42" i="9"/>
  <c r="AZ64" i="9"/>
  <c r="AX98" i="9"/>
  <c r="AX111" i="9"/>
  <c r="AZ106" i="9"/>
  <c r="AZ101" i="9"/>
  <c r="AX154" i="9"/>
  <c r="AX112" i="9"/>
  <c r="AZ107" i="9"/>
  <c r="AX46" i="9"/>
  <c r="AX56" i="9"/>
  <c r="AX26" i="9"/>
  <c r="AZ27" i="9"/>
  <c r="AZ90" i="9"/>
  <c r="AZ162" i="9"/>
  <c r="AX131" i="9"/>
  <c r="AX118" i="9"/>
  <c r="AZ39" i="9"/>
  <c r="AZ86" i="9"/>
  <c r="AX80" i="9"/>
  <c r="AX104" i="9"/>
  <c r="AX128" i="9"/>
  <c r="AX130" i="9"/>
  <c r="AX145" i="9"/>
  <c r="AX156" i="9"/>
  <c r="AX109" i="9"/>
  <c r="AX52" i="9"/>
  <c r="AX85" i="9"/>
  <c r="AX124" i="9"/>
  <c r="AX114" i="9"/>
  <c r="AX59" i="9"/>
  <c r="AX75" i="9"/>
  <c r="AX83" i="9"/>
  <c r="AX64" i="9"/>
  <c r="AZ128" i="9"/>
  <c r="AZ130" i="9"/>
  <c r="AZ145" i="9"/>
  <c r="AZ156" i="9"/>
  <c r="AZ109" i="9"/>
  <c r="AZ52" i="9"/>
  <c r="AZ85" i="9"/>
  <c r="AZ124" i="9"/>
  <c r="AZ114" i="9"/>
  <c r="AZ59" i="9"/>
  <c r="AZ75" i="9"/>
  <c r="AZ83" i="9"/>
  <c r="AX32" i="9"/>
  <c r="AX106" i="9"/>
  <c r="AX165" i="9"/>
  <c r="AZ98" i="9"/>
  <c r="AZ58" i="9"/>
  <c r="AZ165" i="9"/>
  <c r="AX167" i="9"/>
  <c r="AX76" i="9"/>
  <c r="AZ154" i="9"/>
  <c r="AZ112" i="9"/>
  <c r="AX88" i="9"/>
  <c r="AZ56" i="9"/>
  <c r="AZ141" i="9"/>
  <c r="AX91" i="9"/>
  <c r="AZ131" i="9"/>
  <c r="AZ118" i="9"/>
  <c r="AX135" i="9"/>
  <c r="AX105" i="9"/>
  <c r="AX143" i="9"/>
  <c r="AX122" i="9"/>
  <c r="AX23" i="9"/>
  <c r="AX110" i="9"/>
  <c r="AX25" i="9"/>
  <c r="AX171" i="9"/>
  <c r="AX72" i="9"/>
  <c r="AX139" i="9"/>
  <c r="AX163" i="9"/>
  <c r="AX140" i="9"/>
  <c r="AX97" i="9"/>
  <c r="AX119" i="9"/>
  <c r="AZ105" i="9"/>
  <c r="AZ143" i="9"/>
  <c r="AZ122" i="9"/>
  <c r="AZ23" i="9"/>
  <c r="AZ110" i="9"/>
  <c r="AZ25" i="9"/>
  <c r="AZ171" i="9"/>
  <c r="AZ72" i="9"/>
  <c r="AZ139" i="9"/>
  <c r="AZ163" i="9"/>
  <c r="AZ140" i="9"/>
  <c r="AZ97" i="9"/>
  <c r="AZ119" i="9"/>
  <c r="AX58" i="9"/>
  <c r="AX101" i="9"/>
  <c r="AZ151" i="9"/>
  <c r="AZ73" i="9"/>
  <c r="AZ60" i="9"/>
  <c r="AZ142" i="9"/>
  <c r="AX30" i="9"/>
  <c r="AX102" i="9"/>
  <c r="AZ30" i="9"/>
  <c r="AZ102" i="9"/>
  <c r="AX54" i="9"/>
  <c r="AX141" i="9"/>
  <c r="AZ54" i="9"/>
  <c r="AZ26" i="9"/>
  <c r="AX152" i="9"/>
  <c r="AX157" i="9"/>
  <c r="AX81" i="9"/>
  <c r="AZ152" i="9"/>
  <c r="AZ123" i="9"/>
  <c r="AX47" i="9"/>
  <c r="AX146" i="9"/>
  <c r="AX92" i="9"/>
  <c r="AZ47" i="9"/>
  <c r="AX120" i="9"/>
  <c r="AX161" i="9"/>
  <c r="AZ80" i="9"/>
  <c r="AZ40" i="9"/>
  <c r="AZ169" i="9"/>
  <c r="AZ33" i="9"/>
  <c r="AX34" i="9"/>
  <c r="AZ153" i="9"/>
  <c r="AX41" i="9"/>
  <c r="AZ48" i="9"/>
  <c r="AZ104" i="9"/>
  <c r="AZ67" i="9"/>
  <c r="AX43" i="9"/>
  <c r="AZ93" i="9"/>
  <c r="AX44" i="9"/>
  <c r="AX87" i="9"/>
  <c r="AX113" i="9"/>
  <c r="AZ41" i="9"/>
  <c r="AZ92" i="9"/>
  <c r="AZ62" i="9"/>
  <c r="AZ77" i="9"/>
  <c r="AZ146" i="9"/>
  <c r="AZ34" i="9"/>
  <c r="AZ43" i="9"/>
  <c r="AX62" i="9"/>
  <c r="AX50" i="9"/>
  <c r="AZ135" i="9"/>
  <c r="AZ115" i="9"/>
  <c r="AX33" i="9"/>
  <c r="AX37" i="9"/>
  <c r="AZ120" i="9"/>
  <c r="AZ159" i="9"/>
  <c r="AZ94" i="9"/>
  <c r="AX153" i="9"/>
  <c r="AX125" i="9"/>
  <c r="AZ160" i="9"/>
  <c r="AZ161" i="9"/>
  <c r="AZ113" i="9"/>
  <c r="AX94" i="9"/>
  <c r="AZ37" i="9"/>
  <c r="AX93" i="9"/>
  <c r="AZ125" i="9"/>
  <c r="AZ100" i="9"/>
  <c r="AZ50" i="9"/>
  <c r="AZ87" i="9"/>
  <c r="AX108" i="9"/>
  <c r="AZ108" i="9"/>
  <c r="AX159" i="9"/>
  <c r="AX48" i="9"/>
  <c r="AX100" i="9"/>
  <c r="AX115" i="9"/>
  <c r="AX67" i="9"/>
  <c r="AZ44" i="9"/>
  <c r="AX77" i="9"/>
  <c r="AX169" i="9"/>
  <c r="AM236" i="9"/>
  <c r="AM31" i="9"/>
  <c r="AM266" i="9"/>
  <c r="AM358" i="9"/>
  <c r="AM238" i="9"/>
  <c r="AM361" i="9"/>
  <c r="AM339" i="9"/>
  <c r="AM364" i="9"/>
  <c r="AM168" i="9"/>
  <c r="AM163" i="9"/>
  <c r="AM120" i="9"/>
  <c r="AM136" i="9"/>
  <c r="AM60" i="9"/>
  <c r="AM179" i="9"/>
  <c r="AM226" i="9"/>
  <c r="AM68" i="9"/>
  <c r="AM71" i="9"/>
  <c r="AM296" i="9"/>
  <c r="AM343" i="9"/>
  <c r="AM385" i="9"/>
  <c r="AM87" i="9"/>
  <c r="AM323" i="9"/>
  <c r="AM304" i="9"/>
  <c r="AM307" i="9"/>
  <c r="AM96" i="9"/>
  <c r="AM102" i="9"/>
  <c r="AM186" i="9"/>
  <c r="AM108" i="9"/>
  <c r="AM247" i="9"/>
  <c r="AM233" i="9"/>
  <c r="AM217" i="9"/>
  <c r="AM399" i="9"/>
  <c r="AO30" i="9"/>
  <c r="AO250" i="9"/>
  <c r="AO267" i="9"/>
  <c r="AO359" i="9"/>
  <c r="AO338" i="9"/>
  <c r="AO41" i="9"/>
  <c r="AO209" i="9"/>
  <c r="AO48" i="9"/>
  <c r="AO177" i="9"/>
  <c r="AO199" i="9"/>
  <c r="AO121" i="9"/>
  <c r="AO191" i="9"/>
  <c r="AO326" i="9"/>
  <c r="AO123" i="9"/>
  <c r="AO241" i="9"/>
  <c r="AO376" i="9"/>
  <c r="AO294" i="9"/>
  <c r="AO126" i="9"/>
  <c r="AO78" i="9"/>
  <c r="AO83" i="9"/>
  <c r="AO301" i="9"/>
  <c r="AO244" i="9"/>
  <c r="AO345" i="9"/>
  <c r="AO308" i="9"/>
  <c r="AO229" i="9"/>
  <c r="AO390" i="9"/>
  <c r="AO106" i="9"/>
  <c r="AO172" i="9"/>
  <c r="AO348" i="9"/>
  <c r="AO26" i="9"/>
  <c r="AO156" i="9"/>
  <c r="AO260" i="9"/>
  <c r="AO320" i="9"/>
  <c r="AM273" i="9"/>
  <c r="AM302" i="9"/>
  <c r="AM28" i="9"/>
  <c r="AM264" i="9"/>
  <c r="AM251" i="9"/>
  <c r="AM174" i="9"/>
  <c r="AM36" i="9"/>
  <c r="AM362" i="9"/>
  <c r="AM150" i="9"/>
  <c r="AM162" i="9"/>
  <c r="AM279" i="9"/>
  <c r="AM52" i="9"/>
  <c r="AM55" i="9"/>
  <c r="AM58" i="9"/>
  <c r="AM214" i="9"/>
  <c r="AM291" i="9"/>
  <c r="AM372" i="9"/>
  <c r="AM375" i="9"/>
  <c r="AM201" i="9"/>
  <c r="AM222" i="9"/>
  <c r="AM77" i="9"/>
  <c r="AM82" i="9"/>
  <c r="AM243" i="9"/>
  <c r="AM257" i="9"/>
  <c r="AM166" i="9"/>
  <c r="AM245" i="9"/>
  <c r="AM311" i="9"/>
  <c r="AM230" i="9"/>
  <c r="AM104" i="9"/>
  <c r="AM395" i="9"/>
  <c r="AM318" i="9"/>
  <c r="AM398" i="9"/>
  <c r="AM350" i="9"/>
  <c r="AM130" i="9"/>
  <c r="AO203" i="9"/>
  <c r="AO354" i="9"/>
  <c r="AO35" i="9"/>
  <c r="AO360" i="9"/>
  <c r="AO272" i="9"/>
  <c r="AO335" i="9"/>
  <c r="AO44" i="9"/>
  <c r="AO277" i="9"/>
  <c r="AO51" i="9"/>
  <c r="AO285" i="9"/>
  <c r="AO132" i="9"/>
  <c r="AO122" i="9"/>
  <c r="AO61" i="9"/>
  <c r="AO371" i="9"/>
  <c r="AO254" i="9"/>
  <c r="AO170" i="9"/>
  <c r="AO295" i="9"/>
  <c r="AO403" i="9"/>
  <c r="AO227" i="9"/>
  <c r="AO242" i="9"/>
  <c r="AO127" i="9"/>
  <c r="AO402" i="9"/>
  <c r="AO23" i="9"/>
  <c r="AO94" i="9"/>
  <c r="AO155" i="9"/>
  <c r="AO391" i="9"/>
  <c r="AO393" i="9"/>
  <c r="AO396" i="9"/>
  <c r="AO319" i="9"/>
  <c r="AO235" i="9"/>
  <c r="AO115" i="9"/>
  <c r="AM330" i="9"/>
  <c r="AM45" i="9"/>
  <c r="AM281" i="9"/>
  <c r="AM84" i="9"/>
  <c r="AM90" i="9"/>
  <c r="AM171" i="9"/>
  <c r="AM27" i="9"/>
  <c r="AM149" i="9"/>
  <c r="AM29" i="9"/>
  <c r="AM32" i="9"/>
  <c r="AM34" i="9"/>
  <c r="AM269" i="9"/>
  <c r="AM271" i="9"/>
  <c r="AM40" i="9"/>
  <c r="AM274" i="9"/>
  <c r="AM47" i="9"/>
  <c r="AM280" i="9"/>
  <c r="AM135" i="9"/>
  <c r="AM176" i="9"/>
  <c r="AM340" i="9"/>
  <c r="AM200" i="9"/>
  <c r="AM327" i="9"/>
  <c r="AM373" i="9"/>
  <c r="AM293" i="9"/>
  <c r="AM72" i="9"/>
  <c r="AM381" i="9"/>
  <c r="AM298" i="9"/>
  <c r="AM299" i="9"/>
  <c r="AM88" i="9"/>
  <c r="AM386" i="9"/>
  <c r="AM91" i="9"/>
  <c r="AM388" i="9"/>
  <c r="AM97" i="9"/>
  <c r="AM314" i="9"/>
  <c r="AM105" i="9"/>
  <c r="AM232" i="9"/>
  <c r="AM187" i="9"/>
  <c r="AM188" i="9"/>
  <c r="AM234" i="9"/>
  <c r="AM148" i="9"/>
  <c r="AO262" i="9"/>
  <c r="AO140" i="9"/>
  <c r="AO268" i="9"/>
  <c r="AO330" i="9"/>
  <c r="AO116" i="9"/>
  <c r="AO273" i="9"/>
  <c r="AO45" i="9"/>
  <c r="AO49" i="9"/>
  <c r="AO281" i="9"/>
  <c r="AO224" i="9"/>
  <c r="AO195" i="9"/>
  <c r="AO169" i="9"/>
  <c r="AO62" i="9"/>
  <c r="AO154" i="9"/>
  <c r="AO374" i="9"/>
  <c r="AO69" i="9"/>
  <c r="AO255" i="9"/>
  <c r="AO382" i="9"/>
  <c r="AO384" i="9"/>
  <c r="AO84" i="9"/>
  <c r="AO302" i="9"/>
  <c r="AO90" i="9"/>
  <c r="AO93" i="9"/>
  <c r="AO171" i="9"/>
  <c r="AO99" i="9"/>
  <c r="AO334" i="9"/>
  <c r="AO346" i="9"/>
  <c r="AO317" i="9"/>
  <c r="AO196" i="9"/>
  <c r="AO197" i="9"/>
  <c r="AO27" i="9"/>
  <c r="AO149" i="9"/>
  <c r="AM140" i="9"/>
  <c r="AM49" i="9"/>
  <c r="AM224" i="9"/>
  <c r="AM169" i="9"/>
  <c r="AM255" i="9"/>
  <c r="AM196" i="9"/>
  <c r="AM261" i="9"/>
  <c r="AM353" i="9"/>
  <c r="AM325" i="9"/>
  <c r="AM270" i="9"/>
  <c r="AM37" i="9"/>
  <c r="AM223" i="9"/>
  <c r="AM275" i="9"/>
  <c r="AM239" i="9"/>
  <c r="AM331" i="9"/>
  <c r="AM53" i="9"/>
  <c r="AM286" i="9"/>
  <c r="AM240" i="9"/>
  <c r="AM225" i="9"/>
  <c r="AM192" i="9"/>
  <c r="AM65" i="9"/>
  <c r="AM125" i="9"/>
  <c r="AM379" i="9"/>
  <c r="AM215" i="9"/>
  <c r="AM160" i="9"/>
  <c r="AM221" i="9"/>
  <c r="AM216" i="9"/>
  <c r="AM258" i="9"/>
  <c r="AM92" i="9"/>
  <c r="AM389" i="9"/>
  <c r="AM98" i="9"/>
  <c r="AM103" i="9"/>
  <c r="AM315" i="9"/>
  <c r="AM109" i="9"/>
  <c r="AM397" i="9"/>
  <c r="AM211" i="9"/>
  <c r="AM114" i="9"/>
  <c r="AM249" i="9"/>
  <c r="AO351" i="9"/>
  <c r="AO33" i="9"/>
  <c r="AO356" i="9"/>
  <c r="AO204" i="9"/>
  <c r="AO38" i="9"/>
  <c r="AO363" i="9"/>
  <c r="AO142" i="9"/>
  <c r="AO153" i="9"/>
  <c r="AO282" i="9"/>
  <c r="AO365" i="9"/>
  <c r="AO287" i="9"/>
  <c r="AO59" i="9"/>
  <c r="AO369" i="9"/>
  <c r="AO292" i="9"/>
  <c r="AO164" i="9"/>
  <c r="AO377" i="9"/>
  <c r="AO380" i="9"/>
  <c r="AO74" i="9"/>
  <c r="AO344" i="9"/>
  <c r="AO219" i="9"/>
  <c r="AO89" i="9"/>
  <c r="AO22" i="9"/>
  <c r="AO387" i="9"/>
  <c r="AO95" i="9"/>
  <c r="AO312" i="9"/>
  <c r="AO392" i="9"/>
  <c r="AO324" i="9"/>
  <c r="AO202" i="9"/>
  <c r="AO25" i="9"/>
  <c r="AO111" i="9"/>
  <c r="AO194" i="9"/>
  <c r="AO400" i="9"/>
  <c r="AM262" i="9"/>
  <c r="AM154" i="9"/>
  <c r="AM69" i="9"/>
  <c r="AM384" i="9"/>
  <c r="AM317" i="9"/>
  <c r="AM30" i="9"/>
  <c r="AM250" i="9"/>
  <c r="AM267" i="9"/>
  <c r="AM359" i="9"/>
  <c r="AM338" i="9"/>
  <c r="AM41" i="9"/>
  <c r="AM209" i="9"/>
  <c r="AM48" i="9"/>
  <c r="AM177" i="9"/>
  <c r="AM199" i="9"/>
  <c r="AM121" i="9"/>
  <c r="AM191" i="9"/>
  <c r="AM326" i="9"/>
  <c r="AM123" i="9"/>
  <c r="AM241" i="9"/>
  <c r="AM376" i="9"/>
  <c r="AM294" i="9"/>
  <c r="AM126" i="9"/>
  <c r="AM78" i="9"/>
  <c r="AM83" i="9"/>
  <c r="AM301" i="9"/>
  <c r="AM244" i="9"/>
  <c r="AM345" i="9"/>
  <c r="AM308" i="9"/>
  <c r="AM229" i="9"/>
  <c r="AM390" i="9"/>
  <c r="AM106" i="9"/>
  <c r="AM172" i="9"/>
  <c r="AM348" i="9"/>
  <c r="AM26" i="9"/>
  <c r="AM156" i="9"/>
  <c r="AM260" i="9"/>
  <c r="AO218" i="9"/>
  <c r="AO355" i="9"/>
  <c r="AO157" i="9"/>
  <c r="AO337" i="9"/>
  <c r="AO158" i="9"/>
  <c r="AO118" i="9"/>
  <c r="AO152" i="9"/>
  <c r="AO278" i="9"/>
  <c r="AO213" i="9"/>
  <c r="AO54" i="9"/>
  <c r="AO56" i="9"/>
  <c r="AO367" i="9"/>
  <c r="AO210" i="9"/>
  <c r="AO144" i="9"/>
  <c r="AO66" i="9"/>
  <c r="AO342" i="9"/>
  <c r="AO181" i="9"/>
  <c r="AO383" i="9"/>
  <c r="AO182" i="9"/>
  <c r="AO165" i="9"/>
  <c r="AO128" i="9"/>
  <c r="AO151" i="9"/>
  <c r="AO305" i="9"/>
  <c r="AO309" i="9"/>
  <c r="AO129" i="9"/>
  <c r="AO246" i="9"/>
  <c r="AO316" i="9"/>
  <c r="AO167" i="9"/>
  <c r="AO161" i="9"/>
  <c r="AO112" i="9"/>
  <c r="AO329" i="9"/>
  <c r="AO322" i="9"/>
  <c r="AM116" i="9"/>
  <c r="AM195" i="9"/>
  <c r="AM382" i="9"/>
  <c r="AM334" i="9"/>
  <c r="AM197" i="9"/>
  <c r="AM203" i="9"/>
  <c r="AM354" i="9"/>
  <c r="AM35" i="9"/>
  <c r="AM360" i="9"/>
  <c r="AM272" i="9"/>
  <c r="AM335" i="9"/>
  <c r="AM44" i="9"/>
  <c r="AM277" i="9"/>
  <c r="AM51" i="9"/>
  <c r="AM285" i="9"/>
  <c r="AM132" i="9"/>
  <c r="AM122" i="9"/>
  <c r="AM61" i="9"/>
  <c r="AM371" i="9"/>
  <c r="AM254" i="9"/>
  <c r="AM170" i="9"/>
  <c r="AM295" i="9"/>
  <c r="AM403" i="9"/>
  <c r="AM227" i="9"/>
  <c r="AM242" i="9"/>
  <c r="AM127" i="9"/>
  <c r="AM402" i="9"/>
  <c r="AM23" i="9"/>
  <c r="AM94" i="9"/>
  <c r="AM155" i="9"/>
  <c r="AM391" i="9"/>
  <c r="AM393" i="9"/>
  <c r="AM396" i="9"/>
  <c r="AM319" i="9"/>
  <c r="AM320" i="9"/>
  <c r="AM235" i="9"/>
  <c r="AM115" i="9"/>
  <c r="AO139" i="9"/>
  <c r="AO134" i="9"/>
  <c r="AO237" i="9"/>
  <c r="AO141" i="9"/>
  <c r="AO117" i="9"/>
  <c r="AO42" i="9"/>
  <c r="AO46" i="9"/>
  <c r="AO50" i="9"/>
  <c r="AO283" i="9"/>
  <c r="AO143" i="9"/>
  <c r="AO288" i="9"/>
  <c r="AO253" i="9"/>
  <c r="AO63" i="9"/>
  <c r="AO124" i="9"/>
  <c r="AO332" i="9"/>
  <c r="AO70" i="9"/>
  <c r="AO256" i="9"/>
  <c r="AO75" i="9"/>
  <c r="AO79" i="9"/>
  <c r="AO85" i="9"/>
  <c r="AO133" i="9"/>
  <c r="AO303" i="9"/>
  <c r="AO333" i="9"/>
  <c r="AO310" i="9"/>
  <c r="AO313" i="9"/>
  <c r="AO145" i="9"/>
  <c r="AO394" i="9"/>
  <c r="AO138" i="9"/>
  <c r="AO208" i="9"/>
  <c r="AO113" i="9"/>
  <c r="AO173" i="9"/>
  <c r="AO401" i="9"/>
  <c r="AM268" i="9"/>
  <c r="AM62" i="9"/>
  <c r="AM374" i="9"/>
  <c r="AM93" i="9"/>
  <c r="AM99" i="9"/>
  <c r="AM346" i="9"/>
  <c r="AM351" i="9"/>
  <c r="AM237" i="9"/>
  <c r="AM39" i="9"/>
  <c r="AM278" i="9"/>
  <c r="AM366" i="9"/>
  <c r="AM369" i="9"/>
  <c r="AM332" i="9"/>
  <c r="AM73" i="9"/>
  <c r="AM165" i="9"/>
  <c r="AM259" i="9"/>
  <c r="AM312" i="9"/>
  <c r="AM394" i="9"/>
  <c r="AM110" i="9"/>
  <c r="AM322" i="9"/>
  <c r="AO32" i="9"/>
  <c r="AO269" i="9"/>
  <c r="AO40" i="9"/>
  <c r="AO47" i="9"/>
  <c r="AO135" i="9"/>
  <c r="AO340" i="9"/>
  <c r="AO327" i="9"/>
  <c r="AO293" i="9"/>
  <c r="AO381" i="9"/>
  <c r="AO299" i="9"/>
  <c r="AO386" i="9"/>
  <c r="AO388" i="9"/>
  <c r="AO314" i="9"/>
  <c r="AO232" i="9"/>
  <c r="AO188" i="9"/>
  <c r="AO148" i="9"/>
  <c r="AO372" i="9"/>
  <c r="AO318" i="9"/>
  <c r="AM144" i="9"/>
  <c r="AM133" i="9"/>
  <c r="AM207" i="9"/>
  <c r="AO176" i="9"/>
  <c r="AO373" i="9"/>
  <c r="AO105" i="9"/>
  <c r="AM212" i="9"/>
  <c r="AM178" i="9"/>
  <c r="AM329" i="9"/>
  <c r="AO275" i="9"/>
  <c r="AO92" i="9"/>
  <c r="AO98" i="9"/>
  <c r="AM38" i="9"/>
  <c r="AM284" i="9"/>
  <c r="AM25" i="9"/>
  <c r="AM173" i="9"/>
  <c r="AO276" i="9"/>
  <c r="AO24" i="9"/>
  <c r="AO248" i="9"/>
  <c r="AM276" i="9"/>
  <c r="AM248" i="9"/>
  <c r="AM218" i="9"/>
  <c r="AM336" i="9"/>
  <c r="AM363" i="9"/>
  <c r="AM50" i="9"/>
  <c r="AM131" i="9"/>
  <c r="AM210" i="9"/>
  <c r="AM67" i="9"/>
  <c r="AM74" i="9"/>
  <c r="AM85" i="9"/>
  <c r="AM228" i="9"/>
  <c r="AM129" i="9"/>
  <c r="AM24" i="9"/>
  <c r="AM111" i="9"/>
  <c r="AM401" i="9"/>
  <c r="AO353" i="9"/>
  <c r="AO270" i="9"/>
  <c r="AO223" i="9"/>
  <c r="AO239" i="9"/>
  <c r="AO53" i="9"/>
  <c r="AO240" i="9"/>
  <c r="AO192" i="9"/>
  <c r="AO125" i="9"/>
  <c r="AO215" i="9"/>
  <c r="AO221" i="9"/>
  <c r="AO258" i="9"/>
  <c r="AO389" i="9"/>
  <c r="AO103" i="9"/>
  <c r="AO109" i="9"/>
  <c r="AO211" i="9"/>
  <c r="AO249" i="9"/>
  <c r="AO297" i="9"/>
  <c r="AO259" i="9"/>
  <c r="AO347" i="9"/>
  <c r="AO147" i="9"/>
  <c r="AM33" i="9"/>
  <c r="AM57" i="9"/>
  <c r="AM292" i="9"/>
  <c r="AO28" i="9"/>
  <c r="AO150" i="9"/>
  <c r="AO201" i="9"/>
  <c r="AO311" i="9"/>
  <c r="AM142" i="9"/>
  <c r="AM378" i="9"/>
  <c r="AM347" i="9"/>
  <c r="AO200" i="9"/>
  <c r="AO72" i="9"/>
  <c r="AO298" i="9"/>
  <c r="AM95" i="9"/>
  <c r="AM145" i="9"/>
  <c r="AO325" i="9"/>
  <c r="AO65" i="9"/>
  <c r="AO160" i="9"/>
  <c r="AO114" i="9"/>
  <c r="AM46" i="9"/>
  <c r="AM367" i="9"/>
  <c r="AM183" i="9"/>
  <c r="AO190" i="9"/>
  <c r="AO178" i="9"/>
  <c r="AO328" i="9"/>
  <c r="AM265" i="9"/>
  <c r="AM80" i="9"/>
  <c r="AM310" i="9"/>
  <c r="AM139" i="9"/>
  <c r="AM357" i="9"/>
  <c r="AM118" i="9"/>
  <c r="AM119" i="9"/>
  <c r="AM287" i="9"/>
  <c r="AM63" i="9"/>
  <c r="AM180" i="9"/>
  <c r="AM383" i="9"/>
  <c r="AM300" i="9"/>
  <c r="AM387" i="9"/>
  <c r="AM313" i="9"/>
  <c r="AM107" i="9"/>
  <c r="AM112" i="9"/>
  <c r="AO198" i="9"/>
  <c r="AO205" i="9"/>
  <c r="AO43" i="9"/>
  <c r="AO119" i="9"/>
  <c r="AO366" i="9"/>
  <c r="AO368" i="9"/>
  <c r="AO341" i="9"/>
  <c r="AO378" i="9"/>
  <c r="AO300" i="9"/>
  <c r="AO184" i="9"/>
  <c r="AO231" i="9"/>
  <c r="AO189" i="9"/>
  <c r="AO247" i="9"/>
  <c r="AM213" i="9"/>
  <c r="AM128" i="9"/>
  <c r="AM392" i="9"/>
  <c r="AM147" i="9"/>
  <c r="AO279" i="9"/>
  <c r="AO104" i="9"/>
  <c r="AO350" i="9"/>
  <c r="AM289" i="9"/>
  <c r="AM194" i="9"/>
  <c r="AO29" i="9"/>
  <c r="AO274" i="9"/>
  <c r="AO91" i="9"/>
  <c r="AO234" i="9"/>
  <c r="AM152" i="9"/>
  <c r="AM124" i="9"/>
  <c r="AM328" i="9"/>
  <c r="AM146" i="9"/>
  <c r="AO37" i="9"/>
  <c r="AO331" i="9"/>
  <c r="AO225" i="9"/>
  <c r="AO379" i="9"/>
  <c r="AM198" i="9"/>
  <c r="AM380" i="9"/>
  <c r="AM231" i="9"/>
  <c r="AO263" i="9"/>
  <c r="AO80" i="9"/>
  <c r="AO306" i="9"/>
  <c r="AM365" i="9"/>
  <c r="AM22" i="9"/>
  <c r="AM185" i="9"/>
  <c r="AM263" i="9"/>
  <c r="AM204" i="9"/>
  <c r="AM42" i="9"/>
  <c r="AM175" i="9"/>
  <c r="AM56" i="9"/>
  <c r="AM290" i="9"/>
  <c r="AM377" i="9"/>
  <c r="AM75" i="9"/>
  <c r="AM86" i="9"/>
  <c r="AM305" i="9"/>
  <c r="AM100" i="9"/>
  <c r="AM202" i="9"/>
  <c r="AM113" i="9"/>
  <c r="AO265" i="9"/>
  <c r="AO212" i="9"/>
  <c r="AO252" i="9"/>
  <c r="AO175" i="9"/>
  <c r="AO131" i="9"/>
  <c r="AO159" i="9"/>
  <c r="AO64" i="9"/>
  <c r="AO206" i="9"/>
  <c r="AO76" i="9"/>
  <c r="AO86" i="9"/>
  <c r="AO228" i="9"/>
  <c r="AO193" i="9"/>
  <c r="AO185" i="9"/>
  <c r="AO146" i="9"/>
  <c r="AM141" i="9"/>
  <c r="AM70" i="9"/>
  <c r="AM76" i="9"/>
  <c r="AM306" i="9"/>
  <c r="AO36" i="9"/>
  <c r="AO55" i="9"/>
  <c r="AO214" i="9"/>
  <c r="AO77" i="9"/>
  <c r="AO166" i="9"/>
  <c r="AM205" i="9"/>
  <c r="AM344" i="9"/>
  <c r="AO34" i="9"/>
  <c r="AO280" i="9"/>
  <c r="AO97" i="9"/>
  <c r="AM134" i="9"/>
  <c r="AM59" i="9"/>
  <c r="AM182" i="9"/>
  <c r="AO261" i="9"/>
  <c r="AO216" i="9"/>
  <c r="AO315" i="9"/>
  <c r="AM79" i="9"/>
  <c r="AM309" i="9"/>
  <c r="AO57" i="9"/>
  <c r="AO290" i="9"/>
  <c r="AM158" i="9"/>
  <c r="AM64" i="9"/>
  <c r="AM181" i="9"/>
  <c r="AM352" i="9"/>
  <c r="AM337" i="9"/>
  <c r="AM43" i="9"/>
  <c r="AM282" i="9"/>
  <c r="AM288" i="9"/>
  <c r="AM370" i="9"/>
  <c r="AM342" i="9"/>
  <c r="AM297" i="9"/>
  <c r="AM89" i="9"/>
  <c r="AM333" i="9"/>
  <c r="AM101" i="9"/>
  <c r="AM167" i="9"/>
  <c r="AM189" i="9"/>
  <c r="AO236" i="9"/>
  <c r="AO266" i="9"/>
  <c r="AO238" i="9"/>
  <c r="AO339" i="9"/>
  <c r="AO168" i="9"/>
  <c r="AO120" i="9"/>
  <c r="AO60" i="9"/>
  <c r="AO226" i="9"/>
  <c r="AO71" i="9"/>
  <c r="AO343" i="9"/>
  <c r="AO87" i="9"/>
  <c r="AO304" i="9"/>
  <c r="AO96" i="9"/>
  <c r="AO186" i="9"/>
  <c r="AO217" i="9"/>
  <c r="AM252" i="9"/>
  <c r="AM138" i="9"/>
  <c r="AO251" i="9"/>
  <c r="AO243" i="9"/>
  <c r="AM355" i="9"/>
  <c r="AM283" i="9"/>
  <c r="AM246" i="9"/>
  <c r="AO271" i="9"/>
  <c r="AO88" i="9"/>
  <c r="AO187" i="9"/>
  <c r="AM206" i="9"/>
  <c r="AO286" i="9"/>
  <c r="AO397" i="9"/>
  <c r="AM341" i="9"/>
  <c r="AO336" i="9"/>
  <c r="AO67" i="9"/>
  <c r="AO137" i="9"/>
  <c r="AO100" i="9"/>
  <c r="AO349" i="9"/>
  <c r="AM253" i="9"/>
  <c r="AM161" i="9"/>
  <c r="AM356" i="9"/>
  <c r="AM256" i="9"/>
  <c r="AM321" i="9"/>
  <c r="AO162" i="9"/>
  <c r="AO375" i="9"/>
  <c r="AO245" i="9"/>
  <c r="AO130" i="9"/>
  <c r="AO233" i="9"/>
  <c r="AO362" i="9"/>
  <c r="AO398" i="9"/>
  <c r="AM157" i="9"/>
  <c r="AM137" i="9"/>
  <c r="AM400" i="9"/>
  <c r="AO352" i="9"/>
  <c r="AO284" i="9"/>
  <c r="AO73" i="9"/>
  <c r="AO101" i="9"/>
  <c r="AM117" i="9"/>
  <c r="AM81" i="9"/>
  <c r="AO31" i="9"/>
  <c r="AO163" i="9"/>
  <c r="AO296" i="9"/>
  <c r="AO102" i="9"/>
  <c r="AO39" i="9"/>
  <c r="AO110" i="9"/>
  <c r="AM368" i="9"/>
  <c r="AO179" i="9"/>
  <c r="AO291" i="9"/>
  <c r="AM190" i="9"/>
  <c r="AM219" i="9"/>
  <c r="AO264" i="9"/>
  <c r="AO52" i="9"/>
  <c r="AO222" i="9"/>
  <c r="AO230" i="9"/>
  <c r="AM153" i="9"/>
  <c r="AO358" i="9"/>
  <c r="AO136" i="9"/>
  <c r="AO108" i="9"/>
  <c r="AM54" i="9"/>
  <c r="AO174" i="9"/>
  <c r="AO58" i="9"/>
  <c r="AO82" i="9"/>
  <c r="AO395" i="9"/>
  <c r="AO370" i="9"/>
  <c r="AM324" i="9"/>
  <c r="AO323" i="9"/>
  <c r="AM159" i="9"/>
  <c r="AO257" i="9"/>
  <c r="AO399" i="9"/>
  <c r="AM220" i="9"/>
  <c r="AM151" i="9"/>
  <c r="AO357" i="9"/>
  <c r="AO289" i="9"/>
  <c r="AO81" i="9"/>
  <c r="AO107" i="9"/>
  <c r="AM303" i="9"/>
  <c r="AO385" i="9"/>
  <c r="AM184" i="9"/>
  <c r="AM143" i="9"/>
  <c r="AM193" i="9"/>
  <c r="AO183" i="9"/>
  <c r="AO361" i="9"/>
  <c r="AM316" i="9"/>
  <c r="AO68" i="9"/>
  <c r="AO307" i="9"/>
  <c r="AM164" i="9"/>
  <c r="AM208" i="9"/>
  <c r="AO220" i="9"/>
  <c r="AO180" i="9"/>
  <c r="AO207" i="9"/>
  <c r="AO321" i="9"/>
  <c r="AM66" i="9"/>
  <c r="AM349" i="9"/>
  <c r="AO364" i="9"/>
  <c r="AB45" i="9"/>
  <c r="AB78" i="9"/>
  <c r="AB57" i="9"/>
  <c r="AB89" i="9"/>
  <c r="AB68" i="9"/>
  <c r="AB48" i="9"/>
  <c r="AD83" i="9"/>
  <c r="AD73" i="9"/>
  <c r="AD27" i="9"/>
  <c r="AD71" i="9"/>
  <c r="AD69" i="9"/>
  <c r="AD53" i="9"/>
  <c r="AB62" i="9"/>
  <c r="AD82" i="9"/>
  <c r="AD50" i="9"/>
  <c r="AD88" i="9"/>
  <c r="AD92" i="9"/>
  <c r="AD38" i="9"/>
  <c r="AD34" i="9"/>
  <c r="AB85" i="9"/>
  <c r="AD70" i="9"/>
  <c r="AB33" i="9"/>
  <c r="AD59" i="9"/>
  <c r="AD44" i="9"/>
  <c r="AB24" i="9"/>
  <c r="AD45" i="9"/>
  <c r="AB63" i="9"/>
  <c r="AB31" i="9"/>
  <c r="AB26" i="9"/>
  <c r="AB86" i="9"/>
  <c r="AB46" i="9"/>
  <c r="AB90" i="9"/>
  <c r="AB55" i="9"/>
  <c r="AD35" i="9"/>
  <c r="AD79" i="9"/>
  <c r="AD28" i="9"/>
  <c r="AD47" i="9"/>
  <c r="AD52" i="9"/>
  <c r="AD49" i="9"/>
  <c r="AD42" i="9"/>
  <c r="AD23" i="9"/>
  <c r="AD40" i="9"/>
  <c r="AB72" i="9"/>
  <c r="AB82" i="9"/>
  <c r="AD76" i="9"/>
  <c r="AB25" i="9"/>
  <c r="AD30" i="9"/>
  <c r="AD24" i="9"/>
  <c r="AB77" i="9"/>
  <c r="AB34" i="9"/>
  <c r="AD36" i="9"/>
  <c r="AB56" i="9"/>
  <c r="AD57" i="9"/>
  <c r="AD68" i="9"/>
  <c r="AB36" i="9"/>
  <c r="AD86" i="9"/>
  <c r="AB83" i="9"/>
  <c r="AB73" i="9"/>
  <c r="AB27" i="9"/>
  <c r="AB71" i="9"/>
  <c r="AB69" i="9"/>
  <c r="AB53" i="9"/>
  <c r="AD84" i="9"/>
  <c r="AD80" i="9"/>
  <c r="AD32" i="9"/>
  <c r="AD29" i="9"/>
  <c r="AD64" i="9"/>
  <c r="AD91" i="9"/>
  <c r="AD65" i="9"/>
  <c r="AB87" i="9"/>
  <c r="AB65" i="9"/>
  <c r="AD54" i="9"/>
  <c r="AB75" i="9"/>
  <c r="AB60" i="9"/>
  <c r="AD43" i="9"/>
  <c r="AB92" i="9"/>
  <c r="AB76" i="9"/>
  <c r="AB70" i="9"/>
  <c r="AD89" i="9"/>
  <c r="AD48" i="9"/>
  <c r="AD90" i="9"/>
  <c r="AB35" i="9"/>
  <c r="AB79" i="9"/>
  <c r="AB28" i="9"/>
  <c r="AB47" i="9"/>
  <c r="AB52" i="9"/>
  <c r="AB49" i="9"/>
  <c r="AD58" i="9"/>
  <c r="AD81" i="9"/>
  <c r="AD87" i="9"/>
  <c r="AD62" i="9"/>
  <c r="AD66" i="9"/>
  <c r="AB66" i="9"/>
  <c r="AB61" i="9"/>
  <c r="AD25" i="9"/>
  <c r="AB42" i="9"/>
  <c r="AD77" i="9"/>
  <c r="AB74" i="9"/>
  <c r="AD56" i="9"/>
  <c r="AB38" i="9"/>
  <c r="AB43" i="9"/>
  <c r="AB37" i="9"/>
  <c r="AB30" i="9"/>
  <c r="AB67" i="9"/>
  <c r="AB59" i="9"/>
  <c r="AD31" i="9"/>
  <c r="AD26" i="9"/>
  <c r="AD46" i="9"/>
  <c r="AB84" i="9"/>
  <c r="AB80" i="9"/>
  <c r="AB32" i="9"/>
  <c r="AB29" i="9"/>
  <c r="AB64" i="9"/>
  <c r="AB91" i="9"/>
  <c r="AD22" i="9"/>
  <c r="AD61" i="9"/>
  <c r="AD75" i="9"/>
  <c r="AD51" i="9"/>
  <c r="AD72" i="9"/>
  <c r="AD41" i="9"/>
  <c r="AB58" i="9"/>
  <c r="AB81" i="9"/>
  <c r="AD60" i="9"/>
  <c r="AB22" i="9"/>
  <c r="AB51" i="9"/>
  <c r="AB41" i="9"/>
  <c r="AD85" i="9"/>
  <c r="AD74" i="9"/>
  <c r="AB54" i="9"/>
  <c r="AB23" i="9"/>
  <c r="AB40" i="9"/>
  <c r="AD33" i="9"/>
  <c r="AB50" i="9"/>
  <c r="AB88" i="9"/>
  <c r="AD37" i="9"/>
  <c r="AD67" i="9"/>
  <c r="AD39" i="9"/>
  <c r="AD63" i="9"/>
  <c r="AD78" i="9"/>
  <c r="AB39" i="9"/>
  <c r="AB44" i="9"/>
  <c r="AD55" i="9"/>
  <c r="Q103" i="9"/>
  <c r="Q128" i="9"/>
  <c r="Q36" i="9"/>
  <c r="Q133" i="9"/>
  <c r="Q210" i="9"/>
  <c r="Q191" i="9"/>
  <c r="Q39" i="9"/>
  <c r="Q145" i="9"/>
  <c r="Q56" i="9"/>
  <c r="Q152" i="9"/>
  <c r="Q94" i="9"/>
  <c r="Q87" i="9"/>
  <c r="Q159" i="9"/>
  <c r="Q181" i="9"/>
  <c r="Q231" i="9"/>
  <c r="Q183" i="9"/>
  <c r="Q86" i="9"/>
  <c r="Q167" i="9"/>
  <c r="Q255" i="9"/>
  <c r="Q173" i="9"/>
  <c r="S83" i="9"/>
  <c r="S130" i="9"/>
  <c r="S196" i="9"/>
  <c r="S137" i="9"/>
  <c r="S243" i="9"/>
  <c r="S119" i="9"/>
  <c r="S144" i="9"/>
  <c r="S29" i="9"/>
  <c r="S151" i="9"/>
  <c r="S30" i="9"/>
  <c r="S31" i="9"/>
  <c r="S224" i="9"/>
  <c r="S24" i="9"/>
  <c r="S230" i="9"/>
  <c r="S47" i="9"/>
  <c r="S200" i="9"/>
  <c r="S253" i="9"/>
  <c r="S25" i="9"/>
  <c r="S194" i="9"/>
  <c r="S255" i="9"/>
  <c r="Q67" i="9"/>
  <c r="Q92" i="9"/>
  <c r="Q160" i="9"/>
  <c r="Q169" i="9"/>
  <c r="S143" i="9"/>
  <c r="S101" i="9"/>
  <c r="Q35" i="9"/>
  <c r="Q61" i="9"/>
  <c r="Q246" i="9"/>
  <c r="Q64" i="9"/>
  <c r="Q237" i="9"/>
  <c r="S201" i="9"/>
  <c r="S213" i="9"/>
  <c r="S219" i="9"/>
  <c r="S95" i="9"/>
  <c r="S26" i="9"/>
  <c r="Q78" i="9"/>
  <c r="Q148" i="9"/>
  <c r="Q50" i="9"/>
  <c r="Q170" i="9"/>
  <c r="S92" i="9"/>
  <c r="S160" i="9"/>
  <c r="S169" i="9"/>
  <c r="Q59" i="9"/>
  <c r="Q240" i="9"/>
  <c r="Q131" i="9"/>
  <c r="Q88" i="9"/>
  <c r="Q176" i="9"/>
  <c r="Q84" i="9"/>
  <c r="Q91" i="9"/>
  <c r="Q215" i="9"/>
  <c r="Q216" i="9"/>
  <c r="Q153" i="9"/>
  <c r="Q222" i="9"/>
  <c r="Q157" i="9"/>
  <c r="Q180" i="9"/>
  <c r="Q44" i="9"/>
  <c r="Q188" i="9"/>
  <c r="Q164" i="9"/>
  <c r="Q116" i="9"/>
  <c r="Q235" i="9"/>
  <c r="Q185" i="9"/>
  <c r="Q238" i="9"/>
  <c r="S204" i="9"/>
  <c r="S122" i="9"/>
  <c r="S123" i="9"/>
  <c r="S112" i="9"/>
  <c r="S99" i="9"/>
  <c r="S142" i="9"/>
  <c r="S72" i="9"/>
  <c r="S106" i="9"/>
  <c r="S218" i="9"/>
  <c r="S197" i="9"/>
  <c r="S62" i="9"/>
  <c r="S43" i="9"/>
  <c r="S228" i="9"/>
  <c r="S46" i="9"/>
  <c r="S32" i="9"/>
  <c r="S58" i="9"/>
  <c r="S73" i="9"/>
  <c r="S65" i="9"/>
  <c r="S172" i="9"/>
  <c r="S173" i="9"/>
  <c r="Q132" i="9"/>
  <c r="Q118" i="9"/>
  <c r="Q76" i="9"/>
  <c r="Q114" i="9"/>
  <c r="Q110" i="9"/>
  <c r="S207" i="9"/>
  <c r="S244" i="9"/>
  <c r="S120" i="9"/>
  <c r="S109" i="9"/>
  <c r="S125" i="9"/>
  <c r="Q138" i="9"/>
  <c r="Q199" i="9"/>
  <c r="Q236" i="9"/>
  <c r="Q33" i="9"/>
  <c r="S211" i="9"/>
  <c r="S147" i="9"/>
  <c r="S100" i="9"/>
  <c r="Q175" i="9"/>
  <c r="Q124" i="9"/>
  <c r="Q182" i="9"/>
  <c r="Q54" i="9"/>
  <c r="S202" i="9"/>
  <c r="S190" i="9"/>
  <c r="S74" i="9"/>
  <c r="S249" i="9"/>
  <c r="S114" i="9"/>
  <c r="S110" i="9"/>
  <c r="Q126" i="9"/>
  <c r="Q205" i="9"/>
  <c r="Q206" i="9"/>
  <c r="Q89" i="9"/>
  <c r="Q28" i="9"/>
  <c r="Q140" i="9"/>
  <c r="Q212" i="9"/>
  <c r="Q108" i="9"/>
  <c r="Q82" i="9"/>
  <c r="Q154" i="9"/>
  <c r="Q248" i="9"/>
  <c r="Q198" i="9"/>
  <c r="Q225" i="9"/>
  <c r="Q195" i="9"/>
  <c r="Q232" i="9"/>
  <c r="Q98" i="9"/>
  <c r="Q184" i="9"/>
  <c r="Q189" i="9"/>
  <c r="Q55" i="9"/>
  <c r="Q117" i="9"/>
  <c r="S103" i="9"/>
  <c r="S128" i="9"/>
  <c r="S36" i="9"/>
  <c r="S133" i="9"/>
  <c r="S210" i="9"/>
  <c r="S191" i="9"/>
  <c r="S39" i="9"/>
  <c r="S145" i="9"/>
  <c r="S56" i="9"/>
  <c r="S152" i="9"/>
  <c r="S94" i="9"/>
  <c r="S87" i="9"/>
  <c r="S159" i="9"/>
  <c r="S181" i="9"/>
  <c r="S231" i="9"/>
  <c r="S183" i="9"/>
  <c r="S86" i="9"/>
  <c r="S167" i="9"/>
  <c r="S185" i="9"/>
  <c r="Q190" i="9"/>
  <c r="Q74" i="9"/>
  <c r="Q150" i="9"/>
  <c r="Q102" i="9"/>
  <c r="S34" i="9"/>
  <c r="S38" i="9"/>
  <c r="S146" i="9"/>
  <c r="S226" i="9"/>
  <c r="S256" i="9"/>
  <c r="Q134" i="9"/>
  <c r="Q45" i="9"/>
  <c r="Q165" i="9"/>
  <c r="S186" i="9"/>
  <c r="S57" i="9"/>
  <c r="S193" i="9"/>
  <c r="Q239" i="9"/>
  <c r="Q221" i="9"/>
  <c r="Q80" i="9"/>
  <c r="S132" i="9"/>
  <c r="S150" i="9"/>
  <c r="S76" i="9"/>
  <c r="S252" i="9"/>
  <c r="Q34" i="9"/>
  <c r="Q22" i="9"/>
  <c r="Q207" i="9"/>
  <c r="Q111" i="9"/>
  <c r="Q38" i="9"/>
  <c r="Q244" i="9"/>
  <c r="Q143" i="9"/>
  <c r="Q146" i="9"/>
  <c r="Q217" i="9"/>
  <c r="Q155" i="9"/>
  <c r="Q66" i="9"/>
  <c r="Q120" i="9"/>
  <c r="Q226" i="9"/>
  <c r="Q101" i="9"/>
  <c r="Q109" i="9"/>
  <c r="Q251" i="9"/>
  <c r="Q49" i="9"/>
  <c r="Q125" i="9"/>
  <c r="Q256" i="9"/>
  <c r="Q174" i="9"/>
  <c r="S59" i="9"/>
  <c r="S240" i="9"/>
  <c r="S131" i="9"/>
  <c r="S88" i="9"/>
  <c r="S176" i="9"/>
  <c r="S84" i="9"/>
  <c r="S91" i="9"/>
  <c r="S215" i="9"/>
  <c r="S216" i="9"/>
  <c r="S153" i="9"/>
  <c r="S222" i="9"/>
  <c r="S157" i="9"/>
  <c r="S180" i="9"/>
  <c r="S44" i="9"/>
  <c r="S188" i="9"/>
  <c r="S164" i="9"/>
  <c r="S116" i="9"/>
  <c r="S235" i="9"/>
  <c r="S238" i="9"/>
  <c r="Q242" i="9"/>
  <c r="Q250" i="9"/>
  <c r="Q69" i="9"/>
  <c r="S22" i="9"/>
  <c r="S111" i="9"/>
  <c r="S155" i="9"/>
  <c r="S49" i="9"/>
  <c r="S174" i="9"/>
  <c r="Q37" i="9"/>
  <c r="Q178" i="9"/>
  <c r="Q41" i="9"/>
  <c r="Q96" i="9"/>
  <c r="S104" i="9"/>
  <c r="S149" i="9"/>
  <c r="S85" i="9"/>
  <c r="S81" i="9"/>
  <c r="Q209" i="9"/>
  <c r="Q214" i="9"/>
  <c r="Q42" i="9"/>
  <c r="Q97" i="9"/>
  <c r="S242" i="9"/>
  <c r="S118" i="9"/>
  <c r="S102" i="9"/>
  <c r="Q201" i="9"/>
  <c r="Q104" i="9"/>
  <c r="Q27" i="9"/>
  <c r="Q186" i="9"/>
  <c r="Q211" i="9"/>
  <c r="Q141" i="9"/>
  <c r="Q213" i="9"/>
  <c r="Q147" i="9"/>
  <c r="Q149" i="9"/>
  <c r="Q219" i="9"/>
  <c r="Q95" i="9"/>
  <c r="Q223" i="9"/>
  <c r="Q100" i="9"/>
  <c r="Q57" i="9"/>
  <c r="Q85" i="9"/>
  <c r="Q63" i="9"/>
  <c r="Q193" i="9"/>
  <c r="Q254" i="9"/>
  <c r="Q81" i="9"/>
  <c r="Q26" i="9"/>
  <c r="S126" i="9"/>
  <c r="S205" i="9"/>
  <c r="S206" i="9"/>
  <c r="S89" i="9"/>
  <c r="S28" i="9"/>
  <c r="S140" i="9"/>
  <c r="S212" i="9"/>
  <c r="S108" i="9"/>
  <c r="S82" i="9"/>
  <c r="S154" i="9"/>
  <c r="S248" i="9"/>
  <c r="S198" i="9"/>
  <c r="S225" i="9"/>
  <c r="S195" i="9"/>
  <c r="S232" i="9"/>
  <c r="S98" i="9"/>
  <c r="S184" i="9"/>
  <c r="S189" i="9"/>
  <c r="S55" i="9"/>
  <c r="S117" i="9"/>
  <c r="Q202" i="9"/>
  <c r="Q245" i="9"/>
  <c r="Q249" i="9"/>
  <c r="Q252" i="9"/>
  <c r="S217" i="9"/>
  <c r="S66" i="9"/>
  <c r="S251" i="9"/>
  <c r="Q60" i="9"/>
  <c r="Q113" i="9"/>
  <c r="Q220" i="9"/>
  <c r="Q161" i="9"/>
  <c r="S27" i="9"/>
  <c r="S141" i="9"/>
  <c r="S223" i="9"/>
  <c r="S63" i="9"/>
  <c r="S254" i="9"/>
  <c r="Q177" i="9"/>
  <c r="Q179" i="9"/>
  <c r="Q229" i="9"/>
  <c r="Q115" i="9"/>
  <c r="S67" i="9"/>
  <c r="S245" i="9"/>
  <c r="S250" i="9"/>
  <c r="S69" i="9"/>
  <c r="Q127" i="9"/>
  <c r="Q135" i="9"/>
  <c r="Q93" i="9"/>
  <c r="Q247" i="9"/>
  <c r="Q192" i="9"/>
  <c r="Q48" i="9"/>
  <c r="Q51" i="9"/>
  <c r="S35" i="9"/>
  <c r="S134" i="9"/>
  <c r="S113" i="9"/>
  <c r="S220" i="9"/>
  <c r="S161" i="9"/>
  <c r="S165" i="9"/>
  <c r="S237" i="9"/>
  <c r="S138" i="9"/>
  <c r="Q187" i="9"/>
  <c r="S148" i="9"/>
  <c r="Q230" i="9"/>
  <c r="S52" i="9"/>
  <c r="S105" i="9"/>
  <c r="Q122" i="9"/>
  <c r="S129" i="9"/>
  <c r="S166" i="9"/>
  <c r="Q123" i="9"/>
  <c r="Q203" i="9"/>
  <c r="Q136" i="9"/>
  <c r="Q40" i="9"/>
  <c r="Q79" i="9"/>
  <c r="Q227" i="9"/>
  <c r="Q233" i="9"/>
  <c r="Q171" i="9"/>
  <c r="S239" i="9"/>
  <c r="S209" i="9"/>
  <c r="S214" i="9"/>
  <c r="S221" i="9"/>
  <c r="S80" i="9"/>
  <c r="S115" i="9"/>
  <c r="S170" i="9"/>
  <c r="Q162" i="9"/>
  <c r="S64" i="9"/>
  <c r="Q139" i="9"/>
  <c r="S177" i="9"/>
  <c r="S42" i="9"/>
  <c r="S229" i="9"/>
  <c r="Q243" i="9"/>
  <c r="S156" i="9"/>
  <c r="Q106" i="9"/>
  <c r="Q46" i="9"/>
  <c r="S187" i="9"/>
  <c r="S53" i="9"/>
  <c r="S77" i="9"/>
  <c r="Q142" i="9"/>
  <c r="S158" i="9"/>
  <c r="Q83" i="9"/>
  <c r="Q137" i="9"/>
  <c r="Q144" i="9"/>
  <c r="Q30" i="9"/>
  <c r="Q24" i="9"/>
  <c r="Q200" i="9"/>
  <c r="Q194" i="9"/>
  <c r="S127" i="9"/>
  <c r="S135" i="9"/>
  <c r="S93" i="9"/>
  <c r="S247" i="9"/>
  <c r="S192" i="9"/>
  <c r="S48" i="9"/>
  <c r="S51" i="9"/>
  <c r="Q234" i="9"/>
  <c r="S246" i="9"/>
  <c r="Q23" i="9"/>
  <c r="Q68" i="9"/>
  <c r="S78" i="9"/>
  <c r="Q130" i="9"/>
  <c r="S107" i="9"/>
  <c r="S162" i="9"/>
  <c r="Q62" i="9"/>
  <c r="Q73" i="9"/>
  <c r="S23" i="9"/>
  <c r="S68" i="9"/>
  <c r="S121" i="9"/>
  <c r="Q32" i="9"/>
  <c r="S208" i="9"/>
  <c r="S163" i="9"/>
  <c r="Q204" i="9"/>
  <c r="Q112" i="9"/>
  <c r="Q72" i="9"/>
  <c r="Q197" i="9"/>
  <c r="Q228" i="9"/>
  <c r="Q58" i="9"/>
  <c r="Q172" i="9"/>
  <c r="S203" i="9"/>
  <c r="S136" i="9"/>
  <c r="S40" i="9"/>
  <c r="S79" i="9"/>
  <c r="S227" i="9"/>
  <c r="S233" i="9"/>
  <c r="S171" i="9"/>
  <c r="Q52" i="9"/>
  <c r="Q107" i="9"/>
  <c r="Q105" i="9"/>
  <c r="Q156" i="9"/>
  <c r="S60" i="9"/>
  <c r="S41" i="9"/>
  <c r="S45" i="9"/>
  <c r="S33" i="9"/>
  <c r="Q129" i="9"/>
  <c r="Q166" i="9"/>
  <c r="S50" i="9"/>
  <c r="Q29" i="9"/>
  <c r="Q31" i="9"/>
  <c r="Q253" i="9"/>
  <c r="S234" i="9"/>
  <c r="Q99" i="9"/>
  <c r="S139" i="9"/>
  <c r="S71" i="9"/>
  <c r="S70" i="9"/>
  <c r="Q43" i="9"/>
  <c r="Q65" i="9"/>
  <c r="S75" i="9"/>
  <c r="S168" i="9"/>
  <c r="Q241" i="9"/>
  <c r="Q71" i="9"/>
  <c r="Q121" i="9"/>
  <c r="Q53" i="9"/>
  <c r="Q77" i="9"/>
  <c r="Q70" i="9"/>
  <c r="S37" i="9"/>
  <c r="S61" i="9"/>
  <c r="S178" i="9"/>
  <c r="S96" i="9"/>
  <c r="S199" i="9"/>
  <c r="S236" i="9"/>
  <c r="Q208" i="9"/>
  <c r="Q90" i="9"/>
  <c r="Q75" i="9"/>
  <c r="Q158" i="9"/>
  <c r="Q163" i="9"/>
  <c r="Q168" i="9"/>
  <c r="S175" i="9"/>
  <c r="S124" i="9"/>
  <c r="S179" i="9"/>
  <c r="S97" i="9"/>
  <c r="S182" i="9"/>
  <c r="S54" i="9"/>
  <c r="Q196" i="9"/>
  <c r="Q119" i="9"/>
  <c r="Q151" i="9"/>
  <c r="Q224" i="9"/>
  <c r="Q47" i="9"/>
  <c r="Q25" i="9"/>
  <c r="S241" i="9"/>
  <c r="Q218" i="9"/>
  <c r="S90" i="9"/>
  <c r="F430" i="9"/>
  <c r="F458" i="9"/>
  <c r="F510" i="9"/>
  <c r="F431" i="9"/>
  <c r="F162" i="9"/>
  <c r="F37" i="9"/>
  <c r="F40" i="9"/>
  <c r="F461" i="9"/>
  <c r="F303" i="9"/>
  <c r="F48" i="9"/>
  <c r="F348" i="9"/>
  <c r="F260" i="9"/>
  <c r="F349" i="9"/>
  <c r="F604" i="9"/>
  <c r="F599" i="9"/>
  <c r="F373" i="9"/>
  <c r="F246" i="9"/>
  <c r="F180" i="9"/>
  <c r="F415" i="9"/>
  <c r="F480" i="9"/>
  <c r="F252" i="9"/>
  <c r="F610" i="9"/>
  <c r="F82" i="9"/>
  <c r="F84" i="9"/>
  <c r="F87" i="9"/>
  <c r="F168" i="9"/>
  <c r="F607" i="9"/>
  <c r="F310" i="9"/>
  <c r="F617" i="9"/>
  <c r="F100" i="9"/>
  <c r="F214" i="9"/>
  <c r="F106" i="9"/>
  <c r="F417" i="9"/>
  <c r="F441" i="9"/>
  <c r="F381" i="9"/>
  <c r="F566" i="9"/>
  <c r="F118" i="9"/>
  <c r="F122" i="9"/>
  <c r="F571" i="9"/>
  <c r="F474" i="9"/>
  <c r="F323" i="9"/>
  <c r="F132" i="9"/>
  <c r="F135" i="9"/>
  <c r="F139" i="9"/>
  <c r="F174" i="9"/>
  <c r="F148" i="9"/>
  <c r="F234" i="9"/>
  <c r="F202" i="9"/>
  <c r="F425" i="9"/>
  <c r="F590" i="9"/>
  <c r="H345" i="9"/>
  <c r="F24" i="9"/>
  <c r="F459" i="9"/>
  <c r="F194" i="9"/>
  <c r="F371" i="9"/>
  <c r="F294" i="9"/>
  <c r="F236" i="9"/>
  <c r="F207" i="9"/>
  <c r="F517" i="9"/>
  <c r="F597" i="9"/>
  <c r="F286" i="9"/>
  <c r="F53" i="9"/>
  <c r="F196" i="9"/>
  <c r="F490" i="9"/>
  <c r="F452" i="9"/>
  <c r="F59" i="9"/>
  <c r="F491" i="9"/>
  <c r="F465" i="9"/>
  <c r="F307" i="9"/>
  <c r="F384" i="9"/>
  <c r="F70" i="9"/>
  <c r="F594" i="9"/>
  <c r="F78" i="9"/>
  <c r="F543" i="9"/>
  <c r="F329" i="9"/>
  <c r="F88" i="9"/>
  <c r="F229" i="9"/>
  <c r="F92" i="9"/>
  <c r="F436" i="9"/>
  <c r="F254" i="9"/>
  <c r="F101" i="9"/>
  <c r="F469" i="9"/>
  <c r="F185" i="9"/>
  <c r="F242" i="9"/>
  <c r="F171" i="9"/>
  <c r="F618" i="9"/>
  <c r="F316" i="9"/>
  <c r="F187" i="9"/>
  <c r="F392" i="9"/>
  <c r="F572" i="9"/>
  <c r="F322" i="9"/>
  <c r="F127" i="9"/>
  <c r="F404" i="9"/>
  <c r="F219" i="9"/>
  <c r="F581" i="9"/>
  <c r="F143" i="9"/>
  <c r="F149" i="9"/>
  <c r="F442" i="9"/>
  <c r="F154" i="9"/>
  <c r="F508" i="9"/>
  <c r="F293" i="9"/>
  <c r="H203" i="9"/>
  <c r="F25" i="9"/>
  <c r="F613" i="9"/>
  <c r="F205" i="9"/>
  <c r="F33" i="9"/>
  <c r="F358" i="9"/>
  <c r="F285" i="9"/>
  <c r="F301" i="9"/>
  <c r="F408" i="9"/>
  <c r="F487" i="9"/>
  <c r="F49" i="9"/>
  <c r="F521" i="9"/>
  <c r="F489" i="9"/>
  <c r="F250" i="9"/>
  <c r="F527" i="9"/>
  <c r="F60" i="9"/>
  <c r="F64" i="9"/>
  <c r="F66" i="9"/>
  <c r="F251" i="9"/>
  <c r="F226" i="9"/>
  <c r="F71" i="9"/>
  <c r="F253" i="9"/>
  <c r="F227" i="9"/>
  <c r="F199" i="9"/>
  <c r="F240" i="9"/>
  <c r="F421" i="9"/>
  <c r="F289" i="9"/>
  <c r="F93" i="9"/>
  <c r="F388" i="9"/>
  <c r="F362" i="9"/>
  <c r="F554" i="9"/>
  <c r="F449" i="9"/>
  <c r="F482" i="9"/>
  <c r="F283" i="9"/>
  <c r="F473" i="9"/>
  <c r="F314" i="9"/>
  <c r="F317" i="9"/>
  <c r="F407" i="9"/>
  <c r="F569" i="9"/>
  <c r="F192" i="9"/>
  <c r="F393" i="9"/>
  <c r="F577" i="9"/>
  <c r="F365" i="9"/>
  <c r="F136" i="9"/>
  <c r="F582" i="9"/>
  <c r="F356" i="9"/>
  <c r="F395" i="9"/>
  <c r="F507" i="9"/>
  <c r="F609" i="9"/>
  <c r="F396" i="9"/>
  <c r="F221" i="9"/>
  <c r="H26" i="9"/>
  <c r="H400" i="9"/>
  <c r="F457" i="9"/>
  <c r="F426" i="9"/>
  <c r="F30" i="9"/>
  <c r="F34" i="9"/>
  <c r="F206" i="9"/>
  <c r="F460" i="9"/>
  <c r="F302" i="9"/>
  <c r="F438" i="9"/>
  <c r="F44" i="9"/>
  <c r="F354" i="9"/>
  <c r="F54" i="9"/>
  <c r="F463" i="9"/>
  <c r="F56" i="9"/>
  <c r="F528" i="9"/>
  <c r="F345" i="9"/>
  <c r="F412" i="9"/>
  <c r="F31" i="9"/>
  <c r="F357" i="9"/>
  <c r="F163" i="9"/>
  <c r="F347" i="9"/>
  <c r="F596" i="9"/>
  <c r="F518" i="9"/>
  <c r="F45" i="9"/>
  <c r="F50" i="9"/>
  <c r="F462" i="9"/>
  <c r="F614" i="9"/>
  <c r="F350" i="9"/>
  <c r="F198" i="9"/>
  <c r="F530" i="9"/>
  <c r="F464" i="9"/>
  <c r="F444" i="9"/>
  <c r="F433" i="9"/>
  <c r="F239" i="9"/>
  <c r="F72" i="9"/>
  <c r="F76" i="9"/>
  <c r="F467" i="9"/>
  <c r="F281" i="9"/>
  <c r="F85" i="9"/>
  <c r="F288" i="9"/>
  <c r="F548" i="9"/>
  <c r="F94" i="9"/>
  <c r="F213" i="9"/>
  <c r="F332" i="9"/>
  <c r="F102" i="9"/>
  <c r="F363" i="9"/>
  <c r="F559" i="9"/>
  <c r="F231" i="9"/>
  <c r="F423" i="9"/>
  <c r="F111" i="9"/>
  <c r="F114" i="9"/>
  <c r="F120" i="9"/>
  <c r="F320" i="9"/>
  <c r="F243" i="9"/>
  <c r="F575" i="9"/>
  <c r="F335" i="9"/>
  <c r="F269" i="9"/>
  <c r="F298" i="9"/>
  <c r="F141" i="9"/>
  <c r="F144" i="9"/>
  <c r="F292" i="9"/>
  <c r="F588" i="9"/>
  <c r="F477" i="9"/>
  <c r="F203" i="9"/>
  <c r="F277" i="9"/>
  <c r="F35" i="9"/>
  <c r="F405" i="9"/>
  <c r="F341" i="9"/>
  <c r="F46" i="9"/>
  <c r="F522" i="9"/>
  <c r="F598" i="9"/>
  <c r="F287" i="9"/>
  <c r="F492" i="9"/>
  <c r="F401" i="9"/>
  <c r="F494" i="9"/>
  <c r="F167" i="9"/>
  <c r="F79" i="9"/>
  <c r="F545" i="9"/>
  <c r="F200" i="9"/>
  <c r="F550" i="9"/>
  <c r="F97" i="9"/>
  <c r="F553" i="9"/>
  <c r="F390" i="9"/>
  <c r="F562" i="9"/>
  <c r="F256" i="9"/>
  <c r="F315" i="9"/>
  <c r="F291" i="9"/>
  <c r="F334" i="9"/>
  <c r="F378" i="9"/>
  <c r="F579" i="9"/>
  <c r="F580" i="9"/>
  <c r="F584" i="9"/>
  <c r="F587" i="9"/>
  <c r="F483" i="9"/>
  <c r="F478" i="9"/>
  <c r="F193" i="9"/>
  <c r="H399" i="9"/>
  <c r="H277" i="9"/>
  <c r="H175" i="9"/>
  <c r="H382" i="9"/>
  <c r="H300" i="9"/>
  <c r="H165" i="9"/>
  <c r="H419" i="9"/>
  <c r="H280" i="9"/>
  <c r="H304" i="9"/>
  <c r="H52" i="9"/>
  <c r="H224" i="9"/>
  <c r="H55" i="9"/>
  <c r="H58" i="9"/>
  <c r="H287" i="9"/>
  <c r="H63" i="9"/>
  <c r="H266" i="9"/>
  <c r="H401" i="9"/>
  <c r="H414" i="9"/>
  <c r="H262" i="9"/>
  <c r="H167" i="9"/>
  <c r="H466" i="9"/>
  <c r="H468" i="9"/>
  <c r="H545" i="9"/>
  <c r="H86" i="9"/>
  <c r="H282" i="9"/>
  <c r="H550" i="9"/>
  <c r="F26" i="9"/>
  <c r="F204" i="9"/>
  <c r="F339" i="9"/>
  <c r="F515" i="9"/>
  <c r="F42" i="9"/>
  <c r="F304" i="9"/>
  <c r="F523" i="9"/>
  <c r="F57" i="9"/>
  <c r="F380" i="9"/>
  <c r="F532" i="9"/>
  <c r="F535" i="9"/>
  <c r="F495" i="9"/>
  <c r="F75" i="9"/>
  <c r="F80" i="9"/>
  <c r="F83" i="9"/>
  <c r="F212" i="9"/>
  <c r="F331" i="9"/>
  <c r="F416" i="9"/>
  <c r="F99" i="9"/>
  <c r="F368" i="9"/>
  <c r="F403" i="9"/>
  <c r="F608" i="9"/>
  <c r="F333" i="9"/>
  <c r="F121" i="9"/>
  <c r="F376" i="9"/>
  <c r="F364" i="9"/>
  <c r="F131" i="9"/>
  <c r="F137" i="9"/>
  <c r="F142" i="9"/>
  <c r="F344" i="9"/>
  <c r="F153" i="9"/>
  <c r="F479" i="9"/>
  <c r="F592" i="9"/>
  <c r="H346" i="9"/>
  <c r="H204" i="9"/>
  <c r="H299" i="9"/>
  <c r="H595" i="9"/>
  <c r="H514" i="9"/>
  <c r="H39" i="9"/>
  <c r="H341" i="9"/>
  <c r="H43" i="9"/>
  <c r="H47" i="9"/>
  <c r="H520" i="9"/>
  <c r="H179" i="9"/>
  <c r="H326" i="9"/>
  <c r="H526" i="9"/>
  <c r="H380" i="9"/>
  <c r="H209" i="9"/>
  <c r="H427" i="9"/>
  <c r="H535" i="9"/>
  <c r="H225" i="9"/>
  <c r="H69" i="9"/>
  <c r="H75" i="9"/>
  <c r="H497" i="9"/>
  <c r="H542" i="9"/>
  <c r="H83" i="9"/>
  <c r="H228" i="9"/>
  <c r="H90" i="9"/>
  <c r="H331" i="9"/>
  <c r="H481" i="9"/>
  <c r="H241" i="9"/>
  <c r="H99" i="9"/>
  <c r="H104" i="9"/>
  <c r="H215" i="9"/>
  <c r="H403" i="9"/>
  <c r="H263" i="9"/>
  <c r="H352" i="9"/>
  <c r="F485" i="9"/>
  <c r="F379" i="9"/>
  <c r="F382" i="9"/>
  <c r="F383" i="9"/>
  <c r="F279" i="9"/>
  <c r="F47" i="9"/>
  <c r="F305" i="9"/>
  <c r="F166" i="9"/>
  <c r="F208" i="9"/>
  <c r="F355" i="9"/>
  <c r="F406" i="9"/>
  <c r="F308" i="9"/>
  <c r="F328" i="9"/>
  <c r="F295" i="9"/>
  <c r="F546" i="9"/>
  <c r="F89" i="9"/>
  <c r="F290" i="9"/>
  <c r="F311" i="9"/>
  <c r="F555" i="9"/>
  <c r="F105" i="9"/>
  <c r="F186" i="9"/>
  <c r="F501" i="9"/>
  <c r="F113" i="9"/>
  <c r="F568" i="9"/>
  <c r="F284" i="9"/>
  <c r="F576" i="9"/>
  <c r="F133" i="9"/>
  <c r="F248" i="9"/>
  <c r="F585" i="9"/>
  <c r="F150" i="9"/>
  <c r="F325" i="9"/>
  <c r="F273" i="9"/>
  <c r="H249" i="9"/>
  <c r="H510" i="9"/>
  <c r="H431" i="9"/>
  <c r="H162" i="9"/>
  <c r="H37" i="9"/>
  <c r="H40" i="9"/>
  <c r="H461" i="9"/>
  <c r="H303" i="9"/>
  <c r="H48" i="9"/>
  <c r="H348" i="9"/>
  <c r="H260" i="9"/>
  <c r="H349" i="9"/>
  <c r="H604" i="9"/>
  <c r="H599" i="9"/>
  <c r="H373" i="9"/>
  <c r="H246" i="9"/>
  <c r="H180" i="9"/>
  <c r="H415" i="9"/>
  <c r="H480" i="9"/>
  <c r="H252" i="9"/>
  <c r="H610" i="9"/>
  <c r="H82" i="9"/>
  <c r="H84" i="9"/>
  <c r="H87" i="9"/>
  <c r="H168" i="9"/>
  <c r="H607" i="9"/>
  <c r="H310" i="9"/>
  <c r="H617" i="9"/>
  <c r="H100" i="9"/>
  <c r="H214" i="9"/>
  <c r="H106" i="9"/>
  <c r="H417" i="9"/>
  <c r="H441" i="9"/>
  <c r="H381" i="9"/>
  <c r="H566" i="9"/>
  <c r="H118" i="9"/>
  <c r="H122" i="9"/>
  <c r="H571" i="9"/>
  <c r="F27" i="9"/>
  <c r="F511" i="9"/>
  <c r="F595" i="9"/>
  <c r="F278" i="9"/>
  <c r="F360" i="9"/>
  <c r="F372" i="9"/>
  <c r="F224" i="9"/>
  <c r="F265" i="9"/>
  <c r="F531" i="9"/>
  <c r="F65" i="9"/>
  <c r="F68" i="9"/>
  <c r="F440" i="9"/>
  <c r="F445" i="9"/>
  <c r="F81" i="9"/>
  <c r="F183" i="9"/>
  <c r="F409" i="9"/>
  <c r="F446" i="9"/>
  <c r="F312" i="9"/>
  <c r="F499" i="9"/>
  <c r="F558" i="9"/>
  <c r="F422" i="9"/>
  <c r="F564" i="9"/>
  <c r="F318" i="9"/>
  <c r="F319" i="9"/>
  <c r="F573" i="9"/>
  <c r="F126" i="9"/>
  <c r="F324" i="9"/>
  <c r="F138" i="9"/>
  <c r="F145" i="9"/>
  <c r="F276" i="9"/>
  <c r="F155" i="9"/>
  <c r="F157" i="9"/>
  <c r="H458" i="9"/>
  <c r="H194" i="9"/>
  <c r="H371" i="9"/>
  <c r="H294" i="9"/>
  <c r="H236" i="9"/>
  <c r="H207" i="9"/>
  <c r="H517" i="9"/>
  <c r="H597" i="9"/>
  <c r="H286" i="9"/>
  <c r="H53" i="9"/>
  <c r="H196" i="9"/>
  <c r="H490" i="9"/>
  <c r="H452" i="9"/>
  <c r="H59" i="9"/>
  <c r="H491" i="9"/>
  <c r="H465" i="9"/>
  <c r="H307" i="9"/>
  <c r="H384" i="9"/>
  <c r="H70" i="9"/>
  <c r="H594" i="9"/>
  <c r="H78" i="9"/>
  <c r="H543" i="9"/>
  <c r="H329" i="9"/>
  <c r="H88" i="9"/>
  <c r="H229" i="9"/>
  <c r="H92" i="9"/>
  <c r="H436" i="9"/>
  <c r="H254" i="9"/>
  <c r="H101" i="9"/>
  <c r="H469" i="9"/>
  <c r="H185" i="9"/>
  <c r="H242" i="9"/>
  <c r="H171" i="9"/>
  <c r="H618" i="9"/>
  <c r="H316" i="9"/>
  <c r="H187" i="9"/>
  <c r="H392" i="9"/>
  <c r="H572" i="9"/>
  <c r="F28" i="9"/>
  <c r="F175" i="9"/>
  <c r="F164" i="9"/>
  <c r="F223" i="9"/>
  <c r="F43" i="9"/>
  <c r="F178" i="9"/>
  <c r="F237" i="9"/>
  <c r="F529" i="9"/>
  <c r="F62" i="9"/>
  <c r="F493" i="9"/>
  <c r="F327" i="9"/>
  <c r="F210" i="9"/>
  <c r="F351" i="9"/>
  <c r="F274" i="9"/>
  <c r="F330" i="9"/>
  <c r="F91" i="9"/>
  <c r="F551" i="9"/>
  <c r="F169" i="9"/>
  <c r="F103" i="9"/>
  <c r="F107" i="9"/>
  <c r="F110" i="9"/>
  <c r="F216" i="9"/>
  <c r="F116" i="9"/>
  <c r="F123" i="9"/>
  <c r="F201" i="9"/>
  <c r="F578" i="9"/>
  <c r="F270" i="9"/>
  <c r="F353" i="9"/>
  <c r="F147" i="9"/>
  <c r="F369" i="9"/>
  <c r="F370" i="9"/>
  <c r="F591" i="9"/>
  <c r="H24" i="9"/>
  <c r="H412" i="9"/>
  <c r="H379" i="9"/>
  <c r="H434" i="9"/>
  <c r="H456" i="9"/>
  <c r="H38" i="9"/>
  <c r="H176" i="9"/>
  <c r="H42" i="9"/>
  <c r="H612" i="9"/>
  <c r="H372" i="9"/>
  <c r="H488" i="9"/>
  <c r="H261" i="9"/>
  <c r="H598" i="9"/>
  <c r="H529" i="9"/>
  <c r="H531" i="9"/>
  <c r="H377" i="9"/>
  <c r="H493" i="9"/>
  <c r="H68" i="9"/>
  <c r="H435" i="9"/>
  <c r="H210" i="9"/>
  <c r="H445" i="9"/>
  <c r="H541" i="9"/>
  <c r="H274" i="9"/>
  <c r="H183" i="9"/>
  <c r="H498" i="9"/>
  <c r="H91" i="9"/>
  <c r="H446" i="9"/>
  <c r="H428" i="9"/>
  <c r="H169" i="9"/>
  <c r="H499" i="9"/>
  <c r="H600" i="9"/>
  <c r="H107" i="9"/>
  <c r="H422" i="9"/>
  <c r="H22" i="9"/>
  <c r="H216" i="9"/>
  <c r="H318" i="9"/>
  <c r="H567" i="9"/>
  <c r="F399" i="9"/>
  <c r="F512" i="9"/>
  <c r="F359" i="9"/>
  <c r="F51" i="9"/>
  <c r="F326" i="9"/>
  <c r="F209" i="9"/>
  <c r="F605" i="9"/>
  <c r="F496" i="9"/>
  <c r="F191" i="9"/>
  <c r="F549" i="9"/>
  <c r="F241" i="9"/>
  <c r="F600" i="9"/>
  <c r="F263" i="9"/>
  <c r="F115" i="9"/>
  <c r="F232" i="9"/>
  <c r="F129" i="9"/>
  <c r="F601" i="9"/>
  <c r="F271" i="9"/>
  <c r="F220" i="9"/>
  <c r="H426" i="9"/>
  <c r="H33" i="9"/>
  <c r="H164" i="9"/>
  <c r="H223" i="9"/>
  <c r="H44" i="9"/>
  <c r="H178" i="9"/>
  <c r="H237" i="9"/>
  <c r="H198" i="9"/>
  <c r="H64" i="9"/>
  <c r="H534" i="9"/>
  <c r="H494" i="9"/>
  <c r="H328" i="9"/>
  <c r="H81" i="9"/>
  <c r="H606" i="9"/>
  <c r="H548" i="9"/>
  <c r="H268" i="9"/>
  <c r="H184" i="9"/>
  <c r="H500" i="9"/>
  <c r="H343" i="9"/>
  <c r="H472" i="9"/>
  <c r="H112" i="9"/>
  <c r="H116" i="9"/>
  <c r="H569" i="9"/>
  <c r="H243" i="9"/>
  <c r="H575" i="9"/>
  <c r="H335" i="9"/>
  <c r="H269" i="9"/>
  <c r="H298" i="9"/>
  <c r="H141" i="9"/>
  <c r="H144" i="9"/>
  <c r="H292" i="9"/>
  <c r="H588" i="9"/>
  <c r="H477" i="9"/>
  <c r="H220" i="9"/>
  <c r="H160" i="9"/>
  <c r="F516" i="9"/>
  <c r="F77" i="9"/>
  <c r="F616" i="9"/>
  <c r="F215" i="9"/>
  <c r="F336" i="9"/>
  <c r="F476" i="9"/>
  <c r="F346" i="9"/>
  <c r="F513" i="9"/>
  <c r="F41" i="9"/>
  <c r="F244" i="9"/>
  <c r="F525" i="9"/>
  <c r="F374" i="9"/>
  <c r="F414" i="9"/>
  <c r="F385" i="9"/>
  <c r="F386" i="9"/>
  <c r="F267" i="9"/>
  <c r="F98" i="9"/>
  <c r="F470" i="9"/>
  <c r="F255" i="9"/>
  <c r="F172" i="9"/>
  <c r="F574" i="9"/>
  <c r="F130" i="9"/>
  <c r="F583" i="9"/>
  <c r="F338" i="9"/>
  <c r="F158" i="9"/>
  <c r="H28" i="9"/>
  <c r="H34" i="9"/>
  <c r="H36" i="9"/>
  <c r="H359" i="9"/>
  <c r="H45" i="9"/>
  <c r="H521" i="9"/>
  <c r="H524" i="9"/>
  <c r="H342" i="9"/>
  <c r="H374" i="9"/>
  <c r="H247" i="9"/>
  <c r="H495" i="9"/>
  <c r="H76" i="9"/>
  <c r="H199" i="9"/>
  <c r="H387" i="9"/>
  <c r="H549" i="9"/>
  <c r="H388" i="9"/>
  <c r="H454" i="9"/>
  <c r="H449" i="9"/>
  <c r="H560" i="9"/>
  <c r="H473" i="9"/>
  <c r="H502" i="9"/>
  <c r="H172" i="9"/>
  <c r="H264" i="9"/>
  <c r="H573" i="9"/>
  <c r="H297" i="9"/>
  <c r="H578" i="9"/>
  <c r="H324" i="9"/>
  <c r="H275" i="9"/>
  <c r="H353" i="9"/>
  <c r="H145" i="9"/>
  <c r="H429" i="9"/>
  <c r="H369" i="9"/>
  <c r="H155" i="9"/>
  <c r="H478" i="9"/>
  <c r="H366" i="9"/>
  <c r="F249" i="9"/>
  <c r="F456" i="9"/>
  <c r="F52" i="9"/>
  <c r="F58" i="9"/>
  <c r="F377" i="9"/>
  <c r="F225" i="9"/>
  <c r="F398" i="9"/>
  <c r="F184" i="9"/>
  <c r="F22" i="9"/>
  <c r="F117" i="9"/>
  <c r="F447" i="9"/>
  <c r="F257" i="9"/>
  <c r="F159" i="9"/>
  <c r="F400" i="9"/>
  <c r="F340" i="9"/>
  <c r="F419" i="9"/>
  <c r="F520" i="9"/>
  <c r="F526" i="9"/>
  <c r="F266" i="9"/>
  <c r="F537" i="9"/>
  <c r="F466" i="9"/>
  <c r="F606" i="9"/>
  <c r="F230" i="9"/>
  <c r="F454" i="9"/>
  <c r="F471" i="9"/>
  <c r="F603" i="9"/>
  <c r="F222" i="9"/>
  <c r="F519" i="9"/>
  <c r="F488" i="9"/>
  <c r="F342" i="9"/>
  <c r="F427" i="9"/>
  <c r="F435" i="9"/>
  <c r="F497" i="9"/>
  <c r="F387" i="9"/>
  <c r="F190" i="9"/>
  <c r="F170" i="9"/>
  <c r="F343" i="9"/>
  <c r="F352" i="9"/>
  <c r="F567" i="9"/>
  <c r="F23" i="9"/>
  <c r="F134" i="9"/>
  <c r="F146" i="9"/>
  <c r="F589" i="9"/>
  <c r="F160" i="9"/>
  <c r="H509" i="9"/>
  <c r="H513" i="9"/>
  <c r="H347" i="9"/>
  <c r="H408" i="9"/>
  <c r="H195" i="9"/>
  <c r="H432" i="9"/>
  <c r="H56" i="9"/>
  <c r="H238" i="9"/>
  <c r="H532" i="9"/>
  <c r="H433" i="9"/>
  <c r="H71" i="9"/>
  <c r="H77" i="9"/>
  <c r="H309" i="9"/>
  <c r="H547" i="9"/>
  <c r="H230" i="9"/>
  <c r="H97" i="9"/>
  <c r="H553" i="9"/>
  <c r="H390" i="9"/>
  <c r="H562" i="9"/>
  <c r="H256" i="9"/>
  <c r="H315" i="9"/>
  <c r="H119" i="9"/>
  <c r="H484" i="9"/>
  <c r="H447" i="9"/>
  <c r="H576" i="9"/>
  <c r="H129" i="9"/>
  <c r="H134" i="9"/>
  <c r="H248" i="9"/>
  <c r="H257" i="9"/>
  <c r="H420" i="9"/>
  <c r="H150" i="9"/>
  <c r="H589" i="9"/>
  <c r="H451" i="9"/>
  <c r="H157" i="9"/>
  <c r="H193" i="9"/>
  <c r="F361" i="9"/>
  <c r="F69" i="9"/>
  <c r="F228" i="9"/>
  <c r="F96" i="9"/>
  <c r="F389" i="9"/>
  <c r="F561" i="9"/>
  <c r="F173" i="9"/>
  <c r="F420" i="9"/>
  <c r="H30" i="9"/>
  <c r="H515" i="9"/>
  <c r="H49" i="9"/>
  <c r="H523" i="9"/>
  <c r="F29" i="9"/>
  <c r="F36" i="9"/>
  <c r="F593" i="9"/>
  <c r="F432" i="9"/>
  <c r="F615" i="9"/>
  <c r="F67" i="9"/>
  <c r="F262" i="9"/>
  <c r="F540" i="9"/>
  <c r="F86" i="9"/>
  <c r="F95" i="9"/>
  <c r="F296" i="9"/>
  <c r="F560" i="9"/>
  <c r="F437" i="9"/>
  <c r="F418" i="9"/>
  <c r="F125" i="9"/>
  <c r="F424" i="9"/>
  <c r="F258" i="9"/>
  <c r="F152" i="9"/>
  <c r="F366" i="9"/>
  <c r="H430" i="9"/>
  <c r="H205" i="9"/>
  <c r="H35" i="9"/>
  <c r="H405" i="9"/>
  <c r="H438" i="9"/>
  <c r="H46" i="9"/>
  <c r="H522" i="9"/>
  <c r="H350" i="9"/>
  <c r="H60" i="9"/>
  <c r="H355" i="9"/>
  <c r="H536" i="9"/>
  <c r="H538" i="9"/>
  <c r="H351" i="9"/>
  <c r="H544" i="9"/>
  <c r="H288" i="9"/>
  <c r="H93" i="9"/>
  <c r="H416" i="9"/>
  <c r="H554" i="9"/>
  <c r="H368" i="9"/>
  <c r="H283" i="9"/>
  <c r="H608" i="9"/>
  <c r="H333" i="9"/>
  <c r="H120" i="9"/>
  <c r="H570" i="9"/>
  <c r="H201" i="9"/>
  <c r="H126" i="9"/>
  <c r="H130" i="9"/>
  <c r="H270" i="9"/>
  <c r="H138" i="9"/>
  <c r="H337" i="9"/>
  <c r="H147" i="9"/>
  <c r="H276" i="9"/>
  <c r="H152" i="9"/>
  <c r="H370" i="9"/>
  <c r="H158" i="9"/>
  <c r="H592" i="9"/>
  <c r="F509" i="9"/>
  <c r="F300" i="9"/>
  <c r="F280" i="9"/>
  <c r="F179" i="9"/>
  <c r="F533" i="9"/>
  <c r="F541" i="9"/>
  <c r="F112" i="9"/>
  <c r="F391" i="9"/>
  <c r="F297" i="9"/>
  <c r="F272" i="9"/>
  <c r="F161" i="9"/>
  <c r="H25" i="9"/>
  <c r="H339" i="9"/>
  <c r="H518" i="9"/>
  <c r="H57" i="9"/>
  <c r="H208" i="9"/>
  <c r="F486" i="9"/>
  <c r="F413" i="9"/>
  <c r="F63" i="9"/>
  <c r="F542" i="9"/>
  <c r="F428" i="9"/>
  <c r="F313" i="9"/>
  <c r="F321" i="9"/>
  <c r="F337" i="9"/>
  <c r="F411" i="9"/>
  <c r="H31" i="9"/>
  <c r="H285" i="9"/>
  <c r="H593" i="9"/>
  <c r="H489" i="9"/>
  <c r="H361" i="9"/>
  <c r="H533" i="9"/>
  <c r="H72" i="9"/>
  <c r="H80" i="9"/>
  <c r="H200" i="9"/>
  <c r="H96" i="9"/>
  <c r="H555" i="9"/>
  <c r="H471" i="9"/>
  <c r="H501" i="9"/>
  <c r="H450" i="9"/>
  <c r="H504" i="9"/>
  <c r="H393" i="9"/>
  <c r="H579" i="9"/>
  <c r="H136" i="9"/>
  <c r="H584" i="9"/>
  <c r="H395" i="9"/>
  <c r="H483" i="9"/>
  <c r="H396" i="9"/>
  <c r="H153" i="9"/>
  <c r="H156" i="9"/>
  <c r="F217" i="9"/>
  <c r="F586" i="9"/>
  <c r="H453" i="9"/>
  <c r="H213" i="9"/>
  <c r="H376" i="9"/>
  <c r="H404" i="9"/>
  <c r="H103" i="9"/>
  <c r="H121" i="9"/>
  <c r="H133" i="9"/>
  <c r="H585" i="9"/>
  <c r="F197" i="9"/>
  <c r="F119" i="9"/>
  <c r="F602" i="9"/>
  <c r="H177" i="9"/>
  <c r="H464" i="9"/>
  <c r="H563" i="9"/>
  <c r="H323" i="9"/>
  <c r="H146" i="9"/>
  <c r="H590" i="9"/>
  <c r="F475" i="9"/>
  <c r="H546" i="9"/>
  <c r="H127" i="9"/>
  <c r="H218" i="9"/>
  <c r="H442" i="9"/>
  <c r="H293" i="9"/>
  <c r="F402" i="9"/>
  <c r="H206" i="9"/>
  <c r="H65" i="9"/>
  <c r="H227" i="9"/>
  <c r="H290" i="9"/>
  <c r="H317" i="9"/>
  <c r="H506" i="9"/>
  <c r="F570" i="9"/>
  <c r="H239" i="9"/>
  <c r="H113" i="9"/>
  <c r="H23" i="9"/>
  <c r="H410" i="9"/>
  <c r="F443" i="9"/>
  <c r="F195" i="9"/>
  <c r="F306" i="9"/>
  <c r="F182" i="9"/>
  <c r="F259" i="9"/>
  <c r="F502" i="9"/>
  <c r="F448" i="9"/>
  <c r="F506" i="9"/>
  <c r="F611" i="9"/>
  <c r="H511" i="9"/>
  <c r="H460" i="9"/>
  <c r="H487" i="9"/>
  <c r="H463" i="9"/>
  <c r="H530" i="9"/>
  <c r="H306" i="9"/>
  <c r="H211" i="9"/>
  <c r="H295" i="9"/>
  <c r="H212" i="9"/>
  <c r="H551" i="9"/>
  <c r="H102" i="9"/>
  <c r="H559" i="9"/>
  <c r="H564" i="9"/>
  <c r="H115" i="9"/>
  <c r="H124" i="9"/>
  <c r="H125" i="9"/>
  <c r="H131" i="9"/>
  <c r="H475" i="9"/>
  <c r="H142" i="9"/>
  <c r="H586" i="9"/>
  <c r="F410" i="9"/>
  <c r="H443" i="9"/>
  <c r="H413" i="9"/>
  <c r="H74" i="9"/>
  <c r="H281" i="9"/>
  <c r="H367" i="9"/>
  <c r="H314" i="9"/>
  <c r="H364" i="9"/>
  <c r="H143" i="9"/>
  <c r="H154" i="9"/>
  <c r="H273" i="9"/>
  <c r="H394" i="9"/>
  <c r="H271" i="9"/>
  <c r="F538" i="9"/>
  <c r="H485" i="9"/>
  <c r="H327" i="9"/>
  <c r="H259" i="9"/>
  <c r="H565" i="9"/>
  <c r="H336" i="9"/>
  <c r="F55" i="9"/>
  <c r="F90" i="9"/>
  <c r="F264" i="9"/>
  <c r="H41" i="9"/>
  <c r="H226" i="9"/>
  <c r="H385" i="9"/>
  <c r="H616" i="9"/>
  <c r="H363" i="9"/>
  <c r="H319" i="9"/>
  <c r="H581" i="9"/>
  <c r="F73" i="9"/>
  <c r="F484" i="9"/>
  <c r="H459" i="9"/>
  <c r="H98" i="9"/>
  <c r="H109" i="9"/>
  <c r="H424" i="9"/>
  <c r="H582" i="9"/>
  <c r="F245" i="9"/>
  <c r="F189" i="9"/>
  <c r="H613" i="9"/>
  <c r="H527" i="9"/>
  <c r="H110" i="9"/>
  <c r="H391" i="9"/>
  <c r="H173" i="9"/>
  <c r="H338" i="9"/>
  <c r="F32" i="9"/>
  <c r="F177" i="9"/>
  <c r="F534" i="9"/>
  <c r="F309" i="9"/>
  <c r="F367" i="9"/>
  <c r="F565" i="9"/>
  <c r="F619" i="9"/>
  <c r="F455" i="9"/>
  <c r="H486" i="9"/>
  <c r="H383" i="9"/>
  <c r="H397" i="9"/>
  <c r="H614" i="9"/>
  <c r="H245" i="9"/>
  <c r="H251" i="9"/>
  <c r="H73" i="9"/>
  <c r="H182" i="9"/>
  <c r="H89" i="9"/>
  <c r="H552" i="9"/>
  <c r="H389" i="9"/>
  <c r="H561" i="9"/>
  <c r="H313" i="9"/>
  <c r="H117" i="9"/>
  <c r="H334" i="9"/>
  <c r="H378" i="9"/>
  <c r="H132" i="9"/>
  <c r="H580" i="9"/>
  <c r="H174" i="9"/>
  <c r="H587" i="9"/>
  <c r="H202" i="9"/>
  <c r="H479" i="9"/>
  <c r="F299" i="9"/>
  <c r="F261" i="9"/>
  <c r="F247" i="9"/>
  <c r="F544" i="9"/>
  <c r="F556" i="9"/>
  <c r="H278" i="9"/>
  <c r="H439" i="9"/>
  <c r="H406" i="9"/>
  <c r="H409" i="9"/>
  <c r="H375" i="9"/>
  <c r="H407" i="9"/>
  <c r="H137" i="9"/>
  <c r="H344" i="9"/>
  <c r="H231" i="9"/>
  <c r="H619" i="9"/>
  <c r="H325" i="9"/>
  <c r="F38" i="9"/>
  <c r="F557" i="9"/>
  <c r="H512" i="9"/>
  <c r="H166" i="9"/>
  <c r="H496" i="9"/>
  <c r="H557" i="9"/>
  <c r="H232" i="9"/>
  <c r="H139" i="9"/>
  <c r="H272" i="9"/>
  <c r="F375" i="9"/>
  <c r="H358" i="9"/>
  <c r="H265" i="9"/>
  <c r="H362" i="9"/>
  <c r="H217" i="9"/>
  <c r="H258" i="9"/>
  <c r="F39" i="9"/>
  <c r="F563" i="9"/>
  <c r="H516" i="9"/>
  <c r="H85" i="9"/>
  <c r="H105" i="9"/>
  <c r="H321" i="9"/>
  <c r="H189" i="9"/>
  <c r="H221" i="9"/>
  <c r="F74" i="9"/>
  <c r="F505" i="9"/>
  <c r="H540" i="9"/>
  <c r="H140" i="9"/>
  <c r="H235" i="9"/>
  <c r="F434" i="9"/>
  <c r="F439" i="9"/>
  <c r="F536" i="9"/>
  <c r="F547" i="9"/>
  <c r="F500" i="9"/>
  <c r="F503" i="9"/>
  <c r="F233" i="9"/>
  <c r="F429" i="9"/>
  <c r="H32" i="9"/>
  <c r="H301" i="9"/>
  <c r="H354" i="9"/>
  <c r="H197" i="9"/>
  <c r="H61" i="9"/>
  <c r="H181" i="9"/>
  <c r="H539" i="9"/>
  <c r="H191" i="9"/>
  <c r="H289" i="9"/>
  <c r="H311" i="9"/>
  <c r="H556" i="9"/>
  <c r="H186" i="9"/>
  <c r="H437" i="9"/>
  <c r="H291" i="9"/>
  <c r="H192" i="9"/>
  <c r="H448" i="9"/>
  <c r="H365" i="9"/>
  <c r="H505" i="9"/>
  <c r="H356" i="9"/>
  <c r="H151" i="9"/>
  <c r="H609" i="9"/>
  <c r="H159" i="9"/>
  <c r="F514" i="9"/>
  <c r="F524" i="9"/>
  <c r="F181" i="9"/>
  <c r="F498" i="9"/>
  <c r="F104" i="9"/>
  <c r="F450" i="9"/>
  <c r="F128" i="9"/>
  <c r="F151" i="9"/>
  <c r="H457" i="9"/>
  <c r="H357" i="9"/>
  <c r="H302" i="9"/>
  <c r="H50" i="9"/>
  <c r="H250" i="9"/>
  <c r="H62" i="9"/>
  <c r="H605" i="9"/>
  <c r="H253" i="9"/>
  <c r="H386" i="9"/>
  <c r="H402" i="9"/>
  <c r="H312" i="9"/>
  <c r="H111" i="9"/>
  <c r="H284" i="9"/>
  <c r="H411" i="9"/>
  <c r="F282" i="9"/>
  <c r="F218" i="9"/>
  <c r="H596" i="9"/>
  <c r="H240" i="9"/>
  <c r="H267" i="9"/>
  <c r="H568" i="9"/>
  <c r="H234" i="9"/>
  <c r="F165" i="9"/>
  <c r="F211" i="9"/>
  <c r="F188" i="9"/>
  <c r="H27" i="9"/>
  <c r="H51" i="9"/>
  <c r="H492" i="9"/>
  <c r="H108" i="9"/>
  <c r="H574" i="9"/>
  <c r="H188" i="9"/>
  <c r="F238" i="9"/>
  <c r="F275" i="9"/>
  <c r="H525" i="9"/>
  <c r="H418" i="9"/>
  <c r="H507" i="9"/>
  <c r="F108" i="9"/>
  <c r="H163" i="9"/>
  <c r="H279" i="9"/>
  <c r="H94" i="9"/>
  <c r="H332" i="9"/>
  <c r="H455" i="9"/>
  <c r="F612" i="9"/>
  <c r="F453" i="9"/>
  <c r="F539" i="9"/>
  <c r="F481" i="9"/>
  <c r="F109" i="9"/>
  <c r="F504" i="9"/>
  <c r="F394" i="9"/>
  <c r="F235" i="9"/>
  <c r="H603" i="9"/>
  <c r="H340" i="9"/>
  <c r="H360" i="9"/>
  <c r="H462" i="9"/>
  <c r="H528" i="9"/>
  <c r="H67" i="9"/>
  <c r="H308" i="9"/>
  <c r="H467" i="9"/>
  <c r="H330" i="9"/>
  <c r="H190" i="9"/>
  <c r="H170" i="9"/>
  <c r="H470" i="9"/>
  <c r="H255" i="9"/>
  <c r="H114" i="9"/>
  <c r="H320" i="9"/>
  <c r="H474" i="9"/>
  <c r="H233" i="9"/>
  <c r="H135" i="9"/>
  <c r="H601" i="9"/>
  <c r="H148" i="9"/>
  <c r="H476" i="9"/>
  <c r="H425" i="9"/>
  <c r="H161" i="9"/>
  <c r="F397" i="9"/>
  <c r="F61" i="9"/>
  <c r="F468" i="9"/>
  <c r="F552" i="9"/>
  <c r="F472" i="9"/>
  <c r="F124" i="9"/>
  <c r="F140" i="9"/>
  <c r="F156" i="9"/>
  <c r="H29" i="9"/>
  <c r="H222" i="9"/>
  <c r="H519" i="9"/>
  <c r="H305" i="9"/>
  <c r="H615" i="9"/>
  <c r="H444" i="9"/>
  <c r="H440" i="9"/>
  <c r="H79" i="9"/>
  <c r="H421" i="9"/>
  <c r="H95" i="9"/>
  <c r="H296" i="9"/>
  <c r="H482" i="9"/>
  <c r="H423" i="9"/>
  <c r="H503" i="9"/>
  <c r="H123" i="9"/>
  <c r="H322" i="9"/>
  <c r="H128" i="9"/>
  <c r="H219" i="9"/>
  <c r="H583" i="9"/>
  <c r="H149" i="9"/>
  <c r="H602" i="9"/>
  <c r="H508" i="9"/>
  <c r="H611" i="9"/>
  <c r="F451" i="9"/>
  <c r="H244" i="9"/>
  <c r="H537" i="9"/>
  <c r="H577" i="9"/>
  <c r="F176" i="9"/>
  <c r="F268" i="9"/>
  <c r="H54" i="9"/>
  <c r="H66" i="9"/>
  <c r="H398" i="9"/>
  <c r="H558" i="9"/>
  <c r="H591" i="9"/>
  <c r="GL140" i="9" l="1"/>
  <c r="GL76" i="9"/>
  <c r="GL150" i="9"/>
  <c r="GL96" i="9"/>
  <c r="GL36" i="9"/>
  <c r="GL24" i="9"/>
  <c r="GL149" i="9"/>
  <c r="GL50" i="9"/>
  <c r="GL75" i="9"/>
  <c r="GL110" i="9"/>
  <c r="GL43" i="9"/>
  <c r="GL93" i="9"/>
  <c r="GL92" i="9"/>
  <c r="GL34" i="9"/>
  <c r="GL57" i="9"/>
  <c r="GL145" i="9"/>
  <c r="GL134" i="9"/>
  <c r="GL125" i="9"/>
  <c r="GL116" i="9"/>
  <c r="GL109" i="9"/>
  <c r="GL101" i="9"/>
  <c r="GL91" i="9"/>
  <c r="GL81" i="9"/>
  <c r="GL73" i="9"/>
  <c r="GL65" i="9"/>
  <c r="GL56" i="9"/>
  <c r="GL121" i="9"/>
  <c r="GL128" i="9"/>
  <c r="GL85" i="9"/>
  <c r="GL148" i="9"/>
  <c r="GL84" i="9"/>
  <c r="GL118" i="9"/>
  <c r="GL117" i="9"/>
  <c r="GL37" i="9"/>
  <c r="GL66" i="9"/>
  <c r="GL144" i="9"/>
  <c r="GL133" i="9"/>
  <c r="GL25" i="9"/>
  <c r="GL32" i="9"/>
  <c r="GL108" i="9"/>
  <c r="GL100" i="9"/>
  <c r="GL40" i="9"/>
  <c r="GL26" i="9"/>
  <c r="GL72" i="9"/>
  <c r="GL35" i="9"/>
  <c r="GL55" i="9"/>
  <c r="GL129" i="9"/>
  <c r="GL86" i="9"/>
  <c r="GL153" i="9"/>
  <c r="GL28" i="9"/>
  <c r="GL103" i="9"/>
  <c r="GL68" i="9"/>
  <c r="GL137" i="9"/>
  <c r="GL74" i="9"/>
  <c r="GL102" i="9"/>
  <c r="GL46" i="9"/>
  <c r="GL143" i="9"/>
  <c r="GL27" i="9"/>
  <c r="GL124" i="9"/>
  <c r="GL115" i="9"/>
  <c r="GL107" i="9"/>
  <c r="GL30" i="9"/>
  <c r="GL90" i="9"/>
  <c r="GL80" i="9"/>
  <c r="GL71" i="9"/>
  <c r="GL23" i="9"/>
  <c r="GL54" i="9"/>
  <c r="GL151" i="9"/>
  <c r="GL97" i="9"/>
  <c r="GL61" i="9"/>
  <c r="GL139" i="9"/>
  <c r="GL44" i="9"/>
  <c r="GL95" i="9"/>
  <c r="GL33" i="9"/>
  <c r="GL127" i="9"/>
  <c r="GL38" i="9"/>
  <c r="GL31" i="9"/>
  <c r="GL67" i="9"/>
  <c r="GL146" i="9"/>
  <c r="GL82" i="9"/>
  <c r="GL51" i="9"/>
  <c r="GL132" i="9"/>
  <c r="GL123" i="9"/>
  <c r="GL114" i="9"/>
  <c r="GL106" i="9"/>
  <c r="GL29" i="9"/>
  <c r="GL89" i="9"/>
  <c r="GL79" i="9"/>
  <c r="GL70" i="9"/>
  <c r="GL64" i="9"/>
  <c r="GL53" i="9"/>
  <c r="GL112" i="9"/>
  <c r="GL111" i="9"/>
  <c r="GL119" i="9"/>
  <c r="GL41" i="9"/>
  <c r="GL136" i="9"/>
  <c r="GL39" i="9"/>
  <c r="GL42" i="9"/>
  <c r="GL135" i="9"/>
  <c r="GL142" i="9"/>
  <c r="GL131" i="9"/>
  <c r="GL122" i="9"/>
  <c r="GL48" i="9"/>
  <c r="GL105" i="9"/>
  <c r="GL99" i="9"/>
  <c r="GL88" i="9"/>
  <c r="GL78" i="9"/>
  <c r="GL154" i="9"/>
  <c r="GL63" i="9"/>
  <c r="GL52" i="9"/>
  <c r="GL104" i="9"/>
  <c r="GL120" i="9"/>
  <c r="GL60" i="9"/>
  <c r="GL138" i="9"/>
  <c r="GL47" i="9"/>
  <c r="GL94" i="9"/>
  <c r="GL59" i="9"/>
  <c r="GL147" i="9"/>
  <c r="GL83" i="9"/>
  <c r="GL58" i="9"/>
  <c r="GL126" i="9"/>
  <c r="GL152" i="9"/>
  <c r="GL141" i="9"/>
  <c r="GL130" i="9"/>
  <c r="GL49" i="9"/>
  <c r="GL113" i="9"/>
  <c r="GL45" i="9"/>
  <c r="GL98" i="9"/>
  <c r="GL87" i="9"/>
  <c r="GL77" i="9"/>
  <c r="GL69" i="9"/>
  <c r="GL62" i="9"/>
  <c r="GL22" i="9"/>
  <c r="GA224" i="9"/>
  <c r="GA172" i="9"/>
  <c r="GA92" i="9"/>
  <c r="GA209" i="9"/>
  <c r="GA58" i="9"/>
  <c r="GA149" i="9"/>
  <c r="GA122" i="9"/>
  <c r="GA193" i="9"/>
  <c r="GA81" i="9"/>
  <c r="GA185" i="9"/>
  <c r="GA182" i="9"/>
  <c r="GA125" i="9"/>
  <c r="GA28" i="9"/>
  <c r="GA212" i="9"/>
  <c r="GA112" i="9"/>
  <c r="GA183" i="9"/>
  <c r="GA158" i="9"/>
  <c r="GA220" i="9"/>
  <c r="GA208" i="9"/>
  <c r="GA175" i="9"/>
  <c r="GA102" i="9"/>
  <c r="GA68" i="9"/>
  <c r="GA80" i="9"/>
  <c r="GA180" i="9"/>
  <c r="GA216" i="9"/>
  <c r="GA190" i="9"/>
  <c r="GA168" i="9"/>
  <c r="GA179" i="9"/>
  <c r="GA48" i="9"/>
  <c r="GA105" i="9"/>
  <c r="GA173" i="9"/>
  <c r="GA60" i="9"/>
  <c r="GA111" i="9"/>
  <c r="GA140" i="9"/>
  <c r="GA115" i="9"/>
  <c r="GA137" i="9"/>
  <c r="GA218" i="9"/>
  <c r="GA23" i="9"/>
  <c r="GA170" i="9"/>
  <c r="GA177" i="9"/>
  <c r="GA135" i="9"/>
  <c r="GA195" i="9"/>
  <c r="GA31" i="9"/>
  <c r="GA50" i="9"/>
  <c r="GA150" i="9"/>
  <c r="GA88" i="9"/>
  <c r="GA97" i="9"/>
  <c r="GA163" i="9"/>
  <c r="GA154" i="9"/>
  <c r="GA39" i="9"/>
  <c r="GA72" i="9"/>
  <c r="GA56" i="9"/>
  <c r="GA25" i="9"/>
  <c r="GA87" i="9"/>
  <c r="GA94" i="9"/>
  <c r="GA64" i="9"/>
  <c r="GA76" i="9"/>
  <c r="GA219" i="9"/>
  <c r="GA205" i="9"/>
  <c r="GA113" i="9"/>
  <c r="GA36" i="9"/>
  <c r="GA174" i="9"/>
  <c r="GA131" i="9"/>
  <c r="GA184" i="9"/>
  <c r="GA142" i="9"/>
  <c r="GA49" i="9"/>
  <c r="GA52" i="9"/>
  <c r="GA71" i="9"/>
  <c r="GA69" i="9"/>
  <c r="GA165" i="9"/>
  <c r="GA84" i="9"/>
  <c r="GA161" i="9"/>
  <c r="GA101" i="9"/>
  <c r="GA106" i="9"/>
  <c r="GA35" i="9"/>
  <c r="GA126" i="9"/>
  <c r="GA134" i="9"/>
  <c r="GA33" i="9"/>
  <c r="GA146" i="9"/>
  <c r="GA67" i="9"/>
  <c r="GA98" i="9"/>
  <c r="GA73" i="9"/>
  <c r="GA78" i="9"/>
  <c r="GA22" i="9"/>
  <c r="GA61" i="9"/>
  <c r="GA38" i="9"/>
  <c r="GA201" i="9"/>
  <c r="GA95" i="9"/>
  <c r="GA162" i="9"/>
  <c r="GA47" i="9"/>
  <c r="GA86" i="9"/>
  <c r="GA62" i="9"/>
  <c r="GA121" i="9"/>
  <c r="GA26" i="9"/>
  <c r="GA96" i="9"/>
  <c r="GA30" i="9"/>
  <c r="GA119" i="9"/>
  <c r="GA127" i="9"/>
  <c r="GA93" i="9"/>
  <c r="GA160" i="9"/>
  <c r="GA117" i="9"/>
  <c r="GA156" i="9"/>
  <c r="GA152" i="9"/>
  <c r="GA181" i="9"/>
  <c r="GA223" i="9"/>
  <c r="GA214" i="9"/>
  <c r="GA89" i="9"/>
  <c r="GA203" i="9"/>
  <c r="GA129" i="9"/>
  <c r="GA104" i="9"/>
  <c r="GA120" i="9"/>
  <c r="GA44" i="9"/>
  <c r="GA188" i="9"/>
  <c r="GA151" i="9"/>
  <c r="GA99" i="9"/>
  <c r="GA43" i="9"/>
  <c r="GA207" i="9"/>
  <c r="GA206" i="9"/>
  <c r="GA143" i="9"/>
  <c r="GA66" i="9"/>
  <c r="GA42" i="9"/>
  <c r="GA133" i="9"/>
  <c r="GA29" i="9"/>
  <c r="GA153" i="9"/>
  <c r="GA225" i="9"/>
  <c r="GA108" i="9"/>
  <c r="GA164" i="9"/>
  <c r="GA178" i="9"/>
  <c r="GA198" i="9"/>
  <c r="GA27" i="9"/>
  <c r="GA189" i="9"/>
  <c r="GA53" i="9"/>
  <c r="GA187" i="9"/>
  <c r="GA124" i="9"/>
  <c r="GA100" i="9"/>
  <c r="GA145" i="9"/>
  <c r="GA123" i="9"/>
  <c r="GA213" i="9"/>
  <c r="GA79" i="9"/>
  <c r="GA200" i="9"/>
  <c r="GA37" i="9"/>
  <c r="GA109" i="9"/>
  <c r="GA167" i="9"/>
  <c r="GA107" i="9"/>
  <c r="GA24" i="9"/>
  <c r="GA41" i="9"/>
  <c r="GA148" i="9"/>
  <c r="GA74" i="9"/>
  <c r="GA139" i="9"/>
  <c r="GA210" i="9"/>
  <c r="GA118" i="9"/>
  <c r="GA51" i="9"/>
  <c r="GA196" i="9"/>
  <c r="GA204" i="9"/>
  <c r="GA171" i="9"/>
  <c r="GA46" i="9"/>
  <c r="GA191" i="9"/>
  <c r="GA197" i="9"/>
  <c r="GA147" i="9"/>
  <c r="GA83" i="9"/>
  <c r="GA211" i="9"/>
  <c r="GA45" i="9"/>
  <c r="GA57" i="9"/>
  <c r="GA82" i="9"/>
  <c r="GA138" i="9"/>
  <c r="GA54" i="9"/>
  <c r="GA155" i="9"/>
  <c r="GA176" i="9"/>
  <c r="GA116" i="9"/>
  <c r="GA91" i="9"/>
  <c r="GA90" i="9"/>
  <c r="GA130" i="9"/>
  <c r="GA202" i="9"/>
  <c r="GA128" i="9"/>
  <c r="GA114" i="9"/>
  <c r="GA103" i="9"/>
  <c r="GA70" i="9"/>
  <c r="GA192" i="9"/>
  <c r="GA222" i="9"/>
  <c r="GA221" i="9"/>
  <c r="GA166" i="9"/>
  <c r="GA157" i="9"/>
  <c r="GA217" i="9"/>
  <c r="GA215" i="9"/>
  <c r="GA63" i="9"/>
  <c r="GA169" i="9"/>
  <c r="GA110" i="9"/>
  <c r="GA77" i="9"/>
  <c r="GA59" i="9"/>
  <c r="GA194" i="9"/>
  <c r="GA65" i="9"/>
  <c r="GA55" i="9"/>
  <c r="GA159" i="9"/>
  <c r="GA136" i="9"/>
  <c r="GA34" i="9"/>
  <c r="GA40" i="9"/>
  <c r="GA75" i="9"/>
  <c r="GA186" i="9"/>
  <c r="GA132" i="9"/>
  <c r="GA32" i="9"/>
  <c r="GA144" i="9"/>
  <c r="GA141" i="9"/>
  <c r="GA85" i="9"/>
  <c r="GA199"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91" i="9"/>
  <c r="FP103" i="9"/>
  <c r="FP117" i="9"/>
  <c r="FP108" i="9"/>
  <c r="FP134" i="9"/>
  <c r="FP78" i="9"/>
  <c r="FP101" i="9"/>
  <c r="FP113" i="9"/>
  <c r="FP164" i="9"/>
  <c r="FP129" i="9"/>
  <c r="FP45" i="9"/>
  <c r="FP102" i="9"/>
  <c r="FP39" i="9"/>
  <c r="FP38" i="9"/>
  <c r="FP148" i="9"/>
  <c r="FP94" i="9"/>
  <c r="FP28" i="9"/>
  <c r="FP138" i="9"/>
  <c r="FP126" i="9"/>
  <c r="FP84" i="9"/>
  <c r="FP122" i="9"/>
  <c r="FP163" i="9"/>
  <c r="FP145" i="9"/>
  <c r="FP153" i="9"/>
  <c r="FP73" i="9"/>
  <c r="FP120" i="9"/>
  <c r="FP31" i="9"/>
  <c r="FP170" i="9"/>
  <c r="FP174" i="9"/>
  <c r="FP90" i="9"/>
  <c r="FP23" i="9"/>
  <c r="FP127" i="9"/>
  <c r="FP147" i="9"/>
  <c r="FP25" i="9"/>
  <c r="FP160" i="9"/>
  <c r="FP139" i="9"/>
  <c r="FP150" i="9"/>
  <c r="FP135" i="9"/>
  <c r="FP159" i="9"/>
  <c r="FP98" i="9"/>
  <c r="FP63" i="9"/>
  <c r="FP93" i="9"/>
  <c r="FP115" i="9"/>
  <c r="FP112" i="9"/>
  <c r="FP59" i="9"/>
  <c r="FP107" i="9"/>
  <c r="FP57" i="9"/>
  <c r="FP172" i="9"/>
  <c r="FP144" i="9"/>
  <c r="FP142" i="9"/>
  <c r="FP168" i="9"/>
  <c r="FP34" i="9"/>
  <c r="FP96" i="9"/>
  <c r="FP111" i="9"/>
  <c r="FP54" i="9"/>
  <c r="FP121" i="9"/>
  <c r="FP123" i="9"/>
  <c r="FP68" i="9"/>
  <c r="FP64" i="9"/>
  <c r="FP104" i="9"/>
  <c r="FP49" i="9"/>
  <c r="FP66" i="9"/>
  <c r="FP89" i="9"/>
  <c r="FP77" i="9"/>
  <c r="FP32" i="9"/>
  <c r="FP100" i="9"/>
  <c r="FP173" i="9"/>
  <c r="FP131" i="9"/>
  <c r="FP27" i="9"/>
  <c r="FP40" i="9"/>
  <c r="FP86" i="9"/>
  <c r="FP110" i="9"/>
  <c r="FP81" i="9"/>
  <c r="FP80" i="9"/>
  <c r="FP24" i="9"/>
  <c r="FP52" i="9"/>
  <c r="FP22" i="9"/>
  <c r="FP114" i="9"/>
  <c r="FP116" i="9"/>
  <c r="FP105" i="9"/>
  <c r="FP43" i="9"/>
  <c r="FP35" i="9"/>
  <c r="FP46" i="9"/>
  <c r="FP44" i="9"/>
  <c r="FP133" i="9"/>
  <c r="FP166" i="9"/>
  <c r="FP136" i="9"/>
  <c r="FP48" i="9"/>
  <c r="FP36" i="9"/>
  <c r="FP82" i="9"/>
  <c r="FP171" i="9"/>
  <c r="FP169" i="9"/>
  <c r="FP118" i="9"/>
  <c r="FP42" i="9"/>
  <c r="FP130" i="9"/>
  <c r="FP41" i="9"/>
  <c r="FP26" i="9"/>
  <c r="FP151" i="9"/>
  <c r="FP58" i="9"/>
  <c r="FP156" i="9"/>
  <c r="FP56" i="9"/>
  <c r="FP76" i="9"/>
  <c r="FP143" i="9"/>
  <c r="FP162" i="9"/>
  <c r="FP67" i="9"/>
  <c r="FP157" i="9"/>
  <c r="FP47" i="9"/>
  <c r="FP154" i="9"/>
  <c r="FP119" i="9"/>
  <c r="FP87" i="9"/>
  <c r="FP74" i="9"/>
  <c r="FP95" i="9"/>
  <c r="FP61" i="9"/>
  <c r="FP155" i="9"/>
  <c r="FP50" i="9"/>
  <c r="FP124" i="9"/>
  <c r="FP30" i="9"/>
  <c r="FP99" i="9"/>
  <c r="FP65" i="9"/>
  <c r="FP140" i="9"/>
  <c r="FP92" i="9"/>
  <c r="FP146" i="9"/>
  <c r="FP125" i="9"/>
  <c r="FP165" i="9"/>
  <c r="FP71" i="9"/>
  <c r="FP79" i="9"/>
  <c r="FP53" i="9"/>
  <c r="FP33" i="9"/>
  <c r="FP149" i="9"/>
  <c r="FE63" i="9"/>
  <c r="FE170" i="9"/>
  <c r="FE169" i="9"/>
  <c r="FE49" i="9"/>
  <c r="FE126" i="9"/>
  <c r="FE238" i="9"/>
  <c r="FE231" i="9"/>
  <c r="FE213" i="9"/>
  <c r="FE107" i="9"/>
  <c r="FE136" i="9"/>
  <c r="FE55" i="9"/>
  <c r="FE123" i="9"/>
  <c r="FE72" i="9"/>
  <c r="FE201" i="9"/>
  <c r="FE153" i="9"/>
  <c r="FE215" i="9"/>
  <c r="FE67" i="9"/>
  <c r="FE27" i="9"/>
  <c r="FE108" i="9"/>
  <c r="FE178" i="9"/>
  <c r="FE144" i="9"/>
  <c r="FE236" i="9"/>
  <c r="FE71" i="9"/>
  <c r="FE87" i="9"/>
  <c r="FE86" i="9"/>
  <c r="FE171" i="9"/>
  <c r="FE211" i="9"/>
  <c r="FE140" i="9"/>
  <c r="FE166" i="9"/>
  <c r="FE45" i="9"/>
  <c r="FE124" i="9"/>
  <c r="FE202" i="9"/>
  <c r="FE103" i="9"/>
  <c r="FE113" i="9"/>
  <c r="FE200" i="9"/>
  <c r="FE112" i="9"/>
  <c r="FE191" i="9"/>
  <c r="FE187" i="9"/>
  <c r="FE143" i="9"/>
  <c r="FE174" i="9"/>
  <c r="FE209" i="9"/>
  <c r="FE93" i="9"/>
  <c r="FE196" i="9"/>
  <c r="FE60" i="9"/>
  <c r="FE57" i="9"/>
  <c r="FE232" i="9"/>
  <c r="FE50" i="9"/>
  <c r="FE207" i="9"/>
  <c r="FE41" i="9"/>
  <c r="FE164" i="9"/>
  <c r="FE225" i="9"/>
  <c r="FE192" i="9"/>
  <c r="FE199" i="9"/>
  <c r="FE227" i="9"/>
  <c r="FE120" i="9"/>
  <c r="FE139" i="9"/>
  <c r="FE99" i="9"/>
  <c r="FE159" i="9"/>
  <c r="FE220" i="9"/>
  <c r="FE69" i="9"/>
  <c r="FE168" i="9"/>
  <c r="FE216" i="9"/>
  <c r="FE31" i="9"/>
  <c r="FE240" i="9"/>
  <c r="FE156" i="9"/>
  <c r="FE237" i="9"/>
  <c r="FE119" i="9"/>
  <c r="FE212" i="9"/>
  <c r="FE132" i="9"/>
  <c r="FE24" i="9"/>
  <c r="FE59" i="9"/>
  <c r="FE56" i="9"/>
  <c r="FE155" i="9"/>
  <c r="FE91" i="9"/>
  <c r="FE44" i="9"/>
  <c r="FE194" i="9"/>
  <c r="FE38" i="9"/>
  <c r="FE36" i="9"/>
  <c r="FE206" i="9"/>
  <c r="FE228" i="9"/>
  <c r="FE182" i="9"/>
  <c r="FE180" i="9"/>
  <c r="FE118" i="9"/>
  <c r="FE66" i="9"/>
  <c r="FE235" i="9"/>
  <c r="FE230" i="9"/>
  <c r="FE226" i="9"/>
  <c r="FE179" i="9"/>
  <c r="FE79" i="9"/>
  <c r="FE117" i="9"/>
  <c r="FE23" i="9"/>
  <c r="FE162" i="9"/>
  <c r="FE189" i="9"/>
  <c r="FE129" i="9"/>
  <c r="FE214" i="9"/>
  <c r="FE163" i="9"/>
  <c r="FE122" i="9"/>
  <c r="FE239" i="9"/>
  <c r="FE78" i="9"/>
  <c r="FE175" i="9"/>
  <c r="FE224" i="9"/>
  <c r="FE197" i="9"/>
  <c r="FE217" i="9"/>
  <c r="FE62" i="9"/>
  <c r="FE97" i="9"/>
  <c r="FE84" i="9"/>
  <c r="FE53" i="9"/>
  <c r="FE127" i="9"/>
  <c r="FE110" i="9"/>
  <c r="FE130" i="9"/>
  <c r="FE190" i="9"/>
  <c r="FE35" i="9"/>
  <c r="FE135" i="9"/>
  <c r="FE30" i="9"/>
  <c r="FE134" i="9"/>
  <c r="FE94" i="9"/>
  <c r="FE100" i="9"/>
  <c r="FE142" i="9"/>
  <c r="FE138" i="9"/>
  <c r="FE125" i="9"/>
  <c r="FE40" i="9"/>
  <c r="FE150" i="9"/>
  <c r="FE218" i="9"/>
  <c r="FE114" i="9"/>
  <c r="FE154" i="9"/>
  <c r="FE177" i="9"/>
  <c r="FE92" i="9"/>
  <c r="FE115" i="9"/>
  <c r="FE39" i="9"/>
  <c r="FE184" i="9"/>
  <c r="FE82" i="9"/>
  <c r="FE80" i="9"/>
  <c r="FE77" i="9"/>
  <c r="FE75" i="9"/>
  <c r="FE198" i="9"/>
  <c r="FE68" i="9"/>
  <c r="FE219" i="9"/>
  <c r="FE106" i="9"/>
  <c r="FE111" i="9"/>
  <c r="FE141" i="9"/>
  <c r="FE208" i="9"/>
  <c r="FE210" i="9"/>
  <c r="FE203" i="9"/>
  <c r="FE95" i="9"/>
  <c r="FE83" i="9"/>
  <c r="FE34" i="9"/>
  <c r="FE102" i="9"/>
  <c r="FE29" i="9"/>
  <c r="FE158" i="9"/>
  <c r="FE101" i="9"/>
  <c r="FE116" i="9"/>
  <c r="FE54" i="9"/>
  <c r="FE104" i="9"/>
  <c r="FE160" i="9"/>
  <c r="FE173" i="9"/>
  <c r="FE70" i="9"/>
  <c r="FE195" i="9"/>
  <c r="FE48" i="9"/>
  <c r="FE186" i="9"/>
  <c r="FE32" i="9"/>
  <c r="FE241" i="9"/>
  <c r="FE98" i="9"/>
  <c r="FE151" i="9"/>
  <c r="FE90" i="9"/>
  <c r="FE147" i="9"/>
  <c r="FE176" i="9"/>
  <c r="FE74" i="9"/>
  <c r="FE25" i="9"/>
  <c r="FE133" i="9"/>
  <c r="FE65" i="9"/>
  <c r="FE61" i="9"/>
  <c r="FE188" i="9"/>
  <c r="FE233" i="9"/>
  <c r="FE52" i="9"/>
  <c r="FE181" i="9"/>
  <c r="FE165" i="9"/>
  <c r="FE193" i="9"/>
  <c r="FE37" i="9"/>
  <c r="FE161" i="9"/>
  <c r="FE33" i="9"/>
  <c r="FE148" i="9"/>
  <c r="FE205" i="9"/>
  <c r="FE81" i="9"/>
  <c r="FE146" i="9"/>
  <c r="FE145" i="9"/>
  <c r="FE204" i="9"/>
  <c r="FE172" i="9"/>
  <c r="FE88" i="9"/>
  <c r="FE152" i="9"/>
  <c r="FE105" i="9"/>
  <c r="FE234" i="9"/>
  <c r="FE96" i="9"/>
  <c r="FE128" i="9"/>
  <c r="FE47" i="9"/>
  <c r="FE43" i="9"/>
  <c r="FE109" i="9"/>
  <c r="FE221" i="9"/>
  <c r="FE131" i="9"/>
  <c r="FE149" i="9"/>
  <c r="FE183" i="9"/>
  <c r="FE26" i="9"/>
  <c r="FE89" i="9"/>
  <c r="FE157" i="9"/>
  <c r="FE76" i="9"/>
  <c r="FE73" i="9"/>
  <c r="FE223" i="9"/>
  <c r="FE222" i="9"/>
  <c r="FE64" i="9"/>
  <c r="FE85" i="9"/>
  <c r="FE58" i="9"/>
  <c r="FE167" i="9"/>
  <c r="FE51" i="9"/>
  <c r="FE46" i="9"/>
  <c r="FE42" i="9"/>
  <c r="FE137" i="9"/>
  <c r="FE185" i="9"/>
  <c r="FE229" i="9"/>
  <c r="FE22" i="9"/>
  <c r="FE28" i="9"/>
  <c r="FE121" i="9"/>
  <c r="ET307" i="9"/>
  <c r="ET110" i="9"/>
  <c r="ET298" i="9"/>
  <c r="ET299" i="9"/>
  <c r="ET224" i="9"/>
  <c r="ET100" i="9"/>
  <c r="ET93" i="9"/>
  <c r="ET205" i="9"/>
  <c r="ET328" i="9"/>
  <c r="ET265" i="9"/>
  <c r="ET262" i="9"/>
  <c r="ET106" i="9"/>
  <c r="ET206" i="9"/>
  <c r="ET184" i="9"/>
  <c r="ET215" i="9"/>
  <c r="ET270" i="9"/>
  <c r="ET212" i="9"/>
  <c r="ET203" i="9"/>
  <c r="ET141" i="9"/>
  <c r="ET170" i="9"/>
  <c r="ET309" i="9"/>
  <c r="ET327" i="9"/>
  <c r="ET64" i="9"/>
  <c r="ET320" i="9"/>
  <c r="ET201" i="9"/>
  <c r="ET132" i="9"/>
  <c r="ET32" i="9"/>
  <c r="ET295" i="9"/>
  <c r="ET315" i="9"/>
  <c r="ET182" i="9"/>
  <c r="ET268" i="9"/>
  <c r="ET57" i="9"/>
  <c r="ET186" i="9"/>
  <c r="ET223" i="9"/>
  <c r="ET229" i="9"/>
  <c r="ET85" i="9"/>
  <c r="ET81" i="9"/>
  <c r="ET273" i="9"/>
  <c r="ET163" i="9"/>
  <c r="ET76" i="9"/>
  <c r="ET271" i="9"/>
  <c r="ET146" i="9"/>
  <c r="ET292" i="9"/>
  <c r="ET26" i="9"/>
  <c r="ET126" i="9"/>
  <c r="ET287" i="9"/>
  <c r="ET89" i="9"/>
  <c r="ET135" i="9"/>
  <c r="ET318" i="9"/>
  <c r="ET291" i="9"/>
  <c r="ET319" i="9"/>
  <c r="ET316" i="9"/>
  <c r="ET30" i="9"/>
  <c r="ET218" i="9"/>
  <c r="ET56" i="9"/>
  <c r="ET157" i="9"/>
  <c r="ET276" i="9"/>
  <c r="ET134" i="9"/>
  <c r="ET131" i="9"/>
  <c r="ET139" i="9"/>
  <c r="ET234" i="9"/>
  <c r="ET219" i="9"/>
  <c r="ET136" i="9"/>
  <c r="ET310" i="9"/>
  <c r="ET256" i="9"/>
  <c r="ET253" i="9"/>
  <c r="ET77" i="9"/>
  <c r="ET74" i="9"/>
  <c r="ET247" i="9"/>
  <c r="ET62" i="9"/>
  <c r="ET305" i="9"/>
  <c r="ET197" i="9"/>
  <c r="ET289" i="9"/>
  <c r="ET122" i="9"/>
  <c r="ET87" i="9"/>
  <c r="ET84" i="9"/>
  <c r="ET80" i="9"/>
  <c r="ET158" i="9"/>
  <c r="ET228" i="9"/>
  <c r="ET79" i="9"/>
  <c r="ET137" i="9"/>
  <c r="ET102" i="9"/>
  <c r="ET237" i="9"/>
  <c r="ET174" i="9"/>
  <c r="ET314" i="9"/>
  <c r="ET217" i="9"/>
  <c r="ET185" i="9"/>
  <c r="ET193" i="9"/>
  <c r="ET211" i="9"/>
  <c r="ET334" i="9"/>
  <c r="ET108" i="9"/>
  <c r="ET104" i="9"/>
  <c r="ET73" i="9"/>
  <c r="ET29" i="9"/>
  <c r="ET244" i="9"/>
  <c r="ET98" i="9"/>
  <c r="ET55" i="9"/>
  <c r="ET239" i="9"/>
  <c r="ET91" i="9"/>
  <c r="ET166" i="9"/>
  <c r="ET119" i="9"/>
  <c r="ET329" i="9"/>
  <c r="ET279" i="9"/>
  <c r="ET63" i="9"/>
  <c r="ET321" i="9"/>
  <c r="ET164" i="9"/>
  <c r="ET261" i="9"/>
  <c r="ET71" i="9"/>
  <c r="ET242" i="9"/>
  <c r="ET266" i="9"/>
  <c r="ET47" i="9"/>
  <c r="ET43" i="9"/>
  <c r="ET221" i="9"/>
  <c r="ET317" i="9"/>
  <c r="ET306" i="9"/>
  <c r="ET138" i="9"/>
  <c r="ET207" i="9"/>
  <c r="ET177" i="9"/>
  <c r="ET300" i="9"/>
  <c r="ET198" i="9"/>
  <c r="ET52" i="9"/>
  <c r="ET24" i="9"/>
  <c r="ET144" i="9"/>
  <c r="ET42" i="9"/>
  <c r="ET332" i="9"/>
  <c r="ET250" i="9"/>
  <c r="ET161" i="9"/>
  <c r="ET169" i="9"/>
  <c r="ET113" i="9"/>
  <c r="ET330" i="9"/>
  <c r="ET246" i="9"/>
  <c r="ET162" i="9"/>
  <c r="ET187" i="9"/>
  <c r="ET263" i="9"/>
  <c r="ET82" i="9"/>
  <c r="ET180" i="9"/>
  <c r="ET296" i="9"/>
  <c r="ET173" i="9"/>
  <c r="ET70" i="9"/>
  <c r="ET116" i="9"/>
  <c r="ET60" i="9"/>
  <c r="ET210" i="9"/>
  <c r="ET213" i="9"/>
  <c r="ET92" i="9"/>
  <c r="ET195" i="9"/>
  <c r="ET86" i="9"/>
  <c r="ET35" i="9"/>
  <c r="ET269" i="9"/>
  <c r="ET181" i="9"/>
  <c r="ET129" i="9"/>
  <c r="ET128" i="9"/>
  <c r="ET95" i="9"/>
  <c r="ET53" i="9"/>
  <c r="ET303" i="9"/>
  <c r="ET125" i="9"/>
  <c r="ET124" i="9"/>
  <c r="ET167" i="9"/>
  <c r="ET323" i="9"/>
  <c r="ET194" i="9"/>
  <c r="ET225" i="9"/>
  <c r="ET142" i="9"/>
  <c r="ET140" i="9"/>
  <c r="ET175" i="9"/>
  <c r="ET192" i="9"/>
  <c r="ET208" i="9"/>
  <c r="ET254" i="9"/>
  <c r="ET252" i="9"/>
  <c r="ET179" i="9"/>
  <c r="ET235" i="9"/>
  <c r="ET249" i="9"/>
  <c r="ET172" i="9"/>
  <c r="ET65" i="9"/>
  <c r="ET199" i="9"/>
  <c r="ET227" i="9"/>
  <c r="ET333" i="9"/>
  <c r="ET154" i="9"/>
  <c r="ET326" i="9"/>
  <c r="ET257" i="9"/>
  <c r="ET127" i="9"/>
  <c r="ET267" i="9"/>
  <c r="ET324" i="9"/>
  <c r="ET288" i="9"/>
  <c r="ET226" i="9"/>
  <c r="ET285" i="9"/>
  <c r="ET143" i="9"/>
  <c r="ET23" i="9"/>
  <c r="ET283" i="9"/>
  <c r="ET301" i="9"/>
  <c r="ET148" i="9"/>
  <c r="ET69" i="9"/>
  <c r="ET200" i="9"/>
  <c r="ET220" i="9"/>
  <c r="ET61" i="9"/>
  <c r="ET59" i="9"/>
  <c r="ET99" i="9"/>
  <c r="ET304" i="9"/>
  <c r="ET258" i="9"/>
  <c r="ET216" i="9"/>
  <c r="ET202" i="9"/>
  <c r="ET312" i="9"/>
  <c r="ET115" i="9"/>
  <c r="ET168" i="9"/>
  <c r="ET46" i="9"/>
  <c r="ET121" i="9"/>
  <c r="ET114" i="9"/>
  <c r="ET165" i="9"/>
  <c r="ET22" i="9"/>
  <c r="ET152" i="9"/>
  <c r="ET33" i="9"/>
  <c r="ET112" i="9"/>
  <c r="ET109" i="9"/>
  <c r="ET107" i="9"/>
  <c r="ET105" i="9"/>
  <c r="ET75" i="9"/>
  <c r="ET118" i="9"/>
  <c r="ET68" i="9"/>
  <c r="ET336" i="9"/>
  <c r="ET245" i="9"/>
  <c r="ET190" i="9"/>
  <c r="ET233" i="9"/>
  <c r="ET58" i="9"/>
  <c r="ET171" i="9"/>
  <c r="ET188" i="9"/>
  <c r="ET160" i="9"/>
  <c r="ET325" i="9"/>
  <c r="ET51" i="9"/>
  <c r="ET49" i="9"/>
  <c r="ET264" i="9"/>
  <c r="ET45" i="9"/>
  <c r="ET302" i="9"/>
  <c r="ET153" i="9"/>
  <c r="ET41" i="9"/>
  <c r="ET38" i="9"/>
  <c r="ET331" i="9"/>
  <c r="ET83" i="9"/>
  <c r="ET251" i="9"/>
  <c r="ET294" i="9"/>
  <c r="ET145" i="9"/>
  <c r="ET335" i="9"/>
  <c r="ET290" i="9"/>
  <c r="ET311" i="9"/>
  <c r="ET322" i="9"/>
  <c r="ET40" i="9"/>
  <c r="ET37"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08" i="9"/>
  <c r="ET150" i="9"/>
  <c r="ET78" i="9"/>
  <c r="ET281" i="9"/>
  <c r="ET260" i="9"/>
  <c r="ET67" i="9"/>
  <c r="ET103" i="9"/>
  <c r="ET101" i="9"/>
  <c r="ET183" i="9"/>
  <c r="ET189" i="9"/>
  <c r="ET94" i="9"/>
  <c r="ET159" i="9"/>
  <c r="ET50" i="9"/>
  <c r="ET286" i="9"/>
  <c r="ET90" i="9"/>
  <c r="ET274" i="9"/>
  <c r="ET133"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DX260" i="9"/>
  <c r="DX661" i="9"/>
  <c r="DX596" i="9"/>
  <c r="DX426" i="9"/>
  <c r="DX241" i="9"/>
  <c r="DX26" i="9"/>
  <c r="DX425" i="9"/>
  <c r="DX354" i="9"/>
  <c r="DX621" i="9"/>
  <c r="DX201" i="9"/>
  <c r="DX385" i="9"/>
  <c r="DX56" i="9"/>
  <c r="DX315" i="9"/>
  <c r="DX420" i="9"/>
  <c r="DX61" i="9"/>
  <c r="DX125" i="9"/>
  <c r="DX410" i="9"/>
  <c r="DX581" i="9"/>
  <c r="DX684" i="9"/>
  <c r="DX297" i="9"/>
  <c r="DX617" i="9"/>
  <c r="DX622" i="9"/>
  <c r="DX486" i="9"/>
  <c r="DX562" i="9"/>
  <c r="DX683" i="9"/>
  <c r="DX120" i="9"/>
  <c r="DX719" i="9"/>
  <c r="DX599" i="9"/>
  <c r="DX527" i="9"/>
  <c r="DX225" i="9"/>
  <c r="DX591" i="9"/>
  <c r="DX566" i="9"/>
  <c r="DX102" i="9"/>
  <c r="DX184" i="9"/>
  <c r="DX173" i="9"/>
  <c r="DX373" i="9"/>
  <c r="DX335" i="9"/>
  <c r="DX446" i="9"/>
  <c r="DX639" i="9"/>
  <c r="DX82" i="9"/>
  <c r="DX619" i="9"/>
  <c r="DX636" i="9"/>
  <c r="DX132" i="9"/>
  <c r="DX287" i="9"/>
  <c r="DX642" i="9"/>
  <c r="DX460" i="9"/>
  <c r="DX37" i="9"/>
  <c r="DX146" i="9"/>
  <c r="DX268" i="9"/>
  <c r="DX455" i="9"/>
  <c r="DX383" i="9"/>
  <c r="DX747" i="9"/>
  <c r="DX63" i="9"/>
  <c r="DX586" i="9"/>
  <c r="DX746" i="9"/>
  <c r="DX740" i="9"/>
  <c r="DX422" i="9"/>
  <c r="DX493" i="9"/>
  <c r="DX169" i="9"/>
  <c r="DX79" i="9"/>
  <c r="DX214" i="9"/>
  <c r="DX62" i="9"/>
  <c r="DX209" i="9"/>
  <c r="DX406" i="9"/>
  <c r="DX561" i="9"/>
  <c r="DX743" i="9"/>
  <c r="DX429" i="9"/>
  <c r="DX633" i="9"/>
  <c r="DX316" i="9"/>
  <c r="DX217" i="9"/>
  <c r="DX546" i="9"/>
  <c r="DX694" i="9"/>
  <c r="DX348" i="9"/>
  <c r="DX151" i="9"/>
  <c r="DX262" i="9"/>
  <c r="DX495" i="9"/>
  <c r="DX108" i="9"/>
  <c r="DX206" i="9"/>
  <c r="DX291" i="9"/>
  <c r="DX468" i="9"/>
  <c r="DX679" i="9"/>
  <c r="DX222" i="9"/>
  <c r="DX669" i="9"/>
  <c r="DX616" i="9"/>
  <c r="DX716" i="9"/>
  <c r="DX706" i="9"/>
  <c r="DX76" i="9"/>
  <c r="DX476" i="9"/>
  <c r="DX210" i="9"/>
  <c r="DX198" i="9"/>
  <c r="DX638" i="9"/>
  <c r="DX427" i="9"/>
  <c r="DX418" i="9"/>
  <c r="DX172" i="9"/>
  <c r="DX392" i="9"/>
  <c r="DX483" i="9"/>
  <c r="DX531" i="9"/>
  <c r="DX235" i="9"/>
  <c r="DX148" i="9"/>
  <c r="DX188" i="9"/>
  <c r="DX436" i="9"/>
  <c r="DX737" i="9"/>
  <c r="DX457" i="9"/>
  <c r="DX549" i="9"/>
  <c r="DX294" i="9"/>
  <c r="DX288" i="9"/>
  <c r="DX357" i="9"/>
  <c r="DX204" i="9"/>
  <c r="DX326" i="9"/>
  <c r="DX523" i="9"/>
  <c r="DX431" i="9"/>
  <c r="DX112" i="9"/>
  <c r="DX520" i="9"/>
  <c r="DX391" i="9"/>
  <c r="DX382" i="9"/>
  <c r="DX286" i="9"/>
  <c r="DX594" i="9"/>
  <c r="DX224" i="9"/>
  <c r="DX447" i="9"/>
  <c r="DX275" i="9"/>
  <c r="DX443" i="9"/>
  <c r="DX122" i="9"/>
  <c r="DX36" i="9"/>
  <c r="DX731" i="9"/>
  <c r="DX415" i="9"/>
  <c r="DX405" i="9"/>
  <c r="DX400" i="9"/>
  <c r="DX389" i="9"/>
  <c r="DX379" i="9"/>
  <c r="DX480" i="9"/>
  <c r="DX693" i="9"/>
  <c r="DX59" i="9"/>
  <c r="DX248" i="9"/>
  <c r="DX328" i="9"/>
  <c r="DX620" i="9"/>
  <c r="DX259" i="9"/>
  <c r="DX94" i="9"/>
  <c r="DX442" i="9"/>
  <c r="DX569" i="9"/>
  <c r="DX430" i="9"/>
  <c r="DX34" i="9"/>
  <c r="DX721" i="9"/>
  <c r="DX402" i="9"/>
  <c r="DX93" i="9"/>
  <c r="DX508" i="9"/>
  <c r="DX600" i="9"/>
  <c r="DX479" i="9"/>
  <c r="DX358" i="9"/>
  <c r="DX58" i="9"/>
  <c r="DX682" i="9"/>
  <c r="DX327" i="9"/>
  <c r="DX673" i="9"/>
  <c r="DX742" i="9"/>
  <c r="DX568" i="9"/>
  <c r="DX729" i="9"/>
  <c r="DX613" i="9"/>
  <c r="DX174" i="9"/>
  <c r="DX548" i="9"/>
  <c r="DX704" i="9"/>
  <c r="DX748" i="9"/>
  <c r="DX72" i="9"/>
  <c r="DX356" i="9"/>
  <c r="DX57" i="9"/>
  <c r="DX464" i="9"/>
  <c r="DX42" i="9"/>
  <c r="DX461" i="9"/>
  <c r="DX744" i="9"/>
  <c r="DX437" i="9"/>
  <c r="DX433" i="9"/>
  <c r="DX428" i="9"/>
  <c r="DX202" i="9"/>
  <c r="DX419" i="9"/>
  <c r="DX724" i="9"/>
  <c r="DX267" i="9"/>
  <c r="DX401" i="9"/>
  <c r="DX258" i="9"/>
  <c r="DX454" i="9"/>
  <c r="DX216" i="9"/>
  <c r="DX485" i="9"/>
  <c r="DX238" i="9"/>
  <c r="DX75" i="9"/>
  <c r="DX71" i="9"/>
  <c r="DX475" i="9"/>
  <c r="DX66" i="9"/>
  <c r="DX137" i="9"/>
  <c r="DX53" i="9"/>
  <c r="DX466" i="9"/>
  <c r="DX462" i="9"/>
  <c r="DX579" i="9"/>
  <c r="DX572" i="9"/>
  <c r="DX672" i="9"/>
  <c r="DX741" i="9"/>
  <c r="DX459" i="9"/>
  <c r="DX736" i="9"/>
  <c r="DX32" i="9"/>
  <c r="DX105" i="9"/>
  <c r="DX612" i="9"/>
  <c r="DX99" i="9"/>
  <c r="DX608" i="9"/>
  <c r="DX489" i="9"/>
  <c r="DX565" i="9"/>
  <c r="DX81" i="9"/>
  <c r="DX701" i="9"/>
  <c r="DX226" i="9"/>
  <c r="DX453" i="9"/>
  <c r="DX213" i="9"/>
  <c r="DX158" i="9"/>
  <c r="DX189" i="9"/>
  <c r="DX250" i="9"/>
  <c r="DX646" i="9"/>
  <c r="DX150" i="9"/>
  <c r="DX575" i="9"/>
  <c r="DX128" i="9"/>
  <c r="DX441" i="9"/>
  <c r="DX203" i="9"/>
  <c r="DX118" i="9"/>
  <c r="DX134" i="9"/>
  <c r="DX735" i="9"/>
  <c r="DX218" i="9"/>
  <c r="DX104" i="9"/>
  <c r="DX409" i="9"/>
  <c r="DX404" i="9"/>
  <c r="DX96" i="9"/>
  <c r="DX509" i="9"/>
  <c r="DX705" i="9"/>
  <c r="DX167" i="9"/>
  <c r="DX573" i="9"/>
  <c r="DX193" i="9"/>
  <c r="DX284" i="9"/>
  <c r="DX654" i="9"/>
  <c r="DX502" i="9"/>
  <c r="DX236" i="9"/>
  <c r="DX687" i="9"/>
  <c r="DX339" i="9"/>
  <c r="DX678" i="9"/>
  <c r="DX676" i="9"/>
  <c r="DX186" i="9"/>
  <c r="DX440" i="9"/>
  <c r="DX123" i="9"/>
  <c r="DX117" i="9"/>
  <c r="DX182" i="9"/>
  <c r="DX667" i="9"/>
  <c r="DX635" i="9"/>
  <c r="DX103" i="9"/>
  <c r="DX629" i="9"/>
  <c r="DX317" i="9"/>
  <c r="DX607" i="9"/>
  <c r="DX92" i="9"/>
  <c r="DX395" i="9"/>
  <c r="DX487" i="9"/>
  <c r="DX28" i="9"/>
  <c r="DX545" i="9"/>
  <c r="DX452" i="9"/>
  <c r="DX560" i="9"/>
  <c r="DX653" i="9"/>
  <c r="DX558" i="9"/>
  <c r="DX500" i="9"/>
  <c r="DX587" i="9"/>
  <c r="DX332" i="9"/>
  <c r="DX641" i="9"/>
  <c r="DX445" i="9"/>
  <c r="DX439" i="9"/>
  <c r="DX121" i="9"/>
  <c r="DX434" i="9"/>
  <c r="DX234" i="9"/>
  <c r="DX733" i="9"/>
  <c r="DX133" i="9"/>
  <c r="DX416" i="9"/>
  <c r="DX176" i="9"/>
  <c r="DX97" i="9"/>
  <c r="DX171" i="9"/>
  <c r="DX197" i="9"/>
  <c r="DX87" i="9"/>
  <c r="DX131" i="9"/>
  <c r="DX577" i="9"/>
  <c r="DX138" i="9"/>
  <c r="DX73" i="9"/>
  <c r="DX559" i="9"/>
  <c r="DX67" i="9"/>
  <c r="DX24" i="9"/>
  <c r="DX154" i="9"/>
  <c r="DX526" i="9"/>
  <c r="DX677" i="9"/>
  <c r="DX674" i="9"/>
  <c r="DX305" i="9"/>
  <c r="DX35" i="9"/>
  <c r="DX734" i="9"/>
  <c r="DX541" i="9"/>
  <c r="DX728" i="9"/>
  <c r="DX107" i="9"/>
  <c r="DX723" i="9"/>
  <c r="DX232" i="9"/>
  <c r="DX519" i="9"/>
  <c r="DX98" i="9"/>
  <c r="DX663" i="9"/>
  <c r="DX242" i="9"/>
  <c r="DX535" i="9"/>
  <c r="DX30" i="9"/>
  <c r="DX394" i="9"/>
  <c r="DX293" i="9"/>
  <c r="DX312" i="9"/>
  <c r="DX78" i="9"/>
  <c r="DX228" i="9"/>
  <c r="DX375" i="9"/>
  <c r="DX481" i="9"/>
  <c r="DX370" i="9"/>
  <c r="DX367" i="9"/>
  <c r="DX160" i="9"/>
  <c r="DX692" i="9"/>
  <c r="DX157" i="9"/>
  <c r="DX648" i="9"/>
  <c r="DX557" i="9"/>
  <c r="DX647" i="9"/>
  <c r="DX555" i="9"/>
  <c r="DX338" i="9"/>
  <c r="DX584" i="9"/>
  <c r="DX247" i="9"/>
  <c r="DX41" i="9"/>
  <c r="DX321" i="9"/>
  <c r="DX745" i="9"/>
  <c r="DX320" i="9"/>
  <c r="DX671" i="9"/>
  <c r="DX116" i="9"/>
  <c r="DX261" i="9"/>
  <c r="DX304" i="9"/>
  <c r="DX522" i="9"/>
  <c r="DX666" i="9"/>
  <c r="DX110" i="9"/>
  <c r="DX632" i="9"/>
  <c r="DX301" i="9"/>
  <c r="DX300" i="9"/>
  <c r="DX611" i="9"/>
  <c r="DX511" i="9"/>
  <c r="DX31" i="9"/>
  <c r="DX710" i="9"/>
  <c r="DX195" i="9"/>
  <c r="DX398" i="9"/>
  <c r="DX88" i="9"/>
  <c r="DX488" i="9"/>
  <c r="DX386" i="9"/>
  <c r="DX580" i="9"/>
  <c r="DX311" i="9"/>
  <c r="DX290" i="9"/>
  <c r="DX252" i="9"/>
  <c r="DX697" i="9"/>
  <c r="DX595" i="9"/>
  <c r="DX361" i="9"/>
  <c r="DX691" i="9"/>
  <c r="DX353" i="9"/>
  <c r="DX60" i="9"/>
  <c r="DX590" i="9"/>
  <c r="DX278" i="9"/>
  <c r="DX499" i="9"/>
  <c r="DX50" i="9"/>
  <c r="DX643" i="9"/>
  <c r="DX45" i="9"/>
  <c r="DX675" i="9"/>
  <c r="DX181" i="9"/>
  <c r="DX220" i="9"/>
  <c r="DX521" i="9"/>
  <c r="DX109" i="9"/>
  <c r="DX106" i="9"/>
  <c r="DX269" i="9"/>
  <c r="DX631" i="9"/>
  <c r="DX550" i="9"/>
  <c r="DX717" i="9"/>
  <c r="DX713" i="9"/>
  <c r="DX298" i="9"/>
  <c r="DX257" i="9"/>
  <c r="DX707" i="9"/>
  <c r="DX314" i="9"/>
  <c r="DX86" i="9"/>
  <c r="DX240" i="9"/>
  <c r="DX574" i="9"/>
  <c r="DX700" i="9"/>
  <c r="DX310" i="9"/>
  <c r="DX518" i="9"/>
  <c r="DX695" i="9"/>
  <c r="DX70" i="9"/>
  <c r="DX360" i="9"/>
  <c r="DX471" i="9"/>
  <c r="DX281" i="9"/>
  <c r="DX350" i="9"/>
  <c r="DX344" i="9"/>
  <c r="DX589" i="9"/>
  <c r="DX194" i="9"/>
  <c r="DX585" i="9"/>
  <c r="DX463" i="9"/>
  <c r="DX135" i="9"/>
  <c r="DX40" i="9"/>
  <c r="DX185" i="9"/>
  <c r="DX515" i="9"/>
  <c r="DX124" i="9"/>
  <c r="DX208" i="9"/>
  <c r="DX183" i="9"/>
  <c r="DX114" i="9"/>
  <c r="DX668" i="9"/>
  <c r="DX272" i="9"/>
  <c r="DX730" i="9"/>
  <c r="DX458" i="9"/>
  <c r="DX270" i="9"/>
  <c r="DX411" i="9"/>
  <c r="DX630" i="9"/>
  <c r="DX665" i="9"/>
  <c r="DX175" i="9"/>
  <c r="DX712" i="9"/>
  <c r="DX660" i="9"/>
  <c r="DX143" i="9"/>
  <c r="DX547" i="9"/>
  <c r="DX168" i="9"/>
  <c r="DX388" i="9"/>
  <c r="DX80" i="9"/>
  <c r="DX563" i="9"/>
  <c r="DX377" i="9"/>
  <c r="DX506" i="9"/>
  <c r="DX625" i="9"/>
  <c r="DX624" i="9"/>
  <c r="DX366" i="9"/>
  <c r="DX282" i="9"/>
  <c r="DX592" i="9"/>
  <c r="DX651" i="9"/>
  <c r="DX265" i="9"/>
  <c r="DX529" i="9"/>
  <c r="DX153" i="9"/>
  <c r="DX308" i="9"/>
  <c r="DX644" i="9"/>
  <c r="DX583" i="9"/>
  <c r="DX525" i="9"/>
  <c r="DX323" i="9"/>
  <c r="DX496" i="9"/>
  <c r="DX444" i="9"/>
  <c r="DX263" i="9"/>
  <c r="DX38" i="9"/>
  <c r="DX435" i="9"/>
  <c r="DX115" i="9"/>
  <c r="DX494" i="9"/>
  <c r="DX553" i="9"/>
  <c r="DX618" i="9"/>
  <c r="DX219" i="9"/>
  <c r="DX540" i="9"/>
  <c r="DX417" i="9"/>
  <c r="DX614" i="9"/>
  <c r="DX177" i="9"/>
  <c r="DX100" i="9"/>
  <c r="DX664" i="9"/>
  <c r="DX711" i="9"/>
  <c r="DX709" i="9"/>
  <c r="DX170" i="9"/>
  <c r="DX89" i="9"/>
  <c r="DX255" i="9"/>
  <c r="DX254" i="9"/>
  <c r="DX384" i="9"/>
  <c r="DX602" i="9"/>
  <c r="DX484" i="9"/>
  <c r="DX699" i="9"/>
  <c r="DX74" i="9"/>
  <c r="DX369" i="9"/>
  <c r="DX161" i="9"/>
  <c r="DX474" i="9"/>
  <c r="DX470" i="9"/>
  <c r="DX650" i="9"/>
  <c r="DX25" i="9"/>
  <c r="DX251" i="9"/>
  <c r="DX341" i="9"/>
  <c r="DX517" i="9"/>
  <c r="DX681" i="9"/>
  <c r="DX331" i="9"/>
  <c r="DX44" i="9"/>
  <c r="DX245" i="9"/>
  <c r="DX658" i="9"/>
  <c r="DX83" i="9"/>
  <c r="DX703" i="9"/>
  <c r="DX507" i="9"/>
  <c r="DX166" i="9"/>
  <c r="DX601" i="9"/>
  <c r="DX139" i="9"/>
  <c r="DX199" i="9"/>
  <c r="DX374" i="9"/>
  <c r="DX698" i="9"/>
  <c r="DX478" i="9"/>
  <c r="DX598" i="9"/>
  <c r="DX503" i="9"/>
  <c r="DX364" i="9"/>
  <c r="DX362" i="9"/>
  <c r="DX68" i="9"/>
  <c r="DX690" i="9"/>
  <c r="DX689" i="9"/>
  <c r="DX156" i="9"/>
  <c r="DX649" i="9"/>
  <c r="DX467" i="9"/>
  <c r="DX345" i="9"/>
  <c r="DX342" i="9"/>
  <c r="DX588" i="9"/>
  <c r="DX276" i="9"/>
  <c r="DX498" i="9"/>
  <c r="DX337" i="9"/>
  <c r="DX48" i="9"/>
  <c r="DX333" i="9"/>
  <c r="DX149" i="9"/>
  <c r="DX582" i="9"/>
  <c r="DX324" i="9"/>
  <c r="DX187" i="9"/>
  <c r="DX516" i="9"/>
  <c r="DX273" i="9"/>
  <c r="DX221" i="9"/>
  <c r="DX571" i="9"/>
  <c r="DX670" i="9"/>
  <c r="DX432" i="9"/>
  <c r="DX514" i="9"/>
  <c r="DX738" i="9"/>
  <c r="DX180" i="9"/>
  <c r="DX732" i="9"/>
  <c r="DX179" i="9"/>
  <c r="DX111" i="9"/>
  <c r="DX727" i="9"/>
  <c r="DX725" i="9"/>
  <c r="DX414" i="9"/>
  <c r="DX720" i="9"/>
  <c r="DX512" i="9"/>
  <c r="DX407" i="9"/>
  <c r="DX299" i="9"/>
  <c r="DX492" i="9"/>
  <c r="DX715" i="9"/>
  <c r="DX243" i="9"/>
  <c r="DX510" i="9"/>
  <c r="DX399" i="9"/>
  <c r="DX266" i="9"/>
  <c r="DX91" i="9"/>
  <c r="DX256" i="9"/>
  <c r="DX659" i="9"/>
  <c r="DX85" i="9"/>
  <c r="DX292" i="9"/>
  <c r="DX656" i="9"/>
  <c r="DX603" i="9"/>
  <c r="DX380" i="9"/>
  <c r="DX534" i="9"/>
  <c r="DX205" i="9"/>
  <c r="DX505" i="9"/>
  <c r="DX482" i="9"/>
  <c r="DX163" i="9"/>
  <c r="DX477" i="9"/>
  <c r="DX451" i="9"/>
  <c r="DX130" i="9"/>
  <c r="DX191" i="9"/>
  <c r="DX359" i="9"/>
  <c r="DX543" i="9"/>
  <c r="DX652" i="9"/>
  <c r="DX280" i="9"/>
  <c r="DX688" i="9"/>
  <c r="DX623" i="9"/>
  <c r="DX347" i="9"/>
  <c r="DX55" i="9"/>
  <c r="DX686" i="9"/>
  <c r="DX528" i="9"/>
  <c r="DX52" i="9"/>
  <c r="DX576" i="9"/>
  <c r="DX680" i="9"/>
  <c r="DX47" i="9"/>
  <c r="DX554" i="9"/>
  <c r="DX246" i="9"/>
  <c r="DX325" i="9"/>
  <c r="DX39" i="9"/>
  <c r="DX129" i="9"/>
  <c r="DX127" i="9"/>
  <c r="DX126" i="9"/>
  <c r="DX438" i="9"/>
  <c r="DX570" i="9"/>
  <c r="DX119" i="9"/>
  <c r="DX637" i="9"/>
  <c r="DX739" i="9"/>
  <c r="DX113" i="9"/>
  <c r="DX303" i="9"/>
  <c r="DX424" i="9"/>
  <c r="DX33" i="9"/>
  <c r="DX634" i="9"/>
  <c r="DX726" i="9"/>
  <c r="DX615" i="9"/>
  <c r="DX413" i="9"/>
  <c r="DX145" i="9"/>
  <c r="DX628" i="9"/>
  <c r="DX718" i="9"/>
  <c r="DX610" i="9"/>
  <c r="DX456" i="9"/>
  <c r="DX714" i="9"/>
  <c r="DX200" i="9"/>
  <c r="DX606" i="9"/>
  <c r="DX627" i="9"/>
  <c r="DX142" i="9"/>
  <c r="DX90" i="9"/>
  <c r="DX296" i="9"/>
  <c r="DX230" i="9"/>
  <c r="DX84" i="9"/>
  <c r="DX253" i="9"/>
  <c r="DX29" i="9"/>
  <c r="DX381" i="9"/>
  <c r="DX141" i="9"/>
  <c r="DX533" i="9"/>
  <c r="DX227" i="9"/>
  <c r="DX289" i="9"/>
  <c r="DX544" i="9"/>
  <c r="DX372" i="9"/>
  <c r="DX696" i="9"/>
  <c r="DX450" i="9"/>
  <c r="DX365" i="9"/>
  <c r="DX363" i="9"/>
  <c r="DX212" i="9"/>
  <c r="DX355" i="9"/>
  <c r="DX469" i="9"/>
  <c r="DX211" i="9"/>
  <c r="DX352" i="9"/>
  <c r="DX196" i="9"/>
  <c r="DX155" i="9"/>
  <c r="DX343" i="9"/>
  <c r="DX54" i="9"/>
  <c r="DX542" i="9"/>
  <c r="DX264" i="9"/>
  <c r="DX51" i="9"/>
  <c r="DX336" i="9"/>
  <c r="DX307" i="9"/>
  <c r="DX330" i="9"/>
  <c r="DX147" i="9"/>
  <c r="DX43" i="9"/>
  <c r="DX322" i="9"/>
  <c r="DX302" i="9"/>
  <c r="DX513" i="9"/>
  <c r="DX421" i="9"/>
  <c r="DX567" i="9"/>
  <c r="DX551" i="9"/>
  <c r="DX412" i="9"/>
  <c r="DX538" i="9"/>
  <c r="DX408" i="9"/>
  <c r="DX537" i="9"/>
  <c r="DX244" i="9"/>
  <c r="DX491" i="9"/>
  <c r="DX536" i="9"/>
  <c r="DX490" i="9"/>
  <c r="DX605" i="9"/>
  <c r="DX578" i="9"/>
  <c r="DX231" i="9"/>
  <c r="DX397" i="9"/>
  <c r="DX295" i="9"/>
  <c r="DX390" i="9"/>
  <c r="DX387" i="9"/>
  <c r="DX313" i="9"/>
  <c r="DX564" i="9"/>
  <c r="DX77" i="9"/>
  <c r="DX239" i="9"/>
  <c r="DX140" i="9"/>
  <c r="DX165" i="9"/>
  <c r="DX192" i="9"/>
  <c r="DX532" i="9"/>
  <c r="DX285" i="9"/>
  <c r="DX504" i="9"/>
  <c r="DX597" i="9"/>
  <c r="DX162" i="9"/>
  <c r="DX69" i="9"/>
  <c r="DX473" i="9"/>
  <c r="DX593" i="9"/>
  <c r="DX237" i="9"/>
  <c r="DX65" i="9"/>
  <c r="DX351" i="9"/>
  <c r="DX349" i="9"/>
  <c r="DX346" i="9"/>
  <c r="DX501" i="9"/>
  <c r="DX685" i="9"/>
  <c r="DX277" i="9"/>
  <c r="DX340" i="9"/>
  <c r="DX645" i="9"/>
  <c r="DX49" i="9"/>
  <c r="DX306" i="9"/>
  <c r="DX23" i="9"/>
  <c r="DX22" i="9"/>
  <c r="DX274" i="9"/>
  <c r="DX640" i="9"/>
  <c r="DX207" i="9"/>
  <c r="DX319" i="9"/>
  <c r="DX552" i="9"/>
  <c r="DX423" i="9"/>
  <c r="DX271" i="9"/>
  <c r="DX178" i="9"/>
  <c r="DX539" i="9"/>
  <c r="DX722" i="9"/>
  <c r="DX233" i="9"/>
  <c r="DX318" i="9"/>
  <c r="DX101" i="9"/>
  <c r="DX403" i="9"/>
  <c r="DX144" i="9"/>
  <c r="DX609" i="9"/>
  <c r="DX662" i="9"/>
  <c r="DX95" i="9"/>
  <c r="DX604" i="9"/>
  <c r="DX708" i="9"/>
  <c r="DX396" i="9"/>
  <c r="DX393" i="9"/>
  <c r="DX229" i="9"/>
  <c r="DX626" i="9"/>
  <c r="DX657" i="9"/>
  <c r="DX702" i="9"/>
  <c r="DX655" i="9"/>
  <c r="DX378" i="9"/>
  <c r="DX215" i="9"/>
  <c r="DX376" i="9"/>
  <c r="DX309" i="9"/>
  <c r="DX164" i="9"/>
  <c r="DX371" i="9"/>
  <c r="DX27" i="9"/>
  <c r="DX368" i="9"/>
  <c r="DX283" i="9"/>
  <c r="DX449" i="9"/>
  <c r="DX159" i="9"/>
  <c r="DX472" i="9"/>
  <c r="DX190" i="9"/>
  <c r="DX64" i="9"/>
  <c r="DX448" i="9"/>
  <c r="DX530" i="9"/>
  <c r="DX279" i="9"/>
  <c r="DX556" i="9"/>
  <c r="DX249" i="9"/>
  <c r="DX136" i="9"/>
  <c r="DX152" i="9"/>
  <c r="DX465" i="9"/>
  <c r="DX223" i="9"/>
  <c r="DX334" i="9"/>
  <c r="DX46" i="9"/>
  <c r="DX329" i="9"/>
  <c r="DX524" i="9"/>
  <c r="DX497" i="9"/>
  <c r="CQ541" i="9"/>
  <c r="CQ333" i="9"/>
  <c r="CQ170" i="9"/>
  <c r="CQ120" i="9"/>
  <c r="CQ385" i="9"/>
  <c r="CQ568" i="9"/>
  <c r="CQ526" i="9"/>
  <c r="CQ224" i="9"/>
  <c r="CQ246" i="9"/>
  <c r="CQ407" i="9"/>
  <c r="CQ599" i="9"/>
  <c r="CQ344" i="9"/>
  <c r="CQ413" i="9"/>
  <c r="CQ420" i="9"/>
  <c r="CQ627" i="9"/>
  <c r="CQ518" i="9"/>
  <c r="CQ551" i="9"/>
  <c r="CQ166" i="9"/>
  <c r="CQ396" i="9"/>
  <c r="CQ401" i="9"/>
  <c r="CQ635" i="9"/>
  <c r="CQ426" i="9"/>
  <c r="CQ270" i="9"/>
  <c r="CQ153" i="9"/>
  <c r="CQ417" i="9"/>
  <c r="CQ238" i="9"/>
  <c r="CQ453" i="9"/>
  <c r="CQ410" i="9"/>
  <c r="CQ53" i="9"/>
  <c r="CQ512" i="9"/>
  <c r="CQ252" i="9"/>
  <c r="CQ121" i="9"/>
  <c r="CQ458" i="9"/>
  <c r="CQ101" i="9"/>
  <c r="CQ240" i="9"/>
  <c r="CQ90" i="9"/>
  <c r="CQ79" i="9"/>
  <c r="CQ258" i="9"/>
  <c r="CQ382" i="9"/>
  <c r="CQ369" i="9"/>
  <c r="CQ447" i="9"/>
  <c r="CQ271" i="9"/>
  <c r="CQ108" i="9"/>
  <c r="CQ593" i="9"/>
  <c r="CQ540" i="9"/>
  <c r="CQ374" i="9"/>
  <c r="CQ169" i="9"/>
  <c r="CQ350" i="9"/>
  <c r="CQ497" i="9"/>
  <c r="CQ44" i="9"/>
  <c r="CQ245" i="9"/>
  <c r="CQ117" i="9"/>
  <c r="CQ471" i="9"/>
  <c r="CQ469" i="9"/>
  <c r="CQ416" i="9"/>
  <c r="CQ352" i="9"/>
  <c r="CQ140" i="9"/>
  <c r="CQ606" i="9"/>
  <c r="CQ621" i="9"/>
  <c r="CQ40" i="9"/>
  <c r="CQ272" i="9"/>
  <c r="CQ182" i="9"/>
  <c r="CQ77" i="9"/>
  <c r="CQ406" i="9"/>
  <c r="CQ455" i="9"/>
  <c r="CQ167" i="9"/>
  <c r="CQ366" i="9"/>
  <c r="CQ284" i="9"/>
  <c r="CQ95" i="9"/>
  <c r="CQ508" i="9"/>
  <c r="CQ202" i="9"/>
  <c r="CQ114" i="9"/>
  <c r="CQ299" i="9"/>
  <c r="CQ338" i="9"/>
  <c r="CQ172" i="9"/>
  <c r="CQ436" i="9"/>
  <c r="CQ67" i="9"/>
  <c r="CQ308" i="9"/>
  <c r="CQ132" i="9"/>
  <c r="CQ507" i="9"/>
  <c r="CQ425" i="9"/>
  <c r="CQ89" i="9"/>
  <c r="CQ159" i="9"/>
  <c r="CQ300" i="9"/>
  <c r="CQ335" i="9"/>
  <c r="CQ69" i="9"/>
  <c r="CQ383" i="9"/>
  <c r="CQ39" i="9"/>
  <c r="CQ432" i="9"/>
  <c r="CQ581" i="9"/>
  <c r="CQ444" i="9"/>
  <c r="CQ154" i="9"/>
  <c r="CQ613" i="9"/>
  <c r="CQ354" i="9"/>
  <c r="CQ187" i="9"/>
  <c r="CQ531" i="9"/>
  <c r="CQ58" i="9"/>
  <c r="CQ403" i="9"/>
  <c r="CQ36" i="9"/>
  <c r="CQ191" i="9"/>
  <c r="CQ147" i="9"/>
  <c r="CQ137" i="9"/>
  <c r="CQ484" i="9"/>
  <c r="CQ565" i="9"/>
  <c r="CQ151" i="9"/>
  <c r="CQ244" i="9"/>
  <c r="CQ162" i="9"/>
  <c r="CQ293" i="9"/>
  <c r="CQ281" i="9"/>
  <c r="CQ405" i="9"/>
  <c r="CQ345" i="9"/>
  <c r="CQ572" i="9"/>
  <c r="CQ563" i="9"/>
  <c r="CQ285" i="9"/>
  <c r="CQ228" i="9"/>
  <c r="CQ592" i="9"/>
  <c r="CQ83" i="9"/>
  <c r="CQ607" i="9"/>
  <c r="CQ598" i="9"/>
  <c r="CQ46" i="9"/>
  <c r="CQ35" i="9"/>
  <c r="CQ342" i="9"/>
  <c r="CQ594" i="9"/>
  <c r="CQ423" i="9"/>
  <c r="CQ176" i="9"/>
  <c r="CQ180" i="9"/>
  <c r="CQ152" i="9"/>
  <c r="CQ544" i="9"/>
  <c r="CQ316" i="9"/>
  <c r="CQ387" i="9"/>
  <c r="CQ88" i="9"/>
  <c r="CQ81" i="9"/>
  <c r="CQ75" i="9"/>
  <c r="CQ65" i="9"/>
  <c r="CQ384" i="9"/>
  <c r="CQ57" i="9"/>
  <c r="CQ234" i="9"/>
  <c r="CQ45" i="9"/>
  <c r="CQ43" i="9"/>
  <c r="CQ381" i="9"/>
  <c r="CQ203" i="9"/>
  <c r="CQ597" i="9"/>
  <c r="CQ123" i="9"/>
  <c r="CQ445" i="9"/>
  <c r="CQ113" i="9"/>
  <c r="CQ561" i="9"/>
  <c r="CQ389" i="9"/>
  <c r="CQ580" i="9"/>
  <c r="CQ543" i="9"/>
  <c r="CQ189" i="9"/>
  <c r="CQ239" i="9"/>
  <c r="CQ393" i="9"/>
  <c r="CQ454" i="9"/>
  <c r="CQ161" i="9"/>
  <c r="CQ499" i="9"/>
  <c r="CQ168" i="9"/>
  <c r="CQ522" i="9"/>
  <c r="CQ585" i="9"/>
  <c r="CQ449" i="9"/>
  <c r="CQ400" i="9"/>
  <c r="CQ368" i="9"/>
  <c r="CQ275" i="9"/>
  <c r="CQ125" i="9"/>
  <c r="CQ616" i="9"/>
  <c r="CQ579" i="9"/>
  <c r="CQ144" i="9"/>
  <c r="CQ587" i="9"/>
  <c r="CQ521" i="9"/>
  <c r="CQ247" i="9"/>
  <c r="CQ430" i="9"/>
  <c r="CQ504" i="9"/>
  <c r="CQ428" i="9"/>
  <c r="CQ158" i="9"/>
  <c r="CQ178" i="9"/>
  <c r="CQ556" i="9"/>
  <c r="CQ105" i="9"/>
  <c r="CQ549" i="9"/>
  <c r="CQ337" i="9"/>
  <c r="CQ336" i="9"/>
  <c r="CQ479" i="9"/>
  <c r="CQ353" i="9"/>
  <c r="CQ463" i="9"/>
  <c r="CQ71" i="9"/>
  <c r="CQ411" i="9"/>
  <c r="CQ525" i="9"/>
  <c r="CQ349" i="9"/>
  <c r="CQ348" i="9"/>
  <c r="CQ576" i="9"/>
  <c r="CQ399" i="9"/>
  <c r="CQ495" i="9"/>
  <c r="CQ562" i="9"/>
  <c r="CQ267" i="9"/>
  <c r="CQ536" i="9"/>
  <c r="CQ414" i="9"/>
  <c r="CQ327" i="9"/>
  <c r="CQ514" i="9"/>
  <c r="CQ287" i="9"/>
  <c r="CQ129" i="9"/>
  <c r="CQ446" i="9"/>
  <c r="CQ31" i="9"/>
  <c r="CQ312" i="9"/>
  <c r="CQ490" i="9"/>
  <c r="CQ165" i="9"/>
  <c r="CQ470" i="9"/>
  <c r="CQ395" i="9"/>
  <c r="CQ440" i="9"/>
  <c r="CQ96" i="9"/>
  <c r="CQ489" i="9"/>
  <c r="CQ578" i="9"/>
  <c r="CQ26" i="9"/>
  <c r="CQ330" i="9"/>
  <c r="CQ623" i="9"/>
  <c r="CQ409" i="9"/>
  <c r="CQ56" i="9"/>
  <c r="CQ256" i="9"/>
  <c r="CQ620" i="9"/>
  <c r="CQ510" i="9"/>
  <c r="CQ204" i="9"/>
  <c r="CQ474" i="9"/>
  <c r="CQ424" i="9"/>
  <c r="CQ242" i="9"/>
  <c r="CQ537" i="9"/>
  <c r="CQ532" i="9"/>
  <c r="CQ210" i="9"/>
  <c r="CQ392" i="9"/>
  <c r="CQ429" i="9"/>
  <c r="CQ122" i="9"/>
  <c r="CQ208" i="9"/>
  <c r="CQ618" i="9"/>
  <c r="CQ184" i="9"/>
  <c r="CQ554" i="9"/>
  <c r="CQ419" i="9"/>
  <c r="CQ376" i="9"/>
  <c r="CQ143" i="9"/>
  <c r="CQ334" i="9"/>
  <c r="CQ464" i="9"/>
  <c r="CQ80" i="9"/>
  <c r="CQ624" i="9"/>
  <c r="CQ186" i="9"/>
  <c r="CQ498" i="9"/>
  <c r="CQ438" i="9"/>
  <c r="CQ306" i="9"/>
  <c r="CQ197" i="9"/>
  <c r="CQ509" i="9"/>
  <c r="CQ322" i="9"/>
  <c r="CQ630" i="9"/>
  <c r="CQ367" i="9"/>
  <c r="CQ632" i="9"/>
  <c r="CQ473" i="9"/>
  <c r="CQ567" i="9"/>
  <c r="CQ116" i="9"/>
  <c r="CQ181" i="9"/>
  <c r="CQ340" i="9"/>
  <c r="CQ339" i="9"/>
  <c r="CQ183" i="9"/>
  <c r="CQ269" i="9"/>
  <c r="CQ268" i="9"/>
  <c r="CQ174" i="9"/>
  <c r="CQ146" i="9"/>
  <c r="CQ217" i="9"/>
  <c r="CQ609" i="9"/>
  <c r="CQ87" i="9"/>
  <c r="CQ207" i="9"/>
  <c r="CQ591" i="9"/>
  <c r="CQ74" i="9"/>
  <c r="CQ68" i="9"/>
  <c r="CQ214" i="9"/>
  <c r="CQ136" i="9"/>
  <c r="CQ314" i="9"/>
  <c r="CQ486" i="9"/>
  <c r="CQ496" i="9"/>
  <c r="CQ516" i="9"/>
  <c r="CQ460" i="9"/>
  <c r="CQ22" i="9"/>
  <c r="CQ602" i="9"/>
  <c r="CQ230" i="9"/>
  <c r="CQ575" i="9"/>
  <c r="CQ126" i="9"/>
  <c r="CQ192" i="9"/>
  <c r="CQ571" i="9"/>
  <c r="CQ566" i="9"/>
  <c r="CQ29" i="9"/>
  <c r="CQ218" i="9"/>
  <c r="CQ559" i="9"/>
  <c r="CQ626" i="9"/>
  <c r="CQ104" i="9"/>
  <c r="CQ100" i="9"/>
  <c r="CQ321" i="9"/>
  <c r="CQ451" i="9"/>
  <c r="CQ97" i="9"/>
  <c r="CQ164" i="9"/>
  <c r="CQ294" i="9"/>
  <c r="CQ215" i="9"/>
  <c r="CQ309" i="9"/>
  <c r="CQ590" i="9"/>
  <c r="CQ351" i="9"/>
  <c r="CQ25" i="9"/>
  <c r="CQ260" i="9"/>
  <c r="CQ63" i="9"/>
  <c r="CQ257" i="9"/>
  <c r="CQ54" i="9"/>
  <c r="CQ50" i="9"/>
  <c r="CQ47" i="9"/>
  <c r="CQ223" i="9"/>
  <c r="CQ347" i="9"/>
  <c r="CQ398" i="9"/>
  <c r="CQ130" i="9"/>
  <c r="CQ628" i="9"/>
  <c r="CQ380" i="9"/>
  <c r="CQ363" i="9"/>
  <c r="CQ595" i="9"/>
  <c r="CQ119" i="9"/>
  <c r="CQ362" i="9"/>
  <c r="CQ421" i="9"/>
  <c r="CQ558" i="9"/>
  <c r="CQ155" i="9"/>
  <c r="CQ378" i="9"/>
  <c r="CQ175" i="9"/>
  <c r="CQ241" i="9"/>
  <c r="CQ357" i="9"/>
  <c r="CQ226" i="9"/>
  <c r="CQ171" i="9"/>
  <c r="CQ91" i="9"/>
  <c r="CQ86" i="9"/>
  <c r="CQ482" i="9"/>
  <c r="CQ141" i="9"/>
  <c r="CQ372" i="9"/>
  <c r="CQ235" i="9"/>
  <c r="CQ477" i="9"/>
  <c r="CQ62" i="9"/>
  <c r="CQ24" i="9"/>
  <c r="CQ485" i="9"/>
  <c r="CQ49" i="9"/>
  <c r="CQ370" i="9"/>
  <c r="CQ402" i="9"/>
  <c r="CQ213" i="9"/>
  <c r="CQ37" i="9"/>
  <c r="CQ583" i="9"/>
  <c r="CQ274" i="9"/>
  <c r="CQ32" i="9"/>
  <c r="CQ582" i="9"/>
  <c r="CQ427" i="9"/>
  <c r="CQ313" i="9"/>
  <c r="CQ564" i="9"/>
  <c r="CQ361" i="9"/>
  <c r="CQ457" i="9"/>
  <c r="CQ196" i="9"/>
  <c r="CQ103" i="9"/>
  <c r="CQ296" i="9"/>
  <c r="CQ150" i="9"/>
  <c r="CQ148" i="9"/>
  <c r="CQ539" i="9"/>
  <c r="CQ318" i="9"/>
  <c r="CQ319" i="9"/>
  <c r="CQ608" i="9"/>
  <c r="CQ633" i="9"/>
  <c r="CQ534" i="9"/>
  <c r="CQ72" i="9"/>
  <c r="CQ588" i="9"/>
  <c r="CQ259" i="9"/>
  <c r="CQ206" i="9"/>
  <c r="CQ199" i="9"/>
  <c r="CQ476" i="9"/>
  <c r="CQ307" i="9"/>
  <c r="CQ324" i="9"/>
  <c r="CQ131" i="9"/>
  <c r="CQ248" i="9"/>
  <c r="CQ304" i="9"/>
  <c r="CQ33" i="9"/>
  <c r="CQ177" i="9"/>
  <c r="CQ302" i="9"/>
  <c r="CQ560" i="9"/>
  <c r="CQ617" i="9"/>
  <c r="CQ634" i="9"/>
  <c r="CQ555" i="9"/>
  <c r="CQ358" i="9"/>
  <c r="CQ251" i="9"/>
  <c r="CQ317" i="9"/>
  <c r="CQ289" i="9"/>
  <c r="CQ266" i="9"/>
  <c r="CQ375" i="9"/>
  <c r="CQ610" i="9"/>
  <c r="CQ283" i="9"/>
  <c r="CQ265" i="9"/>
  <c r="CQ93" i="9"/>
  <c r="CQ201" i="9"/>
  <c r="CQ142" i="9"/>
  <c r="CQ163" i="9"/>
  <c r="CQ250" i="9"/>
  <c r="CQ386" i="9"/>
  <c r="CQ331" i="9"/>
  <c r="CQ76" i="9"/>
  <c r="CQ262" i="9"/>
  <c r="CQ139" i="9"/>
  <c r="CQ530" i="9"/>
  <c r="CQ450" i="9"/>
  <c r="CQ329" i="9"/>
  <c r="CQ61" i="9"/>
  <c r="CQ135" i="9"/>
  <c r="CQ134" i="9"/>
  <c r="CQ520" i="9"/>
  <c r="CQ519" i="9"/>
  <c r="CQ185" i="9"/>
  <c r="CQ193" i="9"/>
  <c r="CQ255" i="9"/>
  <c r="CQ254" i="9"/>
  <c r="CQ279" i="9"/>
  <c r="CQ231" i="9"/>
  <c r="CQ205" i="9"/>
  <c r="CQ221" i="9"/>
  <c r="CQ506" i="9"/>
  <c r="CQ629" i="9"/>
  <c r="CQ220" i="9"/>
  <c r="CQ124" i="9"/>
  <c r="CQ573" i="9"/>
  <c r="CQ391" i="9"/>
  <c r="CQ619" i="9"/>
  <c r="CQ118" i="9"/>
  <c r="CQ303" i="9"/>
  <c r="CQ112" i="9"/>
  <c r="CQ110" i="9"/>
  <c r="CQ442" i="9"/>
  <c r="CQ557" i="9"/>
  <c r="CQ379" i="9"/>
  <c r="CQ28" i="9"/>
  <c r="CQ553" i="9"/>
  <c r="CQ190" i="9"/>
  <c r="CQ500" i="9"/>
  <c r="CQ388" i="9"/>
  <c r="CQ545" i="9"/>
  <c r="CQ612" i="9"/>
  <c r="CQ611" i="9"/>
  <c r="CQ145" i="9"/>
  <c r="CQ468" i="9"/>
  <c r="CQ466" i="9"/>
  <c r="CQ92" i="9"/>
  <c r="CQ179" i="9"/>
  <c r="CQ365" i="9"/>
  <c r="CQ488" i="9"/>
  <c r="CQ84" i="9"/>
  <c r="CQ332" i="9"/>
  <c r="CQ78" i="9"/>
  <c r="CQ412" i="9"/>
  <c r="CQ70" i="9"/>
  <c r="CQ493" i="9"/>
  <c r="CQ529" i="9"/>
  <c r="CQ138" i="9"/>
  <c r="CQ291" i="9"/>
  <c r="CQ524" i="9"/>
  <c r="CQ586" i="9"/>
  <c r="CQ492" i="9"/>
  <c r="CQ133" i="9"/>
  <c r="CQ475" i="9"/>
  <c r="CQ604" i="9"/>
  <c r="CQ404" i="9"/>
  <c r="CQ515" i="9"/>
  <c r="CQ209" i="9"/>
  <c r="CQ305" i="9"/>
  <c r="CQ278" i="9"/>
  <c r="CQ491" i="9"/>
  <c r="CQ601" i="9"/>
  <c r="CQ160" i="9"/>
  <c r="CQ503" i="9"/>
  <c r="CQ229" i="9"/>
  <c r="CQ483" i="9"/>
  <c r="CQ30" i="9"/>
  <c r="CQ115" i="9"/>
  <c r="CQ219" i="9"/>
  <c r="CQ109" i="9"/>
  <c r="CQ341" i="9"/>
  <c r="CQ301" i="9"/>
  <c r="CQ156" i="9"/>
  <c r="CQ501" i="9"/>
  <c r="CQ552" i="9"/>
  <c r="CQ550" i="9"/>
  <c r="CQ614" i="9"/>
  <c r="CQ377" i="9"/>
  <c r="CQ418" i="9"/>
  <c r="CQ149" i="9"/>
  <c r="CQ288" i="9"/>
  <c r="CQ320" i="9"/>
  <c r="CQ467" i="9"/>
  <c r="CQ315" i="9"/>
  <c r="CQ415" i="9"/>
  <c r="CQ465" i="9"/>
  <c r="CQ211" i="9"/>
  <c r="CQ478" i="9"/>
  <c r="CQ194" i="9"/>
  <c r="CQ535" i="9"/>
  <c r="CQ589" i="9"/>
  <c r="CQ236" i="9"/>
  <c r="CQ462" i="9"/>
  <c r="CQ487" i="9"/>
  <c r="CQ528" i="9"/>
  <c r="CQ292" i="9"/>
  <c r="CQ328" i="9"/>
  <c r="CQ408" i="9"/>
  <c r="CQ60" i="9"/>
  <c r="CQ622" i="9"/>
  <c r="CQ605" i="9"/>
  <c r="CQ452" i="9"/>
  <c r="CQ517" i="9"/>
  <c r="CQ233" i="9"/>
  <c r="CQ232" i="9"/>
  <c r="CQ513" i="9"/>
  <c r="CQ222" i="9"/>
  <c r="CQ41" i="9"/>
  <c r="CQ253" i="9"/>
  <c r="CQ346" i="9"/>
  <c r="CQ34" i="9"/>
  <c r="CQ448" i="9"/>
  <c r="CQ128" i="9"/>
  <c r="CQ574" i="9"/>
  <c r="CQ286" i="9"/>
  <c r="CQ596" i="9"/>
  <c r="CQ570" i="9"/>
  <c r="CQ433" i="9"/>
  <c r="CQ502" i="9"/>
  <c r="CQ243" i="9"/>
  <c r="CQ111" i="9"/>
  <c r="CQ360" i="9"/>
  <c r="CQ107" i="9"/>
  <c r="CQ456" i="9"/>
  <c r="CQ480" i="9"/>
  <c r="CQ615" i="9"/>
  <c r="CQ441" i="9"/>
  <c r="CQ298" i="9"/>
  <c r="CQ548" i="9"/>
  <c r="CQ99" i="9"/>
  <c r="CQ98" i="9"/>
  <c r="CQ356" i="9"/>
  <c r="CQ27" i="9"/>
  <c r="CQ173" i="9"/>
  <c r="CQ295" i="9"/>
  <c r="CQ225" i="9"/>
  <c r="CQ195" i="9"/>
  <c r="CQ216" i="9"/>
  <c r="CQ310" i="9"/>
  <c r="CQ373" i="9"/>
  <c r="CQ263" i="9"/>
  <c r="CQ481" i="9"/>
  <c r="CQ435" i="9"/>
  <c r="CQ533" i="9"/>
  <c r="CQ577" i="9"/>
  <c r="CQ66" i="9"/>
  <c r="CQ434" i="9"/>
  <c r="CQ64" i="9"/>
  <c r="CQ282" i="9"/>
  <c r="CQ290" i="9"/>
  <c r="CQ59" i="9"/>
  <c r="CQ23" i="9"/>
  <c r="CQ325" i="9"/>
  <c r="CQ371" i="9"/>
  <c r="CQ461" i="9"/>
  <c r="CQ437" i="9"/>
  <c r="CQ198" i="9"/>
  <c r="CQ323" i="9"/>
  <c r="CQ511" i="9"/>
  <c r="CQ459" i="9"/>
  <c r="CQ277" i="9"/>
  <c r="CQ212" i="9"/>
  <c r="CQ505" i="9"/>
  <c r="CQ364" i="9"/>
  <c r="CQ273" i="9"/>
  <c r="CQ127" i="9"/>
  <c r="CQ600" i="9"/>
  <c r="CQ343" i="9"/>
  <c r="CQ569" i="9"/>
  <c r="CQ390" i="9"/>
  <c r="CQ157" i="9"/>
  <c r="CQ311" i="9"/>
  <c r="CQ422" i="9"/>
  <c r="CQ443" i="9"/>
  <c r="CQ472" i="9"/>
  <c r="CQ106" i="9"/>
  <c r="CQ359" i="9"/>
  <c r="CQ625" i="9"/>
  <c r="CQ102" i="9"/>
  <c r="CQ297" i="9"/>
  <c r="CQ547" i="9"/>
  <c r="CQ546" i="9"/>
  <c r="CQ494" i="9"/>
  <c r="CQ542" i="9"/>
  <c r="CQ227" i="9"/>
  <c r="CQ355" i="9"/>
  <c r="CQ538" i="9"/>
  <c r="CQ94" i="9"/>
  <c r="CQ188" i="9"/>
  <c r="CQ394" i="9"/>
  <c r="CQ264" i="9"/>
  <c r="CQ85" i="9"/>
  <c r="CQ82" i="9"/>
  <c r="CQ200" i="9"/>
  <c r="CQ237" i="9"/>
  <c r="CQ73" i="9"/>
  <c r="CQ261" i="9"/>
  <c r="CQ439" i="9"/>
  <c r="CQ431" i="9"/>
  <c r="CQ527" i="9"/>
  <c r="CQ631" i="9"/>
  <c r="CQ326" i="9"/>
  <c r="CQ523" i="9"/>
  <c r="CQ55" i="9"/>
  <c r="CQ52" i="9"/>
  <c r="CQ51" i="9"/>
  <c r="CQ48" i="9"/>
  <c r="CQ584" i="9"/>
  <c r="CQ249" i="9"/>
  <c r="CQ280" i="9"/>
  <c r="CQ42" i="9"/>
  <c r="CQ603" i="9"/>
  <c r="CQ38" i="9"/>
  <c r="CQ276" i="9"/>
  <c r="CQ397" i="9"/>
  <c r="EI46" i="9"/>
  <c r="EI70" i="9"/>
  <c r="EI88" i="9"/>
  <c r="EI80" i="9"/>
  <c r="EI32" i="9"/>
  <c r="EI66" i="9"/>
  <c r="EI82" i="9"/>
  <c r="EI34" i="9"/>
  <c r="EI23" i="9"/>
  <c r="EI93" i="9"/>
  <c r="EI58" i="9"/>
  <c r="EI107" i="9"/>
  <c r="EI31" i="9"/>
  <c r="EI102" i="9"/>
  <c r="EI100" i="9"/>
  <c r="EI44" i="9"/>
  <c r="EI96" i="9"/>
  <c r="EI92" i="9"/>
  <c r="EI77" i="9"/>
  <c r="EI36" i="9"/>
  <c r="EI101" i="9"/>
  <c r="EI78" i="9"/>
  <c r="EI50" i="9"/>
  <c r="EI49" i="9"/>
  <c r="EI35" i="9"/>
  <c r="EI53" i="9"/>
  <c r="EI81" i="9"/>
  <c r="EI24" i="9"/>
  <c r="EI104" i="9"/>
  <c r="EI74" i="9"/>
  <c r="EI47" i="9"/>
  <c r="EI43" i="9"/>
  <c r="EI22" i="9"/>
  <c r="EI27" i="9"/>
  <c r="EI109" i="9"/>
  <c r="EI54" i="9"/>
  <c r="EI55" i="9"/>
  <c r="EI99" i="9"/>
  <c r="EI26" i="9"/>
  <c r="EI40" i="9"/>
  <c r="EI39" i="9"/>
  <c r="EI94" i="9"/>
  <c r="EI76" i="9"/>
  <c r="EI75" i="9"/>
  <c r="EI87" i="9"/>
  <c r="EI57" i="9"/>
  <c r="EI72" i="9"/>
  <c r="EI98" i="9"/>
  <c r="EI59" i="9"/>
  <c r="EI38" i="9"/>
  <c r="EI90" i="9"/>
  <c r="EI41" i="9"/>
  <c r="EI103" i="9"/>
  <c r="EI97" i="9"/>
  <c r="EI68" i="9"/>
  <c r="EI45" i="9"/>
  <c r="EI48" i="9"/>
  <c r="EI65" i="9"/>
  <c r="EI63" i="9"/>
  <c r="EI30" i="9"/>
  <c r="EI106" i="9"/>
  <c r="EI110" i="9"/>
  <c r="EI84" i="9"/>
  <c r="EI83" i="9"/>
  <c r="EI29" i="9"/>
  <c r="EI79" i="9"/>
  <c r="EI37" i="9"/>
  <c r="EI62" i="9"/>
  <c r="EI52" i="9"/>
  <c r="EI69" i="9"/>
  <c r="EI61" i="9"/>
  <c r="EI28" i="9"/>
  <c r="EI89" i="9"/>
  <c r="EI85" i="9"/>
  <c r="EI51" i="9"/>
  <c r="EI25" i="9"/>
  <c r="EI42" i="9"/>
  <c r="EI105" i="9"/>
  <c r="EI64" i="9"/>
  <c r="EI108" i="9"/>
  <c r="EI73" i="9"/>
  <c r="EI67" i="9"/>
  <c r="EI86" i="9"/>
  <c r="EI56" i="9"/>
  <c r="EI71" i="9"/>
  <c r="EI60" i="9"/>
  <c r="EI95" i="9"/>
  <c r="EI91" i="9"/>
  <c r="EI33" i="9"/>
  <c r="DM171" i="9"/>
  <c r="DM181" i="9"/>
  <c r="DM263" i="9"/>
  <c r="DM94" i="9"/>
  <c r="DM262" i="9"/>
  <c r="DM146" i="9"/>
  <c r="DM304" i="9"/>
  <c r="DM289" i="9"/>
  <c r="DM252" i="9"/>
  <c r="DM63" i="9"/>
  <c r="DM226" i="9"/>
  <c r="DM75" i="9"/>
  <c r="DM245" i="9"/>
  <c r="DM124" i="9"/>
  <c r="DM41" i="9"/>
  <c r="DM284" i="9"/>
  <c r="DM129" i="9"/>
  <c r="DM320" i="9"/>
  <c r="DM266" i="9"/>
  <c r="DM88" i="9"/>
  <c r="DM73" i="9"/>
  <c r="DM193" i="9"/>
  <c r="DM111" i="9"/>
  <c r="DM23" i="9"/>
  <c r="DM53" i="9"/>
  <c r="DM214" i="9"/>
  <c r="DM138" i="9"/>
  <c r="DM244" i="9"/>
  <c r="DM324" i="9"/>
  <c r="DM134" i="9"/>
  <c r="DM154" i="9"/>
  <c r="DM249" i="9"/>
  <c r="DM106" i="9"/>
  <c r="DM22" i="9"/>
  <c r="DM28" i="9"/>
  <c r="DM148" i="9"/>
  <c r="DM38" i="9"/>
  <c r="DM36" i="9"/>
  <c r="DM233" i="9"/>
  <c r="DM307" i="9"/>
  <c r="DM246" i="9"/>
  <c r="DM164" i="9"/>
  <c r="DM60" i="9"/>
  <c r="DM208" i="9"/>
  <c r="DM152" i="9"/>
  <c r="DM70" i="9"/>
  <c r="DM82" i="9"/>
  <c r="DM145" i="9"/>
  <c r="DM179" i="9"/>
  <c r="DM276" i="9"/>
  <c r="DM198" i="9"/>
  <c r="DM265" i="9"/>
  <c r="DM48" i="9"/>
  <c r="DM330" i="9"/>
  <c r="DM308" i="9"/>
  <c r="DM285" i="9"/>
  <c r="DM300" i="9"/>
  <c r="DM279" i="9"/>
  <c r="DM34" i="9"/>
  <c r="DM166" i="9"/>
  <c r="DM107" i="9"/>
  <c r="DM141" i="9"/>
  <c r="DM221" i="9"/>
  <c r="DM56" i="9"/>
  <c r="DM117" i="9"/>
  <c r="DM133" i="9"/>
  <c r="DM206" i="9"/>
  <c r="DM177" i="9"/>
  <c r="DM172" i="9"/>
  <c r="DM89" i="9"/>
  <c r="DM260" i="9"/>
  <c r="DM85" i="9"/>
  <c r="DM293" i="9"/>
  <c r="DM26" i="9"/>
  <c r="DM254" i="9"/>
  <c r="DM81" i="9"/>
  <c r="DM253" i="9"/>
  <c r="DM234" i="9"/>
  <c r="DM35" i="9"/>
  <c r="DM268" i="9"/>
  <c r="DM98" i="9"/>
  <c r="DM120" i="9"/>
  <c r="DM326" i="9"/>
  <c r="DM47" i="9"/>
  <c r="DM240" i="9"/>
  <c r="DM100" i="9"/>
  <c r="DM67" i="9"/>
  <c r="DM51" i="9"/>
  <c r="DM91" i="9"/>
  <c r="DM97" i="9"/>
  <c r="DM259" i="9"/>
  <c r="DM247" i="9"/>
  <c r="DM128" i="9"/>
  <c r="DM220" i="9"/>
  <c r="DM103" i="9"/>
  <c r="DM316" i="9"/>
  <c r="DM39" i="9"/>
  <c r="DM178" i="9"/>
  <c r="DM203" i="9"/>
  <c r="DM142" i="9"/>
  <c r="DM96" i="9"/>
  <c r="DM328" i="9"/>
  <c r="DM303" i="9"/>
  <c r="DM299" i="9"/>
  <c r="DM40" i="9"/>
  <c r="DM77" i="9"/>
  <c r="DM278" i="9"/>
  <c r="DM230" i="9"/>
  <c r="DM176" i="9"/>
  <c r="DM201" i="9"/>
  <c r="DM197" i="9"/>
  <c r="DM196" i="9"/>
  <c r="DM33" i="9"/>
  <c r="DM49" i="9"/>
  <c r="DM153" i="9"/>
  <c r="DM329" i="9"/>
  <c r="DM167" i="9"/>
  <c r="DM161" i="9"/>
  <c r="DM159" i="9"/>
  <c r="DM312" i="9"/>
  <c r="DM218" i="9"/>
  <c r="DM84" i="9"/>
  <c r="DM119" i="9"/>
  <c r="DM241" i="9"/>
  <c r="DM147" i="9"/>
  <c r="DM25" i="9"/>
  <c r="DM116" i="9"/>
  <c r="DM288" i="9"/>
  <c r="DM323" i="9"/>
  <c r="DM92" i="9"/>
  <c r="DM130" i="9"/>
  <c r="DM76" i="9"/>
  <c r="DM232" i="9"/>
  <c r="DM65" i="9"/>
  <c r="DM50" i="9"/>
  <c r="DM64" i="9"/>
  <c r="DM174" i="9"/>
  <c r="DM90" i="9"/>
  <c r="DM267" i="9"/>
  <c r="DM31" i="9"/>
  <c r="DM61" i="9"/>
  <c r="DM155" i="9"/>
  <c r="DM126" i="9"/>
  <c r="DM258" i="9"/>
  <c r="DM95" i="9"/>
  <c r="DM292" i="9"/>
  <c r="DM217" i="9"/>
  <c r="DM298" i="9"/>
  <c r="DM79" i="9"/>
  <c r="DM158" i="9"/>
  <c r="DM195" i="9"/>
  <c r="DM169" i="9"/>
  <c r="DM224" i="9"/>
  <c r="DM261" i="9"/>
  <c r="DM185" i="9"/>
  <c r="DM71" i="9"/>
  <c r="DM310" i="9"/>
  <c r="DM183" i="9"/>
  <c r="DM149" i="9"/>
  <c r="DM242" i="9"/>
  <c r="DM297" i="9"/>
  <c r="DM43" i="9"/>
  <c r="DM69" i="9"/>
  <c r="DM55" i="9"/>
  <c r="DM239" i="9"/>
  <c r="DM322" i="9"/>
  <c r="DM163" i="9"/>
  <c r="DM207" i="9"/>
  <c r="DM281" i="9"/>
  <c r="DM66" i="9"/>
  <c r="DM24" i="9"/>
  <c r="DM314" i="9"/>
  <c r="DM272" i="9"/>
  <c r="DM105" i="9"/>
  <c r="DM57" i="9"/>
  <c r="DM32" i="9"/>
  <c r="DM190" i="9"/>
  <c r="DM189" i="9"/>
  <c r="DM188" i="9"/>
  <c r="DM318" i="9"/>
  <c r="DM257" i="9"/>
  <c r="DM313" i="9"/>
  <c r="DM58" i="9"/>
  <c r="DM112" i="9"/>
  <c r="DM210" i="9"/>
  <c r="DM175" i="9"/>
  <c r="DM270" i="9"/>
  <c r="DM170" i="9"/>
  <c r="DM59" i="9"/>
  <c r="DM110" i="9"/>
  <c r="DM309" i="9"/>
  <c r="DM306" i="9"/>
  <c r="DM137" i="9"/>
  <c r="DM102" i="9"/>
  <c r="DM74" i="9"/>
  <c r="DM46" i="9"/>
  <c r="DM123" i="9"/>
  <c r="DM291" i="9"/>
  <c r="DM287" i="9"/>
  <c r="DM109" i="9"/>
  <c r="DM236" i="9"/>
  <c r="DM78" i="9"/>
  <c r="DM280" i="9"/>
  <c r="DM277" i="9"/>
  <c r="DM229" i="9"/>
  <c r="DM99" i="9"/>
  <c r="DM72" i="9"/>
  <c r="DM143" i="9"/>
  <c r="DM62" i="9"/>
  <c r="DM227" i="9"/>
  <c r="DM225" i="9"/>
  <c r="DM113" i="9"/>
  <c r="DM29" i="9"/>
  <c r="DM186" i="9"/>
  <c r="DM184" i="9"/>
  <c r="DM87" i="9"/>
  <c r="DM93" i="9"/>
  <c r="DM311" i="9"/>
  <c r="DM331" i="9"/>
  <c r="DM235" i="9"/>
  <c r="DM282" i="9"/>
  <c r="DM275" i="9"/>
  <c r="DM151" i="9"/>
  <c r="DM248" i="9"/>
  <c r="DM325" i="9"/>
  <c r="DM255" i="9"/>
  <c r="DM118" i="9"/>
  <c r="DM44" i="9"/>
  <c r="DM160" i="9"/>
  <c r="DM86" i="9"/>
  <c r="DM122" i="9"/>
  <c r="DM101" i="9"/>
  <c r="DM238" i="9"/>
  <c r="DM54" i="9"/>
  <c r="DM121" i="9"/>
  <c r="DM205" i="9"/>
  <c r="DM231" i="9"/>
  <c r="DM274" i="9"/>
  <c r="DM228" i="9"/>
  <c r="DM271" i="9"/>
  <c r="DM173" i="9"/>
  <c r="DM194" i="9"/>
  <c r="DM192" i="9"/>
  <c r="DM30" i="9"/>
  <c r="DM223" i="9"/>
  <c r="DM168" i="9"/>
  <c r="DM125" i="9"/>
  <c r="DM317" i="9"/>
  <c r="DM219" i="9"/>
  <c r="DM165" i="9"/>
  <c r="DM286" i="9"/>
  <c r="DM182" i="9"/>
  <c r="DM212" i="9"/>
  <c r="DM157" i="9"/>
  <c r="DM327" i="9"/>
  <c r="DM45" i="9"/>
  <c r="DM305" i="9"/>
  <c r="DM243" i="9"/>
  <c r="DM215" i="9"/>
  <c r="DM83" i="9"/>
  <c r="DM135" i="9"/>
  <c r="DM42" i="9"/>
  <c r="DM213" i="9"/>
  <c r="DM115" i="9"/>
  <c r="DM180" i="9"/>
  <c r="DM132" i="9"/>
  <c r="DM37" i="9"/>
  <c r="DM80" i="9"/>
  <c r="DM321" i="9"/>
  <c r="DM108" i="9"/>
  <c r="DM202" i="9"/>
  <c r="DM200" i="9"/>
  <c r="DM114" i="9"/>
  <c r="DM319" i="9"/>
  <c r="DM127" i="9"/>
  <c r="DM140" i="9"/>
  <c r="DM162" i="9"/>
  <c r="DM139" i="9"/>
  <c r="DM250" i="9"/>
  <c r="DM27" i="9"/>
  <c r="DM136" i="9"/>
  <c r="DM68" i="9"/>
  <c r="DM216" i="9"/>
  <c r="DM209" i="9"/>
  <c r="DM222" i="9"/>
  <c r="DM315" i="9"/>
  <c r="DM150" i="9"/>
  <c r="DM302" i="9"/>
  <c r="DM301" i="9"/>
  <c r="DM296" i="9"/>
  <c r="DM295" i="9"/>
  <c r="DM294" i="9"/>
  <c r="DM290" i="9"/>
  <c r="DM211" i="9"/>
  <c r="DM237" i="9"/>
  <c r="DM131" i="9"/>
  <c r="DM283" i="9"/>
  <c r="DM204" i="9"/>
  <c r="DM144" i="9"/>
  <c r="DM52" i="9"/>
  <c r="DM273" i="9"/>
  <c r="DM199" i="9"/>
  <c r="DM269" i="9"/>
  <c r="DM156" i="9"/>
  <c r="DM191" i="9"/>
  <c r="DM264" i="9"/>
  <c r="DM251" i="9"/>
  <c r="DM187" i="9"/>
  <c r="DM104" i="9"/>
  <c r="DM256" i="9"/>
  <c r="DB147" i="9"/>
  <c r="DB135" i="9"/>
  <c r="DB185" i="9"/>
  <c r="DB134" i="9"/>
  <c r="DB139" i="9"/>
  <c r="DB215" i="9"/>
  <c r="DB211" i="9"/>
  <c r="DB99" i="9"/>
  <c r="DB183" i="9"/>
  <c r="DB33" i="9"/>
  <c r="DB194" i="9"/>
  <c r="DB39" i="9"/>
  <c r="DB148" i="9"/>
  <c r="DB50" i="9"/>
  <c r="DB144" i="9"/>
  <c r="DB125" i="9"/>
  <c r="DB188" i="9"/>
  <c r="DB54" i="9"/>
  <c r="DB131" i="9"/>
  <c r="DB166" i="9"/>
  <c r="DB193" i="9"/>
  <c r="DB216" i="9"/>
  <c r="DB165" i="9"/>
  <c r="DB151" i="9"/>
  <c r="DB95" i="9"/>
  <c r="DB213" i="9"/>
  <c r="DB102" i="9"/>
  <c r="DB150" i="9"/>
  <c r="DB126" i="9"/>
  <c r="DB79" i="9"/>
  <c r="DB117" i="9"/>
  <c r="DB164" i="9"/>
  <c r="DB197" i="9"/>
  <c r="DB31" i="9"/>
  <c r="DB219" i="9"/>
  <c r="DB69" i="9"/>
  <c r="DB68" i="9"/>
  <c r="DB84" i="9"/>
  <c r="DB204" i="9"/>
  <c r="DB123" i="9"/>
  <c r="DB138" i="9"/>
  <c r="DB65" i="9"/>
  <c r="DB29" i="9"/>
  <c r="DB152" i="9"/>
  <c r="DB27" i="9"/>
  <c r="DB180" i="9"/>
  <c r="DB221" i="9"/>
  <c r="DB175" i="9"/>
  <c r="DB42" i="9"/>
  <c r="DB140" i="9"/>
  <c r="DB173" i="9"/>
  <c r="DB220" i="9"/>
  <c r="DB101" i="9"/>
  <c r="DB53" i="9"/>
  <c r="DB105" i="9"/>
  <c r="DB78" i="9"/>
  <c r="DB77" i="9"/>
  <c r="DB76" i="9"/>
  <c r="DB81" i="9"/>
  <c r="DB59" i="9"/>
  <c r="DB87" i="9"/>
  <c r="DB214" i="9"/>
  <c r="DB200" i="9"/>
  <c r="DB205" i="9"/>
  <c r="DB121" i="9"/>
  <c r="DB94" i="9"/>
  <c r="DB118" i="9"/>
  <c r="DB177" i="9"/>
  <c r="DB225" i="9"/>
  <c r="DB172" i="9"/>
  <c r="DB57" i="9"/>
  <c r="DB207" i="9"/>
  <c r="DB176" i="9"/>
  <c r="DB182" i="9"/>
  <c r="DB196" i="9"/>
  <c r="DB72" i="9"/>
  <c r="DB129" i="9"/>
  <c r="DB124" i="9"/>
  <c r="DB170" i="9"/>
  <c r="DB174" i="9"/>
  <c r="DB112" i="9"/>
  <c r="DB49" i="9"/>
  <c r="DB133" i="9"/>
  <c r="DB48" i="9"/>
  <c r="DB83" i="9"/>
  <c r="DB161" i="9"/>
  <c r="DB110" i="9"/>
  <c r="DB169" i="9"/>
  <c r="DB145" i="9"/>
  <c r="DB26" i="9"/>
  <c r="DB44" i="9"/>
  <c r="DB90" i="9"/>
  <c r="DB30" i="9"/>
  <c r="DB100" i="9"/>
  <c r="DB43" i="9"/>
  <c r="DB181" i="9"/>
  <c r="DB114" i="9"/>
  <c r="DB192" i="9"/>
  <c r="DB132" i="9"/>
  <c r="DB38" i="9"/>
  <c r="DB218" i="9"/>
  <c r="DB191" i="9"/>
  <c r="DB36" i="9"/>
  <c r="DB171" i="9"/>
  <c r="DB222" i="9"/>
  <c r="DB168" i="9"/>
  <c r="DB55" i="9"/>
  <c r="DB143" i="9"/>
  <c r="DB111" i="9"/>
  <c r="DB97" i="9"/>
  <c r="DB122" i="9"/>
  <c r="DB91" i="9"/>
  <c r="DB75" i="9"/>
  <c r="DB137" i="9"/>
  <c r="DB24" i="9"/>
  <c r="DB73" i="9"/>
  <c r="DB155" i="9"/>
  <c r="DB154" i="9"/>
  <c r="DB22" i="9"/>
  <c r="DB149" i="9"/>
  <c r="DB109" i="9"/>
  <c r="DB212" i="9"/>
  <c r="DB52" i="9"/>
  <c r="DB167" i="9"/>
  <c r="DB62" i="9"/>
  <c r="DB142" i="9"/>
  <c r="DB203" i="9"/>
  <c r="DB163" i="9"/>
  <c r="DB25" i="9"/>
  <c r="DB96" i="9"/>
  <c r="DB32" i="9"/>
  <c r="DB40" i="9"/>
  <c r="DB158" i="9"/>
  <c r="DB71" i="9"/>
  <c r="DB153" i="9"/>
  <c r="DB190" i="9"/>
  <c r="DB107" i="9"/>
  <c r="DB210" i="9"/>
  <c r="DB93" i="9"/>
  <c r="DB46" i="9"/>
  <c r="DB103" i="9"/>
  <c r="DB41" i="9"/>
  <c r="DB224" i="9"/>
  <c r="DB108" i="9"/>
  <c r="DB106" i="9"/>
  <c r="DB51" i="9"/>
  <c r="DB35" i="9"/>
  <c r="DB47" i="9"/>
  <c r="DB116" i="9"/>
  <c r="DB45" i="9"/>
  <c r="DB201" i="9"/>
  <c r="DB98" i="9"/>
  <c r="DB199" i="9"/>
  <c r="DB187" i="9"/>
  <c r="DB89" i="9"/>
  <c r="DB56" i="9"/>
  <c r="DB37" i="9"/>
  <c r="DB88" i="9"/>
  <c r="DB189" i="9"/>
  <c r="DB186" i="9"/>
  <c r="DB223" i="9"/>
  <c r="DB63" i="9"/>
  <c r="DB104" i="9"/>
  <c r="DB209" i="9"/>
  <c r="DB67" i="9"/>
  <c r="DB184" i="9"/>
  <c r="DB202" i="9"/>
  <c r="DB61" i="9"/>
  <c r="DB60" i="9"/>
  <c r="DB198" i="9"/>
  <c r="DB136" i="9"/>
  <c r="DB66" i="9"/>
  <c r="DB157" i="9"/>
  <c r="DB23" i="9"/>
  <c r="DB58" i="9"/>
  <c r="DB120" i="9"/>
  <c r="DB127" i="9"/>
  <c r="DB119" i="9"/>
  <c r="DB146" i="9"/>
  <c r="DB85" i="9"/>
  <c r="DB162" i="9"/>
  <c r="DB160" i="9"/>
  <c r="DB179" i="9"/>
  <c r="DB64" i="9"/>
  <c r="DB82" i="9"/>
  <c r="DB86" i="9"/>
  <c r="DB28" i="9"/>
  <c r="DB70" i="9"/>
  <c r="DB92" i="9"/>
  <c r="DB178" i="9"/>
  <c r="DB80" i="9"/>
  <c r="DB226" i="9"/>
  <c r="DB208" i="9"/>
  <c r="DB206" i="9"/>
  <c r="DB141" i="9"/>
  <c r="DB34" i="9"/>
  <c r="DB113" i="9"/>
  <c r="DB115" i="9"/>
  <c r="DB159" i="9"/>
  <c r="DB195" i="9"/>
  <c r="DB74" i="9"/>
  <c r="DB156" i="9"/>
  <c r="DB130" i="9"/>
  <c r="DB217" i="9"/>
  <c r="DB128" i="9"/>
  <c r="CF303" i="9"/>
  <c r="CF126" i="9"/>
  <c r="CF98" i="9"/>
  <c r="CF317" i="9"/>
  <c r="CF218" i="9"/>
  <c r="CF151" i="9"/>
  <c r="CF273" i="9"/>
  <c r="CF183" i="9"/>
  <c r="CF30" i="9"/>
  <c r="CF75" i="9"/>
  <c r="CF182" i="9"/>
  <c r="CF80" i="9"/>
  <c r="CF60" i="9"/>
  <c r="CF326" i="9"/>
  <c r="CF267" i="9"/>
  <c r="CF180" i="9"/>
  <c r="CF68" i="9"/>
  <c r="CF29" i="9"/>
  <c r="CF125" i="9"/>
  <c r="CF211" i="9"/>
  <c r="CF176" i="9"/>
  <c r="CF325" i="9"/>
  <c r="CF308" i="9"/>
  <c r="CF295" i="9"/>
  <c r="CF76" i="9"/>
  <c r="CF265" i="9"/>
  <c r="CF248" i="9"/>
  <c r="CF92" i="9"/>
  <c r="CF84" i="9"/>
  <c r="CF195" i="9"/>
  <c r="CF56" i="9"/>
  <c r="CF162" i="9"/>
  <c r="CF138" i="9"/>
  <c r="CF219" i="9"/>
  <c r="CF78" i="9"/>
  <c r="CF44" i="9"/>
  <c r="CF170" i="9"/>
  <c r="CF288" i="9"/>
  <c r="CF72" i="9"/>
  <c r="CF302" i="9"/>
  <c r="CF199" i="9"/>
  <c r="CF145" i="9"/>
  <c r="CF36" i="9"/>
  <c r="CF124" i="9"/>
  <c r="CF144" i="9"/>
  <c r="CF310" i="9"/>
  <c r="CF249" i="9"/>
  <c r="CF163" i="9"/>
  <c r="CF280" i="9"/>
  <c r="CF231" i="9"/>
  <c r="CF53" i="9"/>
  <c r="CF140" i="9"/>
  <c r="CF51" i="9"/>
  <c r="CF111" i="9"/>
  <c r="CF66" i="9"/>
  <c r="CF108" i="9"/>
  <c r="CF264" i="9"/>
  <c r="CF85" i="9"/>
  <c r="CF225" i="9"/>
  <c r="CF100" i="9"/>
  <c r="CF191" i="9"/>
  <c r="CF55" i="9"/>
  <c r="CF159" i="9"/>
  <c r="CF137" i="9"/>
  <c r="CF318" i="9"/>
  <c r="CF241" i="9"/>
  <c r="CF153" i="9"/>
  <c r="CF47" i="9"/>
  <c r="CF67" i="9"/>
  <c r="CF233" i="9"/>
  <c r="CF253" i="9"/>
  <c r="CF112" i="9"/>
  <c r="CF118" i="9"/>
  <c r="CF164" i="9"/>
  <c r="CF296" i="9"/>
  <c r="CF104" i="9"/>
  <c r="CF143" i="9"/>
  <c r="CF309" i="9"/>
  <c r="CF266" i="9"/>
  <c r="CF196" i="9"/>
  <c r="CF113" i="9"/>
  <c r="CF307" i="9"/>
  <c r="CF334" i="9"/>
  <c r="CF127" i="9"/>
  <c r="CF263" i="9"/>
  <c r="CF27" i="9"/>
  <c r="CF34" i="9"/>
  <c r="CF210" i="9"/>
  <c r="CF190" i="9"/>
  <c r="CF123" i="9"/>
  <c r="CF155" i="9"/>
  <c r="CF136" i="9"/>
  <c r="CF274" i="9"/>
  <c r="CF171" i="9"/>
  <c r="CF289" i="9"/>
  <c r="CF117" i="9"/>
  <c r="CF255" i="9"/>
  <c r="CF169" i="9"/>
  <c r="CF93" i="9"/>
  <c r="CF300" i="9"/>
  <c r="CF31" i="9"/>
  <c r="CF212" i="9"/>
  <c r="CF323" i="9"/>
  <c r="CF305" i="9"/>
  <c r="CF37" i="9"/>
  <c r="CF279" i="9"/>
  <c r="CF261" i="9"/>
  <c r="CF105" i="9"/>
  <c r="CF224" i="9"/>
  <c r="CF205" i="9"/>
  <c r="CF189" i="9"/>
  <c r="CF174" i="9"/>
  <c r="CF121" i="9"/>
  <c r="CF135" i="9"/>
  <c r="CF290" i="9"/>
  <c r="CF186" i="9"/>
  <c r="CF256" i="9"/>
  <c r="CF184" i="9"/>
  <c r="CF39" i="9"/>
  <c r="CF217" i="9"/>
  <c r="CF69" i="9"/>
  <c r="CF64" i="9"/>
  <c r="CF26" i="9"/>
  <c r="CF271" i="9"/>
  <c r="CF198" i="9"/>
  <c r="CF281" i="9"/>
  <c r="CF197" i="9"/>
  <c r="CF319" i="9"/>
  <c r="CF40" i="9"/>
  <c r="CF291" i="9"/>
  <c r="CF275" i="9"/>
  <c r="CF257" i="9"/>
  <c r="CF242" i="9"/>
  <c r="CF223" i="9"/>
  <c r="CF204" i="9"/>
  <c r="CF188" i="9"/>
  <c r="CF91" i="9"/>
  <c r="CF154" i="9"/>
  <c r="CF133" i="9"/>
  <c r="CF254" i="9"/>
  <c r="CF247" i="9"/>
  <c r="CF240" i="9"/>
  <c r="CF232" i="9"/>
  <c r="CF43" i="9"/>
  <c r="CF216" i="9"/>
  <c r="CF33" i="9"/>
  <c r="CF203" i="9"/>
  <c r="CF25" i="9"/>
  <c r="CF187" i="9"/>
  <c r="CF70" i="9"/>
  <c r="CF175" i="9"/>
  <c r="CF95" i="9"/>
  <c r="CF161" i="9"/>
  <c r="CF22" i="9"/>
  <c r="CF142" i="9"/>
  <c r="CF328" i="9"/>
  <c r="CF324" i="9"/>
  <c r="CF316" i="9"/>
  <c r="CF306" i="9"/>
  <c r="CF301" i="9"/>
  <c r="CF77" i="9"/>
  <c r="CF287" i="9"/>
  <c r="CF87" i="9"/>
  <c r="CF272" i="9"/>
  <c r="CF262" i="9"/>
  <c r="CF333" i="9"/>
  <c r="CF61" i="9"/>
  <c r="CF239" i="9"/>
  <c r="CF103" i="9"/>
  <c r="CF74" i="9"/>
  <c r="CF101" i="9"/>
  <c r="CF99" i="9"/>
  <c r="CF202" i="9"/>
  <c r="CF331" i="9"/>
  <c r="CF42" i="9"/>
  <c r="CF181" i="9"/>
  <c r="CF122" i="9"/>
  <c r="CF168" i="9"/>
  <c r="CF160" i="9"/>
  <c r="CF152" i="9"/>
  <c r="CF141" i="9"/>
  <c r="CF134" i="9"/>
  <c r="CF299" i="9"/>
  <c r="CF270" i="9"/>
  <c r="CF238" i="9"/>
  <c r="CF73" i="9"/>
  <c r="CF194" i="9"/>
  <c r="CF24" i="9"/>
  <c r="CF94" i="9"/>
  <c r="CF79" i="9"/>
  <c r="CF132" i="9"/>
  <c r="CF322" i="9"/>
  <c r="CF314" i="9"/>
  <c r="CF109" i="9"/>
  <c r="CF38" i="9"/>
  <c r="CF293" i="9"/>
  <c r="CF285" i="9"/>
  <c r="CF277" i="9"/>
  <c r="CF35" i="9"/>
  <c r="CF46" i="9"/>
  <c r="CF252" i="9"/>
  <c r="CF245" i="9"/>
  <c r="CF237" i="9"/>
  <c r="CF229" i="9"/>
  <c r="CF221" i="9"/>
  <c r="CF215" i="9"/>
  <c r="CF208" i="9"/>
  <c r="CF32" i="9"/>
  <c r="CF193" i="9"/>
  <c r="CF58" i="9"/>
  <c r="CF81" i="9"/>
  <c r="CF97" i="9"/>
  <c r="CF167" i="9"/>
  <c r="CF158" i="9"/>
  <c r="CF149" i="9"/>
  <c r="CF52" i="9"/>
  <c r="CF131" i="9"/>
  <c r="CF50" i="9"/>
  <c r="CF294" i="9"/>
  <c r="CF260" i="9"/>
  <c r="CF222" i="9"/>
  <c r="CF54" i="9"/>
  <c r="CF90" i="9"/>
  <c r="CF313" i="9"/>
  <c r="CF49" i="9"/>
  <c r="CF298" i="9"/>
  <c r="CF88" i="9"/>
  <c r="CF284" i="9"/>
  <c r="CF63" i="9"/>
  <c r="CF269" i="9"/>
  <c r="CF106" i="9"/>
  <c r="CF251" i="9"/>
  <c r="CF244" i="9"/>
  <c r="CF236" i="9"/>
  <c r="CF228" i="9"/>
  <c r="CF59" i="9"/>
  <c r="CF332" i="9"/>
  <c r="CF83" i="9"/>
  <c r="CF116" i="9"/>
  <c r="CF330" i="9"/>
  <c r="CF82" i="9"/>
  <c r="CF179" i="9"/>
  <c r="CF173" i="9"/>
  <c r="CF166" i="9"/>
  <c r="CF157" i="9"/>
  <c r="CF148" i="9"/>
  <c r="CF119" i="9"/>
  <c r="CF130" i="9"/>
  <c r="CF315" i="9"/>
  <c r="CF286" i="9"/>
  <c r="CF45" i="9"/>
  <c r="CF230" i="9"/>
  <c r="CF71" i="9"/>
  <c r="CF114" i="9"/>
  <c r="CF150" i="9"/>
  <c r="CF120" i="9"/>
  <c r="CF321" i="9"/>
  <c r="CF312" i="9"/>
  <c r="CF89" i="9"/>
  <c r="CF297" i="9"/>
  <c r="CF292" i="9"/>
  <c r="CF283" i="9"/>
  <c r="CF107" i="9"/>
  <c r="CF62" i="9"/>
  <c r="CF259" i="9"/>
  <c r="CF86" i="9"/>
  <c r="CF243" i="9"/>
  <c r="CF235" i="9"/>
  <c r="CF227" i="9"/>
  <c r="CF102" i="9"/>
  <c r="CF214" i="9"/>
  <c r="CF207" i="9"/>
  <c r="CF201" i="9"/>
  <c r="CF192" i="9"/>
  <c r="CF185" i="9"/>
  <c r="CF178" i="9"/>
  <c r="CF96" i="9"/>
  <c r="CF41" i="9"/>
  <c r="CF156" i="9"/>
  <c r="CF147" i="9"/>
  <c r="CF329" i="9"/>
  <c r="CF129" i="9"/>
  <c r="CF110" i="9"/>
  <c r="CF278" i="9"/>
  <c r="CF246" i="9"/>
  <c r="CF209" i="9"/>
  <c r="CF327" i="9"/>
  <c r="CF320" i="9"/>
  <c r="CF311" i="9"/>
  <c r="CF304" i="9"/>
  <c r="CF48" i="9"/>
  <c r="CF65" i="9"/>
  <c r="CF282" i="9"/>
  <c r="CF276" i="9"/>
  <c r="CF268" i="9"/>
  <c r="CF258" i="9"/>
  <c r="CF250" i="9"/>
  <c r="CF28" i="9"/>
  <c r="CF234" i="9"/>
  <c r="CF226" i="9"/>
  <c r="CF220" i="9"/>
  <c r="CF213" i="9"/>
  <c r="CF206" i="9"/>
  <c r="CF200" i="9"/>
  <c r="CF115" i="9"/>
  <c r="CF57" i="9"/>
  <c r="CF177" i="9"/>
  <c r="CF172" i="9"/>
  <c r="CF165" i="9"/>
  <c r="CF23" i="9"/>
  <c r="CF146" i="9"/>
  <c r="CF139" i="9"/>
  <c r="CF128" i="9"/>
  <c r="BU273" i="9"/>
  <c r="BU345" i="9"/>
  <c r="BU137" i="9"/>
  <c r="BU387" i="9"/>
  <c r="BU320" i="9"/>
  <c r="BU156" i="9"/>
  <c r="BU153" i="9"/>
  <c r="BU363" i="9"/>
  <c r="BU409" i="9"/>
  <c r="BU63" i="9"/>
  <c r="BU257" i="9"/>
  <c r="BU328" i="9"/>
  <c r="BU392" i="9"/>
  <c r="BU225" i="9"/>
  <c r="BU329" i="9"/>
  <c r="BU450" i="9"/>
  <c r="BU267" i="9"/>
  <c r="BU132" i="9"/>
  <c r="BU376" i="9"/>
  <c r="BU77" i="9"/>
  <c r="BU82" i="9"/>
  <c r="BU362" i="9"/>
  <c r="BU370" i="9"/>
  <c r="BU42" i="9"/>
  <c r="BU277" i="9"/>
  <c r="BU309" i="9"/>
  <c r="BU390" i="9"/>
  <c r="BU427" i="9"/>
  <c r="BU206" i="9"/>
  <c r="BU217" i="9"/>
  <c r="BU428" i="9"/>
  <c r="BU384" i="9"/>
  <c r="BU443" i="9"/>
  <c r="BU159" i="9"/>
  <c r="BU144" i="9"/>
  <c r="BU107" i="9"/>
  <c r="BU369" i="9"/>
  <c r="BU240" i="9"/>
  <c r="BU91" i="9"/>
  <c r="BU28" i="9"/>
  <c r="BU179" i="9"/>
  <c r="BU437" i="9"/>
  <c r="BU242" i="9"/>
  <c r="BU306" i="9"/>
  <c r="BU420" i="9"/>
  <c r="BU233" i="9"/>
  <c r="BU389" i="9"/>
  <c r="BU354" i="9"/>
  <c r="BU293" i="9"/>
  <c r="BU81" i="9"/>
  <c r="BU278" i="9"/>
  <c r="BU215" i="9"/>
  <c r="BU266" i="9"/>
  <c r="BU94" i="9"/>
  <c r="BU251" i="9"/>
  <c r="BU238" i="9"/>
  <c r="BU170" i="9"/>
  <c r="BU305" i="9"/>
  <c r="BU130" i="9"/>
  <c r="BU388" i="9"/>
  <c r="BU143" i="9"/>
  <c r="BU140" i="9"/>
  <c r="BU72" i="9"/>
  <c r="BU382" i="9"/>
  <c r="BU336" i="9"/>
  <c r="BU34" i="9"/>
  <c r="BU237" i="9"/>
  <c r="BU400" i="9"/>
  <c r="BU108" i="9"/>
  <c r="BU269" i="9"/>
  <c r="BU401" i="9"/>
  <c r="BU308" i="9"/>
  <c r="BU339" i="9"/>
  <c r="BU83" i="9"/>
  <c r="BU197" i="9"/>
  <c r="BU85" i="9"/>
  <c r="BU439" i="9"/>
  <c r="BU410" i="9"/>
  <c r="BU187" i="9"/>
  <c r="BU435" i="9"/>
  <c r="BU230" i="9"/>
  <c r="BU406" i="9"/>
  <c r="BU158" i="9"/>
  <c r="BU385" i="9"/>
  <c r="BU52" i="9"/>
  <c r="BU49" i="9"/>
  <c r="BU181" i="9"/>
  <c r="BU167" i="9"/>
  <c r="BU398" i="9"/>
  <c r="BU322" i="9"/>
  <c r="BU307" i="9"/>
  <c r="BU379" i="9"/>
  <c r="BU129" i="9"/>
  <c r="BU175" i="9"/>
  <c r="BU24" i="9"/>
  <c r="BU310" i="9"/>
  <c r="BU88" i="9"/>
  <c r="BU162" i="9"/>
  <c r="BU96" i="9"/>
  <c r="BU391" i="9"/>
  <c r="BU84" i="9"/>
  <c r="BU209" i="9"/>
  <c r="BU418" i="9"/>
  <c r="BU128" i="9"/>
  <c r="BU163" i="9"/>
  <c r="BU182" i="9"/>
  <c r="BU274" i="9"/>
  <c r="BU231" i="9"/>
  <c r="BU147" i="9"/>
  <c r="BU442" i="9"/>
  <c r="BU97" i="9"/>
  <c r="BU58" i="9"/>
  <c r="BU289" i="9"/>
  <c r="BU155" i="9"/>
  <c r="BU248" i="9"/>
  <c r="BU317" i="9"/>
  <c r="BU218" i="9"/>
  <c r="BU323" i="9"/>
  <c r="BU152" i="9"/>
  <c r="BU36" i="9"/>
  <c r="BU123" i="9"/>
  <c r="BU110" i="9"/>
  <c r="BU120" i="9"/>
  <c r="BU192" i="9"/>
  <c r="BU114" i="9"/>
  <c r="BU425" i="9"/>
  <c r="BU41" i="9"/>
  <c r="BU404" i="9"/>
  <c r="BU54" i="9"/>
  <c r="BU46" i="9"/>
  <c r="BU33" i="9"/>
  <c r="BU232" i="9"/>
  <c r="BU241" i="9"/>
  <c r="BU434" i="9"/>
  <c r="BU45" i="9"/>
  <c r="BU213" i="9"/>
  <c r="BU272" i="9"/>
  <c r="BU313" i="9"/>
  <c r="BU186" i="9"/>
  <c r="BU312" i="9"/>
  <c r="BU118" i="9"/>
  <c r="BU207" i="9"/>
  <c r="BU366" i="9"/>
  <c r="BU265" i="9"/>
  <c r="BU204" i="9"/>
  <c r="BU341" i="9"/>
  <c r="BU44" i="9"/>
  <c r="BU397" i="9"/>
  <c r="BU90" i="9"/>
  <c r="BU150" i="9"/>
  <c r="BU135" i="9"/>
  <c r="BU239" i="9"/>
  <c r="BU325" i="9"/>
  <c r="BU361" i="9"/>
  <c r="BU224" i="9"/>
  <c r="BU449" i="9"/>
  <c r="BU288" i="9"/>
  <c r="BU151" i="9"/>
  <c r="BU351" i="9"/>
  <c r="BU98" i="9"/>
  <c r="BU145" i="9"/>
  <c r="BU139" i="9"/>
  <c r="BU374" i="9"/>
  <c r="BU146" i="9"/>
  <c r="BU53" i="9"/>
  <c r="BU141" i="9"/>
  <c r="BU68" i="9"/>
  <c r="BU303" i="9"/>
  <c r="BU332" i="9"/>
  <c r="BU254" i="9"/>
  <c r="BU426" i="9"/>
  <c r="BU294" i="9"/>
  <c r="BU424" i="9"/>
  <c r="BU282" i="9"/>
  <c r="BU422" i="9"/>
  <c r="BU203" i="9"/>
  <c r="BU178" i="9"/>
  <c r="BU245" i="9"/>
  <c r="BU396" i="9"/>
  <c r="BU112" i="9"/>
  <c r="BU327" i="9"/>
  <c r="BU29" i="9"/>
  <c r="BU104" i="9"/>
  <c r="BU149" i="9"/>
  <c r="BU264" i="9"/>
  <c r="BU136" i="9"/>
  <c r="BU429" i="9"/>
  <c r="BU160" i="9"/>
  <c r="BU55" i="9"/>
  <c r="BU93" i="9"/>
  <c r="BU276" i="9"/>
  <c r="BU165" i="9"/>
  <c r="BU403" i="9"/>
  <c r="BU234" i="9"/>
  <c r="BU80" i="9"/>
  <c r="BU431" i="9"/>
  <c r="BU377" i="9"/>
  <c r="BU270" i="9"/>
  <c r="BU344" i="9"/>
  <c r="BU61" i="9"/>
  <c r="BU185" i="9"/>
  <c r="BU57" i="9"/>
  <c r="BU106" i="9"/>
  <c r="BU126" i="9"/>
  <c r="BU263" i="9"/>
  <c r="BU115" i="9"/>
  <c r="BU200" i="9"/>
  <c r="BU356" i="9"/>
  <c r="BU166" i="9"/>
  <c r="BU32" i="9"/>
  <c r="BU433" i="9"/>
  <c r="BU411" i="9"/>
  <c r="BU23" i="9"/>
  <c r="BU358" i="9"/>
  <c r="BU164" i="9"/>
  <c r="BU212" i="9"/>
  <c r="BU101" i="9"/>
  <c r="BU355" i="9"/>
  <c r="BU65" i="9"/>
  <c r="BU373" i="9"/>
  <c r="BU99" i="9"/>
  <c r="BU78" i="9"/>
  <c r="BU405" i="9"/>
  <c r="BU250" i="9"/>
  <c r="BU253" i="9"/>
  <c r="BU157" i="9"/>
  <c r="BU423" i="9"/>
  <c r="BU205" i="9"/>
  <c r="BU76" i="9"/>
  <c r="BU236" i="9"/>
  <c r="BU311" i="9"/>
  <c r="BU47" i="9"/>
  <c r="BU235" i="9"/>
  <c r="BU202" i="9"/>
  <c r="BU125" i="9"/>
  <c r="BU201" i="9"/>
  <c r="BU275" i="9"/>
  <c r="BU113" i="9"/>
  <c r="BU417" i="9"/>
  <c r="BU198" i="9"/>
  <c r="BU89" i="9"/>
  <c r="BU286" i="9"/>
  <c r="BU291" i="9"/>
  <c r="BU111" i="9"/>
  <c r="BU196" i="9"/>
  <c r="BU122" i="9"/>
  <c r="BU174" i="9"/>
  <c r="BU194" i="9"/>
  <c r="BU447" i="9"/>
  <c r="BU103" i="9"/>
  <c r="BU188" i="9"/>
  <c r="BU67" i="9"/>
  <c r="BU338" i="9"/>
  <c r="BU271" i="9"/>
  <c r="BU337" i="9"/>
  <c r="BU222" i="9"/>
  <c r="BU268" i="9"/>
  <c r="BU229" i="9"/>
  <c r="BU331" i="9"/>
  <c r="BU295" i="9"/>
  <c r="BU117" i="9"/>
  <c r="BU386" i="9"/>
  <c r="BU56" i="9"/>
  <c r="BU228" i="9"/>
  <c r="BU75" i="9"/>
  <c r="BU154" i="9"/>
  <c r="BU383" i="9"/>
  <c r="BU348" i="9"/>
  <c r="BU342" i="9"/>
  <c r="BU247" i="9"/>
  <c r="BU142" i="9"/>
  <c r="BU365" i="9"/>
  <c r="BU444" i="9"/>
  <c r="BU40" i="9"/>
  <c r="BU364" i="9"/>
  <c r="BU138" i="9"/>
  <c r="BU395" i="9"/>
  <c r="BU440" i="9"/>
  <c r="BU260" i="9"/>
  <c r="BU31" i="9"/>
  <c r="BU243" i="9"/>
  <c r="BU285" i="9"/>
  <c r="BU27" i="9"/>
  <c r="BU25" i="9"/>
  <c r="BU314" i="9"/>
  <c r="BU346" i="9"/>
  <c r="BU430" i="9"/>
  <c r="BU172" i="9"/>
  <c r="BU211" i="9"/>
  <c r="BU375" i="9"/>
  <c r="BU324" i="9"/>
  <c r="BU221" i="9"/>
  <c r="BU302" i="9"/>
  <c r="BU290" i="9"/>
  <c r="BU330" i="9"/>
  <c r="BU59" i="9"/>
  <c r="BU446" i="9"/>
  <c r="BU249" i="9"/>
  <c r="BU368" i="9"/>
  <c r="BU441" i="9"/>
  <c r="BU169" i="9"/>
  <c r="BU296" i="9"/>
  <c r="BU300" i="9"/>
  <c r="BU347" i="9"/>
  <c r="BU281" i="9"/>
  <c r="BU299" i="9"/>
  <c r="BU399" i="9"/>
  <c r="BU92" i="9"/>
  <c r="BU216" i="9"/>
  <c r="BU287" i="9"/>
  <c r="BU380" i="9"/>
  <c r="BU359" i="9"/>
  <c r="BU316" i="9"/>
  <c r="BU394" i="9"/>
  <c r="BU176" i="9"/>
  <c r="BU326" i="9"/>
  <c r="BU109" i="9"/>
  <c r="BU121" i="9"/>
  <c r="BU26" i="9"/>
  <c r="BU193" i="9"/>
  <c r="BU333" i="9"/>
  <c r="BU70" i="9"/>
  <c r="BU284" i="9"/>
  <c r="BU148" i="9"/>
  <c r="BU408" i="9"/>
  <c r="BU407" i="9"/>
  <c r="BU127" i="9"/>
  <c r="BU258" i="9"/>
  <c r="BU372" i="9"/>
  <c r="BU353" i="9"/>
  <c r="BU298" i="9"/>
  <c r="BU352" i="9"/>
  <c r="BU116" i="9"/>
  <c r="BU208" i="9"/>
  <c r="BU183" i="9"/>
  <c r="BU367" i="9"/>
  <c r="BU227" i="9"/>
  <c r="BU50" i="9"/>
  <c r="BU48" i="9"/>
  <c r="BU381" i="9"/>
  <c r="BU180" i="9"/>
  <c r="BU246" i="9"/>
  <c r="BU280" i="9"/>
  <c r="BU131" i="9"/>
  <c r="BU43" i="9"/>
  <c r="BU39" i="9"/>
  <c r="BU105" i="9"/>
  <c r="BU416" i="9"/>
  <c r="BU35" i="9"/>
  <c r="BU414" i="9"/>
  <c r="BU393" i="9"/>
  <c r="BU378" i="9"/>
  <c r="BU413" i="9"/>
  <c r="BU226" i="9"/>
  <c r="BU195" i="9"/>
  <c r="BU360" i="9"/>
  <c r="BU22" i="9"/>
  <c r="BU432" i="9"/>
  <c r="BU283" i="9"/>
  <c r="BU102" i="9"/>
  <c r="BU210" i="9"/>
  <c r="BU66" i="9"/>
  <c r="BU79" i="9"/>
  <c r="BU134" i="9"/>
  <c r="BU438" i="9"/>
  <c r="BU171" i="9"/>
  <c r="BU301" i="9"/>
  <c r="BU297" i="9"/>
  <c r="BU184" i="9"/>
  <c r="BU343" i="9"/>
  <c r="BU349" i="9"/>
  <c r="BU220" i="9"/>
  <c r="BU51" i="9"/>
  <c r="BU95" i="9"/>
  <c r="BU168" i="9"/>
  <c r="BU219" i="9"/>
  <c r="BU419" i="9"/>
  <c r="BU74" i="9"/>
  <c r="BU255" i="9"/>
  <c r="BU335" i="9"/>
  <c r="BU261" i="9"/>
  <c r="BU38" i="9"/>
  <c r="BU340" i="9"/>
  <c r="BU177" i="9"/>
  <c r="BU321" i="9"/>
  <c r="BU315" i="9"/>
  <c r="BU304" i="9"/>
  <c r="BU30" i="9"/>
  <c r="BU87" i="9"/>
  <c r="BU86" i="9"/>
  <c r="BU173" i="9"/>
  <c r="BU259" i="9"/>
  <c r="BU191" i="9"/>
  <c r="BU69" i="9"/>
  <c r="BU189" i="9"/>
  <c r="BU223" i="9"/>
  <c r="BU100" i="9"/>
  <c r="BU161" i="9"/>
  <c r="BU64" i="9"/>
  <c r="BU133" i="9"/>
  <c r="BU371" i="9"/>
  <c r="BU62" i="9"/>
  <c r="BU60" i="9"/>
  <c r="BU119" i="9"/>
  <c r="BU357" i="9"/>
  <c r="BU350" i="9"/>
  <c r="BU448" i="9"/>
  <c r="BU318" i="9"/>
  <c r="BU292" i="9"/>
  <c r="BU402" i="9"/>
  <c r="BU421" i="9"/>
  <c r="BU445" i="9"/>
  <c r="BU256" i="9"/>
  <c r="BU73" i="9"/>
  <c r="BU262" i="9"/>
  <c r="BU124" i="9"/>
  <c r="BU199" i="9"/>
  <c r="BU37" i="9"/>
  <c r="BU279" i="9"/>
  <c r="BU415" i="9"/>
  <c r="BU244" i="9"/>
  <c r="BU334" i="9"/>
  <c r="BU252" i="9"/>
  <c r="BU319" i="9"/>
  <c r="BU412" i="9"/>
  <c r="BU71" i="9"/>
  <c r="BU436" i="9"/>
  <c r="BU214" i="9"/>
  <c r="BU190" i="9"/>
  <c r="BJ44" i="9"/>
  <c r="BJ32" i="9"/>
  <c r="BJ213" i="9"/>
  <c r="BJ26" i="9"/>
  <c r="BJ96" i="9"/>
  <c r="BJ69" i="9"/>
  <c r="BJ218" i="9"/>
  <c r="BJ204" i="9"/>
  <c r="BJ244" i="9"/>
  <c r="BJ73" i="9"/>
  <c r="BJ227" i="9"/>
  <c r="BJ163" i="9"/>
  <c r="BJ207" i="9"/>
  <c r="BJ148" i="9"/>
  <c r="BJ172" i="9"/>
  <c r="BJ185" i="9"/>
  <c r="BJ142" i="9"/>
  <c r="BJ75" i="9"/>
  <c r="BJ62" i="9"/>
  <c r="BJ159" i="9"/>
  <c r="BJ126" i="9"/>
  <c r="BJ82" i="9"/>
  <c r="BJ121" i="9"/>
  <c r="BJ200" i="9"/>
  <c r="BJ202" i="9"/>
  <c r="BJ222" i="9"/>
  <c r="BJ210" i="9"/>
  <c r="BJ219" i="9"/>
  <c r="BJ155" i="9"/>
  <c r="BJ41" i="9"/>
  <c r="BJ165" i="9"/>
  <c r="BJ229" i="9"/>
  <c r="BJ224" i="9"/>
  <c r="BJ201" i="9"/>
  <c r="BJ59" i="9"/>
  <c r="BJ106" i="9"/>
  <c r="BJ61" i="9"/>
  <c r="BJ194" i="9"/>
  <c r="BJ241" i="9"/>
  <c r="BJ170" i="9"/>
  <c r="BJ67" i="9"/>
  <c r="BJ144" i="9"/>
  <c r="BJ149" i="9"/>
  <c r="BJ164" i="9"/>
  <c r="BJ238" i="9"/>
  <c r="BJ190" i="9"/>
  <c r="BJ171" i="9"/>
  <c r="BJ131" i="9"/>
  <c r="BJ112" i="9"/>
  <c r="BJ55" i="9"/>
  <c r="BJ27" i="9"/>
  <c r="BJ246" i="9"/>
  <c r="BJ23" i="9"/>
  <c r="BJ53" i="9"/>
  <c r="BJ188" i="9"/>
  <c r="BJ215" i="9"/>
  <c r="BJ129" i="9"/>
  <c r="BJ128" i="9"/>
  <c r="BJ71" i="9"/>
  <c r="BJ43" i="9"/>
  <c r="BJ120" i="9"/>
  <c r="BJ113" i="9"/>
  <c r="BJ105" i="9"/>
  <c r="BJ80" i="9"/>
  <c r="BJ161" i="9"/>
  <c r="BJ140" i="9"/>
  <c r="BJ88" i="9"/>
  <c r="BJ102" i="9"/>
  <c r="BJ24" i="9"/>
  <c r="BJ141" i="9"/>
  <c r="BJ91" i="9"/>
  <c r="BJ167" i="9"/>
  <c r="BJ114" i="9"/>
  <c r="BJ157" i="9"/>
  <c r="BJ189" i="9"/>
  <c r="BJ56" i="9"/>
  <c r="BJ187" i="9"/>
  <c r="BJ123" i="9"/>
  <c r="BJ97" i="9"/>
  <c r="BJ225" i="9"/>
  <c r="BJ109" i="9"/>
  <c r="BJ137" i="9"/>
  <c r="BJ63" i="9"/>
  <c r="BJ95" i="9"/>
  <c r="BJ214" i="9"/>
  <c r="BJ117" i="9"/>
  <c r="BJ160" i="9"/>
  <c r="BJ22" i="9"/>
  <c r="BJ83" i="9"/>
  <c r="BJ90" i="9"/>
  <c r="BJ57" i="9"/>
  <c r="BJ195" i="9"/>
  <c r="BJ177" i="9"/>
  <c r="BJ28" i="9"/>
  <c r="BJ184" i="9"/>
  <c r="BJ81" i="9"/>
  <c r="BJ94" i="9"/>
  <c r="BJ108" i="9"/>
  <c r="BJ166" i="9"/>
  <c r="BJ211" i="9"/>
  <c r="BJ115" i="9"/>
  <c r="BJ226" i="9"/>
  <c r="BJ54" i="9"/>
  <c r="BJ35" i="9"/>
  <c r="BJ84" i="9"/>
  <c r="BJ173" i="9"/>
  <c r="BJ89" i="9"/>
  <c r="BJ240" i="9"/>
  <c r="BJ237" i="9"/>
  <c r="BJ233" i="9"/>
  <c r="BJ139" i="9"/>
  <c r="BJ46" i="9"/>
  <c r="BJ228" i="9"/>
  <c r="BJ68" i="9"/>
  <c r="BJ174" i="9"/>
  <c r="BJ152" i="9"/>
  <c r="BJ183" i="9"/>
  <c r="BJ217" i="9"/>
  <c r="BJ100" i="9"/>
  <c r="BJ118" i="9"/>
  <c r="BJ132" i="9"/>
  <c r="BJ180" i="9"/>
  <c r="BJ116" i="9"/>
  <c r="BJ197" i="9"/>
  <c r="BJ191" i="9"/>
  <c r="BJ169" i="9"/>
  <c r="BJ154" i="9"/>
  <c r="BJ40" i="9"/>
  <c r="BJ209" i="9"/>
  <c r="BJ52" i="9"/>
  <c r="BJ99" i="9"/>
  <c r="BJ145" i="9"/>
  <c r="BJ212" i="9"/>
  <c r="BJ235" i="9"/>
  <c r="BJ110" i="9"/>
  <c r="BJ199" i="9"/>
  <c r="BJ234" i="9"/>
  <c r="BJ66" i="9"/>
  <c r="BJ143" i="9"/>
  <c r="BJ29" i="9"/>
  <c r="BJ49" i="9"/>
  <c r="BJ48" i="9"/>
  <c r="BJ236" i="9"/>
  <c r="BJ127" i="9"/>
  <c r="BJ47" i="9"/>
  <c r="BJ175" i="9"/>
  <c r="BJ186" i="9"/>
  <c r="BJ42" i="9"/>
  <c r="BJ98" i="9"/>
  <c r="BJ223" i="9"/>
  <c r="BJ36" i="9"/>
  <c r="BJ168" i="9"/>
  <c r="BJ103" i="9"/>
  <c r="BJ34" i="9"/>
  <c r="BJ162" i="9"/>
  <c r="BJ208" i="9"/>
  <c r="BJ31" i="9"/>
  <c r="BJ93" i="9"/>
  <c r="BJ77" i="9"/>
  <c r="BJ138" i="9"/>
  <c r="BJ37" i="9"/>
  <c r="BJ78" i="9"/>
  <c r="BJ125" i="9"/>
  <c r="BJ156" i="9"/>
  <c r="BJ65" i="9"/>
  <c r="BJ178" i="9"/>
  <c r="BJ243" i="9"/>
  <c r="BJ158" i="9"/>
  <c r="BJ122" i="9"/>
  <c r="BJ64" i="9"/>
  <c r="BJ124" i="9"/>
  <c r="BJ198" i="9"/>
  <c r="BJ245" i="9"/>
  <c r="BJ193" i="9"/>
  <c r="BJ239" i="9"/>
  <c r="BJ196" i="9"/>
  <c r="BJ74" i="9"/>
  <c r="BJ230" i="9"/>
  <c r="BJ107" i="9"/>
  <c r="BJ70" i="9"/>
  <c r="BJ101" i="9"/>
  <c r="BJ203" i="9"/>
  <c r="BJ39" i="9"/>
  <c r="BJ220" i="9"/>
  <c r="BJ151" i="9"/>
  <c r="BJ85" i="9"/>
  <c r="BJ33" i="9"/>
  <c r="BJ182" i="9"/>
  <c r="BJ179" i="9"/>
  <c r="BJ206" i="9"/>
  <c r="BJ147" i="9"/>
  <c r="BJ92" i="9"/>
  <c r="BJ111" i="9"/>
  <c r="BJ133" i="9"/>
  <c r="BJ58" i="9"/>
  <c r="BJ221" i="9"/>
  <c r="BJ181" i="9"/>
  <c r="BJ51" i="9"/>
  <c r="BJ146" i="9"/>
  <c r="BJ87" i="9"/>
  <c r="BJ135" i="9"/>
  <c r="BJ60" i="9"/>
  <c r="BJ205" i="9"/>
  <c r="BJ231" i="9"/>
  <c r="BJ25" i="9"/>
  <c r="BJ119" i="9"/>
  <c r="BJ50" i="9"/>
  <c r="BJ242" i="9"/>
  <c r="BJ192" i="9"/>
  <c r="BJ76" i="9"/>
  <c r="BJ232" i="9"/>
  <c r="BJ72" i="9"/>
  <c r="BJ45" i="9"/>
  <c r="BJ86" i="9"/>
  <c r="BJ153" i="9"/>
  <c r="BJ104" i="9"/>
  <c r="BJ38" i="9"/>
  <c r="BJ136" i="9"/>
  <c r="BJ216" i="9"/>
  <c r="BJ79" i="9"/>
  <c r="BJ134" i="9"/>
  <c r="BJ150" i="9"/>
  <c r="BJ130" i="9"/>
  <c r="BJ30" i="9"/>
  <c r="BJ176" i="9"/>
  <c r="AY169" i="9"/>
  <c r="AY77" i="9"/>
  <c r="AY67" i="9"/>
  <c r="AY115" i="9"/>
  <c r="AY100" i="9"/>
  <c r="AY48" i="9"/>
  <c r="AY159" i="9"/>
  <c r="AY108" i="9"/>
  <c r="AY93" i="9"/>
  <c r="AY94" i="9"/>
  <c r="AY125" i="9"/>
  <c r="AY153" i="9"/>
  <c r="AY37" i="9"/>
  <c r="AY33" i="9"/>
  <c r="AY50" i="9"/>
  <c r="AY62" i="9"/>
  <c r="AY113" i="9"/>
  <c r="AY87" i="9"/>
  <c r="AY44" i="9"/>
  <c r="AY43" i="9"/>
  <c r="AY41" i="9"/>
  <c r="AY34" i="9"/>
  <c r="AY161" i="9"/>
  <c r="AY120" i="9"/>
  <c r="AY92" i="9"/>
  <c r="AY146" i="9"/>
  <c r="AY47" i="9"/>
  <c r="AY81" i="9"/>
  <c r="AY157" i="9"/>
  <c r="AY152" i="9"/>
  <c r="AY141" i="9"/>
  <c r="AY54" i="9"/>
  <c r="AY102" i="9"/>
  <c r="AY30" i="9"/>
  <c r="AY101" i="9"/>
  <c r="AY58" i="9"/>
  <c r="AY119" i="9"/>
  <c r="AY97" i="9"/>
  <c r="AY140" i="9"/>
  <c r="AY163" i="9"/>
  <c r="AY139" i="9"/>
  <c r="AY72" i="9"/>
  <c r="AY171" i="9"/>
  <c r="AY25" i="9"/>
  <c r="AY110" i="9"/>
  <c r="AY23" i="9"/>
  <c r="AY122" i="9"/>
  <c r="AY143" i="9"/>
  <c r="AY105" i="9"/>
  <c r="AY135" i="9"/>
  <c r="AY91" i="9"/>
  <c r="AY88" i="9"/>
  <c r="AY76" i="9"/>
  <c r="AY167" i="9"/>
  <c r="AY165" i="9"/>
  <c r="AY106" i="9"/>
  <c r="AY32" i="9"/>
  <c r="AY64" i="9"/>
  <c r="AY83" i="9"/>
  <c r="AY75" i="9"/>
  <c r="AY59" i="9"/>
  <c r="AY114" i="9"/>
  <c r="AY124" i="9"/>
  <c r="AY85" i="9"/>
  <c r="AY52" i="9"/>
  <c r="AY109" i="9"/>
  <c r="AY156" i="9"/>
  <c r="AY145" i="9"/>
  <c r="AY130" i="9"/>
  <c r="AY128" i="9"/>
  <c r="AY104" i="9"/>
  <c r="AY80" i="9"/>
  <c r="AY118" i="9"/>
  <c r="AY131" i="9"/>
  <c r="AY26" i="9"/>
  <c r="AY56" i="9"/>
  <c r="AY46" i="9"/>
  <c r="AY112" i="9"/>
  <c r="AY154" i="9"/>
  <c r="AY111" i="9"/>
  <c r="AY98" i="9"/>
  <c r="AY78" i="9"/>
  <c r="AY42" i="9"/>
  <c r="AY61" i="9"/>
  <c r="AY117" i="9"/>
  <c r="AY89" i="9"/>
  <c r="AY71" i="9"/>
  <c r="AY84" i="9"/>
  <c r="AY69" i="9"/>
  <c r="AY35" i="9"/>
  <c r="AY137" i="9"/>
  <c r="AY132" i="9"/>
  <c r="AY121" i="9"/>
  <c r="AY127" i="9"/>
  <c r="AY168" i="9"/>
  <c r="AY28" i="9"/>
  <c r="AY96" i="9"/>
  <c r="AY39" i="9"/>
  <c r="AY55" i="9"/>
  <c r="AY164" i="9"/>
  <c r="AY36" i="9"/>
  <c r="AY66" i="9"/>
  <c r="AY27" i="9"/>
  <c r="AY107" i="9"/>
  <c r="AY142" i="9"/>
  <c r="AY150" i="9"/>
  <c r="AY24" i="9"/>
  <c r="AY151" i="9"/>
  <c r="AY148" i="9"/>
  <c r="AY63" i="9"/>
  <c r="AY99" i="9"/>
  <c r="AY103" i="9"/>
  <c r="AY134" i="9"/>
  <c r="AY138" i="9"/>
  <c r="AY70" i="9"/>
  <c r="AY79" i="9"/>
  <c r="AY68" i="9"/>
  <c r="AY29" i="9"/>
  <c r="AY144" i="9"/>
  <c r="AY45" i="9"/>
  <c r="AY31" i="9"/>
  <c r="AY40" i="9"/>
  <c r="AY160" i="9"/>
  <c r="AY49" i="9"/>
  <c r="AY22" i="9"/>
  <c r="AY86" i="9"/>
  <c r="AY123" i="9"/>
  <c r="AY155" i="9"/>
  <c r="AY162" i="9"/>
  <c r="AY90" i="9"/>
  <c r="AY95" i="9"/>
  <c r="AY126" i="9"/>
  <c r="AY38" i="9"/>
  <c r="AY53" i="9"/>
  <c r="AY65" i="9"/>
  <c r="AY60" i="9"/>
  <c r="AY73" i="9"/>
  <c r="AY166" i="9"/>
  <c r="AY82" i="9"/>
  <c r="AY74" i="9"/>
  <c r="AY116" i="9"/>
  <c r="AY147" i="9"/>
  <c r="AY57" i="9"/>
  <c r="AY170" i="9"/>
  <c r="AY51" i="9"/>
  <c r="AY158" i="9"/>
  <c r="AY133" i="9"/>
  <c r="AY136" i="9"/>
  <c r="AY129" i="9"/>
  <c r="AY149" i="9"/>
  <c r="AN349" i="9"/>
  <c r="AN66" i="9"/>
  <c r="AN208" i="9"/>
  <c r="AN164" i="9"/>
  <c r="AN316" i="9"/>
  <c r="AN193" i="9"/>
  <c r="AN143" i="9"/>
  <c r="AN184" i="9"/>
  <c r="AN303" i="9"/>
  <c r="AN151" i="9"/>
  <c r="AN220" i="9"/>
  <c r="AN159" i="9"/>
  <c r="AN324" i="9"/>
  <c r="AN54" i="9"/>
  <c r="AN153" i="9"/>
  <c r="AN219" i="9"/>
  <c r="AN190" i="9"/>
  <c r="AN368" i="9"/>
  <c r="AN81" i="9"/>
  <c r="AN117" i="9"/>
  <c r="AN400" i="9"/>
  <c r="AN137" i="9"/>
  <c r="AN157" i="9"/>
  <c r="AN321" i="9"/>
  <c r="AN256" i="9"/>
  <c r="AN356" i="9"/>
  <c r="AN161" i="9"/>
  <c r="AN253" i="9"/>
  <c r="AN341" i="9"/>
  <c r="AN206" i="9"/>
  <c r="AN246" i="9"/>
  <c r="AN283" i="9"/>
  <c r="AN355" i="9"/>
  <c r="AN138" i="9"/>
  <c r="AN252" i="9"/>
  <c r="AN189" i="9"/>
  <c r="AN167" i="9"/>
  <c r="AN101" i="9"/>
  <c r="AN333" i="9"/>
  <c r="AN89" i="9"/>
  <c r="AN297" i="9"/>
  <c r="AN342" i="9"/>
  <c r="AN370" i="9"/>
  <c r="AN288" i="9"/>
  <c r="AN282" i="9"/>
  <c r="AN43" i="9"/>
  <c r="AN337" i="9"/>
  <c r="AN352" i="9"/>
  <c r="AN181" i="9"/>
  <c r="AN64" i="9"/>
  <c r="AN158" i="9"/>
  <c r="AN309" i="9"/>
  <c r="AN79" i="9"/>
  <c r="AN182" i="9"/>
  <c r="AN59" i="9"/>
  <c r="AN134" i="9"/>
  <c r="AN344" i="9"/>
  <c r="AN205" i="9"/>
  <c r="AN306" i="9"/>
  <c r="AN76" i="9"/>
  <c r="AN70" i="9"/>
  <c r="AN141" i="9"/>
  <c r="AN113" i="9"/>
  <c r="AN202" i="9"/>
  <c r="AN100" i="9"/>
  <c r="AN305" i="9"/>
  <c r="AN86" i="9"/>
  <c r="AN75" i="9"/>
  <c r="AN377" i="9"/>
  <c r="AN290" i="9"/>
  <c r="AN56" i="9"/>
  <c r="AN175" i="9"/>
  <c r="AN42" i="9"/>
  <c r="AN204" i="9"/>
  <c r="AN263" i="9"/>
  <c r="AN185" i="9"/>
  <c r="AN22" i="9"/>
  <c r="AN365" i="9"/>
  <c r="AN231" i="9"/>
  <c r="AN380" i="9"/>
  <c r="AN198" i="9"/>
  <c r="AN146" i="9"/>
  <c r="AN328" i="9"/>
  <c r="AN124" i="9"/>
  <c r="AN152" i="9"/>
  <c r="AN194" i="9"/>
  <c r="AN289" i="9"/>
  <c r="AN147" i="9"/>
  <c r="AN392" i="9"/>
  <c r="AN128" i="9"/>
  <c r="AN213" i="9"/>
  <c r="AN112" i="9"/>
  <c r="AN107" i="9"/>
  <c r="AN313" i="9"/>
  <c r="AN387" i="9"/>
  <c r="AN300" i="9"/>
  <c r="AN383" i="9"/>
  <c r="AN180" i="9"/>
  <c r="AN63" i="9"/>
  <c r="AN287" i="9"/>
  <c r="AN119" i="9"/>
  <c r="AN118" i="9"/>
  <c r="AN357" i="9"/>
  <c r="AN139" i="9"/>
  <c r="AN310" i="9"/>
  <c r="AN80" i="9"/>
  <c r="AN265" i="9"/>
  <c r="AN183" i="9"/>
  <c r="AN367" i="9"/>
  <c r="AN46" i="9"/>
  <c r="AN145" i="9"/>
  <c r="AN95" i="9"/>
  <c r="AN347" i="9"/>
  <c r="AN378" i="9"/>
  <c r="AN142" i="9"/>
  <c r="AN292" i="9"/>
  <c r="AN57" i="9"/>
  <c r="AN33" i="9"/>
  <c r="AN401" i="9"/>
  <c r="AN111" i="9"/>
  <c r="AN24" i="9"/>
  <c r="AN129" i="9"/>
  <c r="AN228" i="9"/>
  <c r="AN85" i="9"/>
  <c r="AN74" i="9"/>
  <c r="AN67" i="9"/>
  <c r="AN210" i="9"/>
  <c r="AN131" i="9"/>
  <c r="AN50" i="9"/>
  <c r="AN363" i="9"/>
  <c r="AN336" i="9"/>
  <c r="AN218" i="9"/>
  <c r="AN248" i="9"/>
  <c r="AN276" i="9"/>
  <c r="AN173" i="9"/>
  <c r="AN25" i="9"/>
  <c r="AN284" i="9"/>
  <c r="AN38" i="9"/>
  <c r="AN329" i="9"/>
  <c r="AN178" i="9"/>
  <c r="AN212" i="9"/>
  <c r="AN207" i="9"/>
  <c r="AN133" i="9"/>
  <c r="AN144" i="9"/>
  <c r="AN322" i="9"/>
  <c r="AN110" i="9"/>
  <c r="AN394" i="9"/>
  <c r="AN312" i="9"/>
  <c r="AN259" i="9"/>
  <c r="AN165" i="9"/>
  <c r="AN73" i="9"/>
  <c r="AN332" i="9"/>
  <c r="AN369" i="9"/>
  <c r="AN366" i="9"/>
  <c r="AN278" i="9"/>
  <c r="AN39" i="9"/>
  <c r="AN237" i="9"/>
  <c r="AN351" i="9"/>
  <c r="AN346" i="9"/>
  <c r="AN99" i="9"/>
  <c r="AN93" i="9"/>
  <c r="AN374" i="9"/>
  <c r="AN62" i="9"/>
  <c r="AN268" i="9"/>
  <c r="AN115" i="9"/>
  <c r="AN235" i="9"/>
  <c r="AN320" i="9"/>
  <c r="AN319" i="9"/>
  <c r="AN396" i="9"/>
  <c r="AN393" i="9"/>
  <c r="AN391" i="9"/>
  <c r="AN155" i="9"/>
  <c r="AN94" i="9"/>
  <c r="AN23" i="9"/>
  <c r="AN402" i="9"/>
  <c r="AN127" i="9"/>
  <c r="AN242" i="9"/>
  <c r="AN227" i="9"/>
  <c r="AN403" i="9"/>
  <c r="AN295" i="9"/>
  <c r="AN170" i="9"/>
  <c r="AN254" i="9"/>
  <c r="AN371" i="9"/>
  <c r="AN61" i="9"/>
  <c r="AN122" i="9"/>
  <c r="AN132" i="9"/>
  <c r="AN285" i="9"/>
  <c r="AN51" i="9"/>
  <c r="AN277" i="9"/>
  <c r="AN44" i="9"/>
  <c r="AN335" i="9"/>
  <c r="AN272" i="9"/>
  <c r="AN360" i="9"/>
  <c r="AN35" i="9"/>
  <c r="AN354" i="9"/>
  <c r="AN203" i="9"/>
  <c r="AN197" i="9"/>
  <c r="AN334" i="9"/>
  <c r="AN382" i="9"/>
  <c r="AN195" i="9"/>
  <c r="AN116" i="9"/>
  <c r="AN260" i="9"/>
  <c r="AN156" i="9"/>
  <c r="AN26" i="9"/>
  <c r="AN348" i="9"/>
  <c r="AN172" i="9"/>
  <c r="AN106" i="9"/>
  <c r="AN390" i="9"/>
  <c r="AN229" i="9"/>
  <c r="AN308" i="9"/>
  <c r="AN345" i="9"/>
  <c r="AN244" i="9"/>
  <c r="AN301" i="9"/>
  <c r="AN83" i="9"/>
  <c r="AN78" i="9"/>
  <c r="AN126" i="9"/>
  <c r="AN294" i="9"/>
  <c r="AN376" i="9"/>
  <c r="AN241" i="9"/>
  <c r="AN123" i="9"/>
  <c r="AN326" i="9"/>
  <c r="AN191" i="9"/>
  <c r="AN121" i="9"/>
  <c r="AN199" i="9"/>
  <c r="AN177" i="9"/>
  <c r="AN48" i="9"/>
  <c r="AN209" i="9"/>
  <c r="AN41" i="9"/>
  <c r="AN338" i="9"/>
  <c r="AN359" i="9"/>
  <c r="AN267" i="9"/>
  <c r="AN250" i="9"/>
  <c r="AN30" i="9"/>
  <c r="AN317" i="9"/>
  <c r="AN384" i="9"/>
  <c r="AN69" i="9"/>
  <c r="AN154" i="9"/>
  <c r="AN262"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196" i="9"/>
  <c r="AN255" i="9"/>
  <c r="AN169" i="9"/>
  <c r="AN224" i="9"/>
  <c r="AN49" i="9"/>
  <c r="AN140"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149" i="9"/>
  <c r="AN27" i="9"/>
  <c r="AN171" i="9"/>
  <c r="AN90" i="9"/>
  <c r="AN84" i="9"/>
  <c r="AN281" i="9"/>
  <c r="AN45" i="9"/>
  <c r="AN330"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302" i="9"/>
  <c r="AN273"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44" i="9"/>
  <c r="AC39" i="9"/>
  <c r="AC88" i="9"/>
  <c r="AC50" i="9"/>
  <c r="AC40" i="9"/>
  <c r="AC23" i="9"/>
  <c r="AC54" i="9"/>
  <c r="AC41" i="9"/>
  <c r="AC51" i="9"/>
  <c r="AC22" i="9"/>
  <c r="AC81" i="9"/>
  <c r="AC58" i="9"/>
  <c r="AC91" i="9"/>
  <c r="AC64" i="9"/>
  <c r="AC29" i="9"/>
  <c r="AC32" i="9"/>
  <c r="AC80" i="9"/>
  <c r="AC84" i="9"/>
  <c r="AC59" i="9"/>
  <c r="AC67" i="9"/>
  <c r="AC30" i="9"/>
  <c r="AC37" i="9"/>
  <c r="AC43" i="9"/>
  <c r="AC38" i="9"/>
  <c r="AC74" i="9"/>
  <c r="AC42" i="9"/>
  <c r="AC61" i="9"/>
  <c r="AC66" i="9"/>
  <c r="AC49" i="9"/>
  <c r="AC52" i="9"/>
  <c r="AC47" i="9"/>
  <c r="AC28" i="9"/>
  <c r="AC79" i="9"/>
  <c r="AC35" i="9"/>
  <c r="AC70" i="9"/>
  <c r="AC76" i="9"/>
  <c r="AC92" i="9"/>
  <c r="AC60" i="9"/>
  <c r="AC75" i="9"/>
  <c r="AC65" i="9"/>
  <c r="AC87" i="9"/>
  <c r="AC53" i="9"/>
  <c r="AC69" i="9"/>
  <c r="AC71" i="9"/>
  <c r="AC27" i="9"/>
  <c r="AC73" i="9"/>
  <c r="AC83" i="9"/>
  <c r="AC36" i="9"/>
  <c r="AC56" i="9"/>
  <c r="AC34" i="9"/>
  <c r="AC77" i="9"/>
  <c r="AC25" i="9"/>
  <c r="AC82" i="9"/>
  <c r="AC72" i="9"/>
  <c r="AC55" i="9"/>
  <c r="AC90" i="9"/>
  <c r="AC46" i="9"/>
  <c r="AC86" i="9"/>
  <c r="AC26" i="9"/>
  <c r="AC31" i="9"/>
  <c r="AC63" i="9"/>
  <c r="AC24" i="9"/>
  <c r="AC33" i="9"/>
  <c r="AC85" i="9"/>
  <c r="AC62" i="9"/>
  <c r="AC48" i="9"/>
  <c r="AC68" i="9"/>
  <c r="AC89" i="9"/>
  <c r="AC57" i="9"/>
  <c r="AC78" i="9"/>
  <c r="AC45" i="9"/>
  <c r="R218" i="9"/>
  <c r="R25" i="9"/>
  <c r="R47" i="9"/>
  <c r="R224" i="9"/>
  <c r="R151" i="9"/>
  <c r="R119" i="9"/>
  <c r="R196" i="9"/>
  <c r="R168" i="9"/>
  <c r="R163" i="9"/>
  <c r="R158" i="9"/>
  <c r="R75" i="9"/>
  <c r="R90" i="9"/>
  <c r="R208" i="9"/>
  <c r="R70" i="9"/>
  <c r="R77" i="9"/>
  <c r="R53" i="9"/>
  <c r="R121" i="9"/>
  <c r="R71" i="9"/>
  <c r="R241" i="9"/>
  <c r="R65" i="9"/>
  <c r="R43" i="9"/>
  <c r="R99" i="9"/>
  <c r="R253" i="9"/>
  <c r="R31" i="9"/>
  <c r="R29" i="9"/>
  <c r="R166" i="9"/>
  <c r="R129" i="9"/>
  <c r="R156" i="9"/>
  <c r="R105" i="9"/>
  <c r="R107" i="9"/>
  <c r="R52" i="9"/>
  <c r="R172" i="9"/>
  <c r="R58" i="9"/>
  <c r="R228" i="9"/>
  <c r="R197" i="9"/>
  <c r="R72" i="9"/>
  <c r="R112" i="9"/>
  <c r="R204" i="9"/>
  <c r="R32" i="9"/>
  <c r="R73" i="9"/>
  <c r="R62" i="9"/>
  <c r="R130" i="9"/>
  <c r="R68" i="9"/>
  <c r="R23" i="9"/>
  <c r="R234" i="9"/>
  <c r="R194" i="9"/>
  <c r="R200" i="9"/>
  <c r="R24" i="9"/>
  <c r="R30" i="9"/>
  <c r="R144" i="9"/>
  <c r="R137" i="9"/>
  <c r="R83" i="9"/>
  <c r="R142" i="9"/>
  <c r="R46" i="9"/>
  <c r="R106" i="9"/>
  <c r="R243" i="9"/>
  <c r="R139" i="9"/>
  <c r="R162" i="9"/>
  <c r="R171" i="9"/>
  <c r="R233" i="9"/>
  <c r="R227" i="9"/>
  <c r="R79" i="9"/>
  <c r="R40" i="9"/>
  <c r="R136" i="9"/>
  <c r="R203" i="9"/>
  <c r="R123" i="9"/>
  <c r="R122" i="9"/>
  <c r="R230" i="9"/>
  <c r="R187" i="9"/>
  <c r="R51" i="9"/>
  <c r="R48" i="9"/>
  <c r="R192" i="9"/>
  <c r="R247" i="9"/>
  <c r="R93" i="9"/>
  <c r="R135" i="9"/>
  <c r="R127" i="9"/>
  <c r="R115" i="9"/>
  <c r="R229" i="9"/>
  <c r="R179" i="9"/>
  <c r="R177" i="9"/>
  <c r="R161" i="9"/>
  <c r="R220" i="9"/>
  <c r="R113" i="9"/>
  <c r="R60" i="9"/>
  <c r="R252" i="9"/>
  <c r="R249" i="9"/>
  <c r="R245" i="9"/>
  <c r="R202" i="9"/>
  <c r="R26" i="9"/>
  <c r="R81" i="9"/>
  <c r="R254" i="9"/>
  <c r="R193" i="9"/>
  <c r="R63" i="9"/>
  <c r="R85" i="9"/>
  <c r="R57" i="9"/>
  <c r="R100" i="9"/>
  <c r="R223" i="9"/>
  <c r="R95" i="9"/>
  <c r="R219" i="9"/>
  <c r="R149" i="9"/>
  <c r="R147" i="9"/>
  <c r="R213" i="9"/>
  <c r="R141" i="9"/>
  <c r="R211" i="9"/>
  <c r="R186" i="9"/>
  <c r="R27" i="9"/>
  <c r="R104" i="9"/>
  <c r="R201" i="9"/>
  <c r="R97" i="9"/>
  <c r="R42" i="9"/>
  <c r="R214" i="9"/>
  <c r="R209" i="9"/>
  <c r="R96" i="9"/>
  <c r="R41" i="9"/>
  <c r="R178" i="9"/>
  <c r="R37" i="9"/>
  <c r="R69" i="9"/>
  <c r="R250" i="9"/>
  <c r="R242" i="9"/>
  <c r="R174" i="9"/>
  <c r="R256" i="9"/>
  <c r="R125" i="9"/>
  <c r="R49" i="9"/>
  <c r="R251" i="9"/>
  <c r="R109" i="9"/>
  <c r="R101" i="9"/>
  <c r="R226" i="9"/>
  <c r="R120" i="9"/>
  <c r="R66" i="9"/>
  <c r="R155" i="9"/>
  <c r="R217" i="9"/>
  <c r="R146" i="9"/>
  <c r="R143" i="9"/>
  <c r="R244" i="9"/>
  <c r="R38" i="9"/>
  <c r="R111" i="9"/>
  <c r="R207" i="9"/>
  <c r="R22" i="9"/>
  <c r="R34" i="9"/>
  <c r="R80" i="9"/>
  <c r="R221" i="9"/>
  <c r="R239" i="9"/>
  <c r="R165" i="9"/>
  <c r="R45" i="9"/>
  <c r="R134" i="9"/>
  <c r="R102" i="9"/>
  <c r="R150" i="9"/>
  <c r="R74" i="9"/>
  <c r="R190" i="9"/>
  <c r="R117" i="9"/>
  <c r="R55" i="9"/>
  <c r="R189" i="9"/>
  <c r="R184" i="9"/>
  <c r="R98" i="9"/>
  <c r="R232" i="9"/>
  <c r="R195" i="9"/>
  <c r="R225" i="9"/>
  <c r="R198" i="9"/>
  <c r="R248" i="9"/>
  <c r="R154" i="9"/>
  <c r="R82" i="9"/>
  <c r="R108" i="9"/>
  <c r="R212" i="9"/>
  <c r="R140" i="9"/>
  <c r="R28" i="9"/>
  <c r="R89" i="9"/>
  <c r="R206" i="9"/>
  <c r="R205" i="9"/>
  <c r="R126" i="9"/>
  <c r="R54" i="9"/>
  <c r="R182" i="9"/>
  <c r="R124" i="9"/>
  <c r="R175" i="9"/>
  <c r="R33" i="9"/>
  <c r="R236" i="9"/>
  <c r="R199" i="9"/>
  <c r="R138" i="9"/>
  <c r="R110" i="9"/>
  <c r="R114" i="9"/>
  <c r="R76" i="9"/>
  <c r="R118" i="9"/>
  <c r="R132" i="9"/>
  <c r="R238" i="9"/>
  <c r="R185" i="9"/>
  <c r="R235" i="9"/>
  <c r="R116" i="9"/>
  <c r="R164" i="9"/>
  <c r="R188" i="9"/>
  <c r="R44" i="9"/>
  <c r="R180" i="9"/>
  <c r="R157" i="9"/>
  <c r="R222" i="9"/>
  <c r="R153" i="9"/>
  <c r="R216" i="9"/>
  <c r="R215" i="9"/>
  <c r="R91" i="9"/>
  <c r="R84" i="9"/>
  <c r="R176" i="9"/>
  <c r="R88" i="9"/>
  <c r="R131" i="9"/>
  <c r="R240" i="9"/>
  <c r="R59" i="9"/>
  <c r="R170" i="9"/>
  <c r="R50" i="9"/>
  <c r="R148" i="9"/>
  <c r="R78" i="9"/>
  <c r="R237" i="9"/>
  <c r="R64" i="9"/>
  <c r="R246" i="9"/>
  <c r="R61" i="9"/>
  <c r="R35" i="9"/>
  <c r="R169" i="9"/>
  <c r="R160" i="9"/>
  <c r="R92" i="9"/>
  <c r="R67" i="9"/>
  <c r="R173" i="9"/>
  <c r="R255" i="9"/>
  <c r="R167" i="9"/>
  <c r="R86" i="9"/>
  <c r="R183" i="9"/>
  <c r="R231" i="9"/>
  <c r="R181" i="9"/>
  <c r="R159" i="9"/>
  <c r="R87" i="9"/>
  <c r="R94" i="9"/>
  <c r="R152" i="9"/>
  <c r="R56" i="9"/>
  <c r="R145" i="9"/>
  <c r="R39" i="9"/>
  <c r="R191" i="9"/>
  <c r="R210" i="9"/>
  <c r="R133" i="9"/>
  <c r="R36" i="9"/>
  <c r="R128" i="9"/>
  <c r="R103" i="9"/>
  <c r="G268" i="9"/>
  <c r="G176" i="9"/>
  <c r="G451" i="9"/>
  <c r="G156" i="9"/>
  <c r="G140" i="9"/>
  <c r="G124" i="9"/>
  <c r="G472" i="9"/>
  <c r="G552" i="9"/>
  <c r="G468" i="9"/>
  <c r="G61" i="9"/>
  <c r="G397" i="9"/>
  <c r="G235" i="9"/>
  <c r="G394" i="9"/>
  <c r="G504" i="9"/>
  <c r="G109" i="9"/>
  <c r="G481" i="9"/>
  <c r="G539" i="9"/>
  <c r="G453" i="9"/>
  <c r="G612" i="9"/>
  <c r="G108" i="9"/>
  <c r="G275" i="9"/>
  <c r="G238" i="9"/>
  <c r="G188" i="9"/>
  <c r="G211" i="9"/>
  <c r="G165" i="9"/>
  <c r="G218" i="9"/>
  <c r="G282" i="9"/>
  <c r="G151" i="9"/>
  <c r="G128" i="9"/>
  <c r="G450" i="9"/>
  <c r="G104" i="9"/>
  <c r="G498" i="9"/>
  <c r="G181" i="9"/>
  <c r="G524" i="9"/>
  <c r="G514" i="9"/>
  <c r="G429" i="9"/>
  <c r="G233" i="9"/>
  <c r="G503" i="9"/>
  <c r="G500" i="9"/>
  <c r="G547" i="9"/>
  <c r="G536" i="9"/>
  <c r="G439" i="9"/>
  <c r="G434" i="9"/>
  <c r="G505" i="9"/>
  <c r="G74" i="9"/>
  <c r="G563" i="9"/>
  <c r="G39" i="9"/>
  <c r="G375" i="9"/>
  <c r="G557" i="9"/>
  <c r="G38" i="9"/>
  <c r="G556" i="9"/>
  <c r="G544" i="9"/>
  <c r="G247" i="9"/>
  <c r="G261" i="9"/>
  <c r="G299" i="9"/>
  <c r="G455" i="9"/>
  <c r="G619" i="9"/>
  <c r="G565" i="9"/>
  <c r="G367" i="9"/>
  <c r="G309" i="9"/>
  <c r="G534" i="9"/>
  <c r="G177" i="9"/>
  <c r="G32" i="9"/>
  <c r="G189" i="9"/>
  <c r="G245" i="9"/>
  <c r="G484" i="9"/>
  <c r="G73" i="9"/>
  <c r="G264" i="9"/>
  <c r="G90" i="9"/>
  <c r="G55" i="9"/>
  <c r="G538" i="9"/>
  <c r="G410" i="9"/>
  <c r="G611" i="9"/>
  <c r="G506" i="9"/>
  <c r="G448" i="9"/>
  <c r="G502" i="9"/>
  <c r="G259" i="9"/>
  <c r="G182" i="9"/>
  <c r="G306" i="9"/>
  <c r="G195" i="9"/>
  <c r="G443" i="9"/>
  <c r="G570" i="9"/>
  <c r="G402" i="9"/>
  <c r="G475" i="9"/>
  <c r="G602" i="9"/>
  <c r="G119" i="9"/>
  <c r="G197" i="9"/>
  <c r="G586" i="9"/>
  <c r="G217" i="9"/>
  <c r="G411" i="9"/>
  <c r="G337" i="9"/>
  <c r="G321" i="9"/>
  <c r="G313" i="9"/>
  <c r="G428" i="9"/>
  <c r="G542" i="9"/>
  <c r="G63" i="9"/>
  <c r="G413" i="9"/>
  <c r="G486" i="9"/>
  <c r="G161" i="9"/>
  <c r="G272" i="9"/>
  <c r="G297" i="9"/>
  <c r="G391" i="9"/>
  <c r="G112" i="9"/>
  <c r="G541" i="9"/>
  <c r="G533" i="9"/>
  <c r="G179" i="9"/>
  <c r="G280" i="9"/>
  <c r="G300" i="9"/>
  <c r="G509" i="9"/>
  <c r="G366" i="9"/>
  <c r="G152" i="9"/>
  <c r="G258" i="9"/>
  <c r="G424" i="9"/>
  <c r="G125" i="9"/>
  <c r="G418" i="9"/>
  <c r="G437" i="9"/>
  <c r="G560" i="9"/>
  <c r="G296" i="9"/>
  <c r="G95" i="9"/>
  <c r="G86" i="9"/>
  <c r="G540" i="9"/>
  <c r="G262" i="9"/>
  <c r="G67" i="9"/>
  <c r="G615" i="9"/>
  <c r="G432" i="9"/>
  <c r="G593" i="9"/>
  <c r="G36" i="9"/>
  <c r="G29" i="9"/>
  <c r="G420" i="9"/>
  <c r="G173" i="9"/>
  <c r="G561" i="9"/>
  <c r="G389" i="9"/>
  <c r="G96" i="9"/>
  <c r="G228" i="9"/>
  <c r="G69" i="9"/>
  <c r="G361" i="9"/>
  <c r="G160" i="9"/>
  <c r="G589" i="9"/>
  <c r="G146" i="9"/>
  <c r="G134" i="9"/>
  <c r="G23" i="9"/>
  <c r="G567" i="9"/>
  <c r="G352" i="9"/>
  <c r="G343" i="9"/>
  <c r="G170" i="9"/>
  <c r="G190" i="9"/>
  <c r="G387" i="9"/>
  <c r="G497" i="9"/>
  <c r="G435" i="9"/>
  <c r="G427" i="9"/>
  <c r="G342" i="9"/>
  <c r="G488" i="9"/>
  <c r="G519" i="9"/>
  <c r="G222" i="9"/>
  <c r="G603" i="9"/>
  <c r="G471" i="9"/>
  <c r="G454" i="9"/>
  <c r="G230" i="9"/>
  <c r="G606" i="9"/>
  <c r="G466" i="9"/>
  <c r="G537" i="9"/>
  <c r="G266" i="9"/>
  <c r="G526" i="9"/>
  <c r="G520" i="9"/>
  <c r="G419" i="9"/>
  <c r="G340" i="9"/>
  <c r="G400" i="9"/>
  <c r="G159" i="9"/>
  <c r="G257" i="9"/>
  <c r="G447" i="9"/>
  <c r="G117" i="9"/>
  <c r="G22" i="9"/>
  <c r="G184" i="9"/>
  <c r="G398" i="9"/>
  <c r="G225" i="9"/>
  <c r="G377" i="9"/>
  <c r="G58" i="9"/>
  <c r="G52" i="9"/>
  <c r="G456" i="9"/>
  <c r="G249" i="9"/>
  <c r="G158" i="9"/>
  <c r="G338" i="9"/>
  <c r="G583" i="9"/>
  <c r="G130" i="9"/>
  <c r="G574" i="9"/>
  <c r="G172" i="9"/>
  <c r="G255" i="9"/>
  <c r="G470" i="9"/>
  <c r="G98" i="9"/>
  <c r="G267" i="9"/>
  <c r="G386" i="9"/>
  <c r="G385" i="9"/>
  <c r="G414" i="9"/>
  <c r="G374" i="9"/>
  <c r="G525" i="9"/>
  <c r="G244" i="9"/>
  <c r="G41" i="9"/>
  <c r="G513" i="9"/>
  <c r="G346" i="9"/>
  <c r="G476" i="9"/>
  <c r="G336" i="9"/>
  <c r="G215" i="9"/>
  <c r="G616" i="9"/>
  <c r="G77" i="9"/>
  <c r="G516" i="9"/>
  <c r="G220" i="9"/>
  <c r="G271" i="9"/>
  <c r="G601" i="9"/>
  <c r="G129" i="9"/>
  <c r="G232" i="9"/>
  <c r="G115" i="9"/>
  <c r="G263" i="9"/>
  <c r="G600" i="9"/>
  <c r="G241" i="9"/>
  <c r="G549" i="9"/>
  <c r="G191" i="9"/>
  <c r="G496" i="9"/>
  <c r="G605" i="9"/>
  <c r="G209" i="9"/>
  <c r="G326" i="9"/>
  <c r="G51" i="9"/>
  <c r="G359" i="9"/>
  <c r="G512" i="9"/>
  <c r="G399" i="9"/>
  <c r="G591" i="9"/>
  <c r="G370" i="9"/>
  <c r="G369" i="9"/>
  <c r="G147" i="9"/>
  <c r="G353" i="9"/>
  <c r="G270" i="9"/>
  <c r="G578" i="9"/>
  <c r="G201" i="9"/>
  <c r="G123" i="9"/>
  <c r="G116" i="9"/>
  <c r="G216" i="9"/>
  <c r="G110" i="9"/>
  <c r="G107" i="9"/>
  <c r="G103" i="9"/>
  <c r="G169" i="9"/>
  <c r="G551" i="9"/>
  <c r="G91" i="9"/>
  <c r="G330" i="9"/>
  <c r="G274" i="9"/>
  <c r="G351" i="9"/>
  <c r="G210" i="9"/>
  <c r="G327" i="9"/>
  <c r="G493" i="9"/>
  <c r="G62" i="9"/>
  <c r="G529" i="9"/>
  <c r="G237" i="9"/>
  <c r="G178" i="9"/>
  <c r="G43" i="9"/>
  <c r="G223" i="9"/>
  <c r="G164" i="9"/>
  <c r="G175" i="9"/>
  <c r="G28" i="9"/>
  <c r="G157" i="9"/>
  <c r="G155" i="9"/>
  <c r="G276" i="9"/>
  <c r="G145" i="9"/>
  <c r="G138" i="9"/>
  <c r="G324" i="9"/>
  <c r="G126" i="9"/>
  <c r="G573" i="9"/>
  <c r="G319" i="9"/>
  <c r="G318" i="9"/>
  <c r="G564" i="9"/>
  <c r="G422" i="9"/>
  <c r="G558" i="9"/>
  <c r="G499" i="9"/>
  <c r="G312" i="9"/>
  <c r="G446" i="9"/>
  <c r="G409" i="9"/>
  <c r="G183" i="9"/>
  <c r="G81" i="9"/>
  <c r="G445" i="9"/>
  <c r="G440" i="9"/>
  <c r="G68" i="9"/>
  <c r="G65" i="9"/>
  <c r="G531" i="9"/>
  <c r="G265" i="9"/>
  <c r="G224" i="9"/>
  <c r="G372" i="9"/>
  <c r="G360" i="9"/>
  <c r="G278" i="9"/>
  <c r="G595" i="9"/>
  <c r="G511" i="9"/>
  <c r="G27" i="9"/>
  <c r="G273" i="9"/>
  <c r="G325" i="9"/>
  <c r="G150" i="9"/>
  <c r="G585" i="9"/>
  <c r="G248" i="9"/>
  <c r="G133" i="9"/>
  <c r="G576" i="9"/>
  <c r="G284" i="9"/>
  <c r="G568" i="9"/>
  <c r="G113" i="9"/>
  <c r="G501" i="9"/>
  <c r="G186" i="9"/>
  <c r="G105" i="9"/>
  <c r="G555" i="9"/>
  <c r="G311" i="9"/>
  <c r="G290" i="9"/>
  <c r="G89" i="9"/>
  <c r="G546" i="9"/>
  <c r="G295" i="9"/>
  <c r="G328" i="9"/>
  <c r="G308" i="9"/>
  <c r="G406" i="9"/>
  <c r="G355" i="9"/>
  <c r="G208" i="9"/>
  <c r="G166" i="9"/>
  <c r="G305" i="9"/>
  <c r="G47" i="9"/>
  <c r="G279" i="9"/>
  <c r="G383" i="9"/>
  <c r="G382" i="9"/>
  <c r="G379" i="9"/>
  <c r="G485" i="9"/>
  <c r="G592" i="9"/>
  <c r="G479" i="9"/>
  <c r="G153" i="9"/>
  <c r="G344" i="9"/>
  <c r="G142" i="9"/>
  <c r="G137" i="9"/>
  <c r="G131" i="9"/>
  <c r="G364" i="9"/>
  <c r="G376" i="9"/>
  <c r="G121" i="9"/>
  <c r="G333" i="9"/>
  <c r="G608" i="9"/>
  <c r="G403" i="9"/>
  <c r="G368" i="9"/>
  <c r="G99" i="9"/>
  <c r="G416" i="9"/>
  <c r="G331" i="9"/>
  <c r="G212" i="9"/>
  <c r="G83" i="9"/>
  <c r="G80" i="9"/>
  <c r="G75" i="9"/>
  <c r="G495" i="9"/>
  <c r="G535" i="9"/>
  <c r="G532" i="9"/>
  <c r="G380" i="9"/>
  <c r="G57" i="9"/>
  <c r="G523" i="9"/>
  <c r="G304" i="9"/>
  <c r="G42" i="9"/>
  <c r="G515" i="9"/>
  <c r="G339" i="9"/>
  <c r="G204" i="9"/>
  <c r="G26" i="9"/>
  <c r="G193" i="9"/>
  <c r="G478" i="9"/>
  <c r="G483" i="9"/>
  <c r="G587" i="9"/>
  <c r="G584" i="9"/>
  <c r="G580" i="9"/>
  <c r="G579" i="9"/>
  <c r="G378" i="9"/>
  <c r="G334" i="9"/>
  <c r="G291" i="9"/>
  <c r="G315" i="9"/>
  <c r="G256" i="9"/>
  <c r="G562" i="9"/>
  <c r="G390" i="9"/>
  <c r="G553" i="9"/>
  <c r="G97" i="9"/>
  <c r="G550" i="9"/>
  <c r="G200" i="9"/>
  <c r="G545" i="9"/>
  <c r="G79" i="9"/>
  <c r="G167" i="9"/>
  <c r="G494" i="9"/>
  <c r="G401" i="9"/>
  <c r="G492" i="9"/>
  <c r="G287" i="9"/>
  <c r="G598" i="9"/>
  <c r="G522" i="9"/>
  <c r="G46" i="9"/>
  <c r="G341" i="9"/>
  <c r="G405" i="9"/>
  <c r="G35" i="9"/>
  <c r="G277" i="9"/>
  <c r="G203" i="9"/>
  <c r="G477" i="9"/>
  <c r="G588" i="9"/>
  <c r="G292" i="9"/>
  <c r="G144" i="9"/>
  <c r="G141" i="9"/>
  <c r="G298" i="9"/>
  <c r="G269" i="9"/>
  <c r="G335" i="9"/>
  <c r="G575" i="9"/>
  <c r="G243" i="9"/>
  <c r="G320" i="9"/>
  <c r="G120" i="9"/>
  <c r="G114" i="9"/>
  <c r="G111" i="9"/>
  <c r="G423" i="9"/>
  <c r="G231" i="9"/>
  <c r="G559" i="9"/>
  <c r="G363" i="9"/>
  <c r="G102" i="9"/>
  <c r="G332" i="9"/>
  <c r="G213" i="9"/>
  <c r="G94" i="9"/>
  <c r="G548" i="9"/>
  <c r="G288" i="9"/>
  <c r="G85" i="9"/>
  <c r="G281" i="9"/>
  <c r="G467" i="9"/>
  <c r="G76" i="9"/>
  <c r="G72" i="9"/>
  <c r="G239" i="9"/>
  <c r="G433" i="9"/>
  <c r="G444" i="9"/>
  <c r="G464" i="9"/>
  <c r="G530" i="9"/>
  <c r="G198" i="9"/>
  <c r="G350" i="9"/>
  <c r="G614" i="9"/>
  <c r="G462" i="9"/>
  <c r="G50" i="9"/>
  <c r="G45" i="9"/>
  <c r="G518" i="9"/>
  <c r="G596" i="9"/>
  <c r="G347" i="9"/>
  <c r="G163" i="9"/>
  <c r="G357" i="9"/>
  <c r="G31" i="9"/>
  <c r="G412" i="9"/>
  <c r="G345" i="9"/>
  <c r="G528" i="9"/>
  <c r="G56" i="9"/>
  <c r="G463" i="9"/>
  <c r="G54" i="9"/>
  <c r="G354" i="9"/>
  <c r="G44" i="9"/>
  <c r="G438" i="9"/>
  <c r="G302" i="9"/>
  <c r="G460" i="9"/>
  <c r="G206" i="9"/>
  <c r="G34" i="9"/>
  <c r="G30" i="9"/>
  <c r="G426" i="9"/>
  <c r="G457" i="9"/>
  <c r="G221" i="9"/>
  <c r="G396" i="9"/>
  <c r="G609" i="9"/>
  <c r="G507" i="9"/>
  <c r="G395" i="9"/>
  <c r="G356" i="9"/>
  <c r="G582" i="9"/>
  <c r="G136" i="9"/>
  <c r="G365" i="9"/>
  <c r="G577" i="9"/>
  <c r="G393" i="9"/>
  <c r="G192" i="9"/>
  <c r="G569" i="9"/>
  <c r="G407" i="9"/>
  <c r="G317" i="9"/>
  <c r="G314" i="9"/>
  <c r="G473" i="9"/>
  <c r="G283" i="9"/>
  <c r="G482" i="9"/>
  <c r="G449" i="9"/>
  <c r="G554" i="9"/>
  <c r="G362" i="9"/>
  <c r="G388" i="9"/>
  <c r="G93" i="9"/>
  <c r="G289" i="9"/>
  <c r="G421" i="9"/>
  <c r="G240" i="9"/>
  <c r="G199" i="9"/>
  <c r="G227" i="9"/>
  <c r="G253" i="9"/>
  <c r="G71" i="9"/>
  <c r="G226" i="9"/>
  <c r="G251" i="9"/>
  <c r="G66" i="9"/>
  <c r="G64" i="9"/>
  <c r="G60" i="9"/>
  <c r="G527" i="9"/>
  <c r="G250" i="9"/>
  <c r="G489" i="9"/>
  <c r="G521" i="9"/>
  <c r="G49" i="9"/>
  <c r="G487" i="9"/>
  <c r="G408" i="9"/>
  <c r="G301" i="9"/>
  <c r="G285" i="9"/>
  <c r="G358" i="9"/>
  <c r="G33" i="9"/>
  <c r="G205" i="9"/>
  <c r="G613" i="9"/>
  <c r="G25" i="9"/>
  <c r="G293" i="9"/>
  <c r="G508" i="9"/>
  <c r="G154" i="9"/>
  <c r="G442" i="9"/>
  <c r="G149" i="9"/>
  <c r="G143" i="9"/>
  <c r="G581" i="9"/>
  <c r="G219" i="9"/>
  <c r="G404" i="9"/>
  <c r="G127" i="9"/>
  <c r="G322" i="9"/>
  <c r="G572" i="9"/>
  <c r="G392" i="9"/>
  <c r="G187" i="9"/>
  <c r="G316" i="9"/>
  <c r="G618" i="9"/>
  <c r="G171" i="9"/>
  <c r="G242" i="9"/>
  <c r="G185" i="9"/>
  <c r="G469" i="9"/>
  <c r="G101" i="9"/>
  <c r="G254" i="9"/>
  <c r="G436" i="9"/>
  <c r="G92" i="9"/>
  <c r="G229" i="9"/>
  <c r="G88" i="9"/>
  <c r="G329" i="9"/>
  <c r="G543" i="9"/>
  <c r="G78" i="9"/>
  <c r="G594" i="9"/>
  <c r="G70" i="9"/>
  <c r="G384" i="9"/>
  <c r="G307" i="9"/>
  <c r="G465" i="9"/>
  <c r="G491" i="9"/>
  <c r="G59" i="9"/>
  <c r="G452" i="9"/>
  <c r="G490" i="9"/>
  <c r="G196" i="9"/>
  <c r="G53" i="9"/>
  <c r="G286" i="9"/>
  <c r="G597" i="9"/>
  <c r="G517" i="9"/>
  <c r="G207" i="9"/>
  <c r="G236" i="9"/>
  <c r="G294" i="9"/>
  <c r="G371" i="9"/>
  <c r="G194" i="9"/>
  <c r="G459" i="9"/>
  <c r="G24" i="9"/>
  <c r="G590" i="9"/>
  <c r="G425" i="9"/>
  <c r="G202" i="9"/>
  <c r="G234" i="9"/>
  <c r="G148" i="9"/>
  <c r="G174" i="9"/>
  <c r="G139" i="9"/>
  <c r="G135" i="9"/>
  <c r="G132" i="9"/>
  <c r="G323" i="9"/>
  <c r="G474" i="9"/>
  <c r="G571" i="9"/>
  <c r="G122" i="9"/>
  <c r="G118" i="9"/>
  <c r="G566" i="9"/>
  <c r="G381" i="9"/>
  <c r="G441" i="9"/>
  <c r="G417" i="9"/>
  <c r="G106" i="9"/>
  <c r="G214" i="9"/>
  <c r="G100" i="9"/>
  <c r="G617" i="9"/>
  <c r="G310" i="9"/>
  <c r="G607" i="9"/>
  <c r="G168" i="9"/>
  <c r="G87" i="9"/>
  <c r="G84" i="9"/>
  <c r="G82" i="9"/>
  <c r="G610" i="9"/>
  <c r="G252" i="9"/>
  <c r="G480" i="9"/>
  <c r="G415" i="9"/>
  <c r="G180" i="9"/>
  <c r="G246" i="9"/>
  <c r="G373" i="9"/>
  <c r="G599" i="9"/>
  <c r="G604" i="9"/>
  <c r="G349" i="9"/>
  <c r="G260" i="9"/>
  <c r="G348" i="9"/>
  <c r="G48" i="9"/>
  <c r="G303" i="9"/>
  <c r="G461" i="9"/>
  <c r="G40" i="9"/>
  <c r="G37" i="9"/>
  <c r="G162" i="9"/>
  <c r="G431" i="9"/>
  <c r="G510" i="9"/>
  <c r="G458" i="9"/>
  <c r="G430" i="9"/>
  <c r="T72" i="12"/>
  <c r="T59" i="12"/>
  <c r="T153" i="12"/>
  <c r="T161" i="12"/>
  <c r="T149" i="12"/>
  <c r="T113" i="12"/>
  <c r="T101" i="12"/>
  <c r="T53" i="12"/>
  <c r="T131" i="12"/>
  <c r="T71" i="12"/>
  <c r="T119" i="12"/>
  <c r="T24" i="12"/>
  <c r="T143" i="12"/>
  <c r="T120" i="12"/>
  <c r="T23" i="12"/>
  <c r="T157" i="12"/>
  <c r="T145" i="12"/>
  <c r="T133" i="12"/>
  <c r="T118" i="12"/>
  <c r="T70" i="12"/>
  <c r="T136" i="12"/>
  <c r="T130" i="12"/>
  <c r="T34" i="12"/>
  <c r="T124" i="12"/>
  <c r="T142" i="12"/>
  <c r="T82" i="12"/>
  <c r="T22" i="12"/>
  <c r="T166" i="12"/>
  <c r="T106" i="12"/>
  <c r="T46" i="12"/>
  <c r="T148" i="12"/>
  <c r="T154" i="12"/>
  <c r="T94" i="12"/>
  <c r="T58" i="12"/>
  <c r="T160" i="12"/>
  <c r="T140" i="12"/>
  <c r="T89" i="12"/>
  <c r="T20" i="12"/>
  <c r="T164" i="12"/>
  <c r="T103" i="12"/>
  <c r="T43" i="12"/>
  <c r="T138" i="12"/>
  <c r="T78" i="12"/>
  <c r="T18" i="12"/>
  <c r="T84" i="12"/>
  <c r="T36" i="12"/>
  <c r="T67" i="12"/>
  <c r="T162" i="12"/>
  <c r="T114" i="12"/>
  <c r="T54" i="12"/>
  <c r="T152" i="12"/>
  <c r="T91" i="12"/>
  <c r="T126" i="12"/>
  <c r="T66" i="12"/>
  <c r="T116" i="12"/>
  <c r="T19" i="12"/>
  <c r="T44" i="12"/>
  <c r="T102" i="12"/>
  <c r="T42" i="12"/>
  <c r="T117" i="12"/>
  <c r="T69" i="12"/>
  <c r="T68" i="12"/>
  <c r="T163" i="12"/>
  <c r="T115" i="12"/>
  <c r="T150" i="12"/>
  <c r="T90" i="12"/>
  <c r="T30" i="12"/>
  <c r="T129" i="12"/>
  <c r="T105" i="12"/>
  <c r="T57" i="12"/>
  <c r="T21" i="12"/>
  <c r="T77" i="12"/>
  <c r="T35" i="12"/>
  <c r="T159" i="12"/>
  <c r="T158" i="12"/>
  <c r="AO339" i="13" l="1"/>
  <c r="AO1024"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4" i="13"/>
  <c r="AO299" i="13"/>
  <c r="AO146" i="13"/>
  <c r="AO988" i="13"/>
  <c r="AO1036" i="13"/>
  <c r="AO212" i="13"/>
  <c r="AO588" i="13"/>
  <c r="AO1075" i="13"/>
  <c r="AO313" i="13"/>
  <c r="AO342" i="13"/>
  <c r="AO155" i="13"/>
  <c r="AO578" i="13"/>
  <c r="AO946" i="13"/>
  <c r="AO514" i="13"/>
  <c r="AO954" i="13"/>
  <c r="AO1025" i="13"/>
  <c r="AO1097" i="13"/>
  <c r="AO219" i="13"/>
  <c r="AO213" i="13"/>
  <c r="AO947" i="13"/>
  <c r="AO589" i="13"/>
  <c r="AO875" i="13"/>
  <c r="AO495" i="13"/>
  <c r="AO997" i="13"/>
  <c r="AO850" i="13"/>
  <c r="AO998" i="13"/>
  <c r="AO579" i="13"/>
  <c r="AO44" i="13"/>
  <c r="AO1037" i="13"/>
  <c r="AO795" i="13"/>
  <c r="AO253" i="13"/>
  <c r="AO1038" i="13"/>
  <c r="AO989" i="13"/>
  <c r="AO1039" i="13"/>
  <c r="AO307" i="13"/>
  <c r="AO413" i="13"/>
  <c r="AO469" i="13"/>
  <c r="AO1076" i="13"/>
  <c r="AO156" i="13"/>
  <c r="AO538" i="13"/>
  <c r="AO486" i="13"/>
  <c r="AO757" i="13"/>
  <c r="AO999" i="13"/>
  <c r="AO414" i="13"/>
  <c r="AO415" i="13"/>
  <c r="AO254" i="13"/>
  <c r="AO614" i="13"/>
  <c r="AO615" i="13"/>
  <c r="AO45" i="13"/>
  <c r="AO590" i="13"/>
  <c r="AO1077" i="13"/>
  <c r="AO157" i="13"/>
  <c r="AO901" i="13"/>
  <c r="AO300" i="13"/>
  <c r="AO308" i="13"/>
  <c r="AO820" i="13"/>
  <c r="AO440" i="13"/>
  <c r="AO46" i="13"/>
  <c r="AO314" i="13"/>
  <c r="AO220" i="13"/>
  <c r="AO738" i="13"/>
  <c r="AO47" i="13"/>
  <c r="AO399" i="13"/>
  <c r="AO1113" i="13"/>
  <c r="AO914" i="13"/>
  <c r="AO616" i="13"/>
  <c r="AO158" i="13"/>
  <c r="AO758" i="13"/>
  <c r="AO876" i="13"/>
  <c r="AO617" i="13"/>
  <c r="AO618" i="13"/>
  <c r="AO1078" i="13"/>
  <c r="AO619" i="13"/>
  <c r="AO1040" i="13"/>
  <c r="AO620" i="13"/>
  <c r="AO48" i="13"/>
  <c r="AO1041" i="13"/>
  <c r="AO147" i="13"/>
  <c r="AO1042" i="13"/>
  <c r="AO759" i="13"/>
  <c r="AO591" i="13"/>
  <c r="AO343" i="13"/>
  <c r="AO621" i="13"/>
  <c r="AO344" i="13"/>
  <c r="AO159" i="13"/>
  <c r="AO739" i="13"/>
  <c r="AO851" i="13"/>
  <c r="AO255" i="13"/>
  <c r="AO49" i="13"/>
  <c r="AO256" i="13"/>
  <c r="AO470" i="13"/>
  <c r="AO592" i="13"/>
  <c r="AO50" i="13"/>
  <c r="AO51" i="13"/>
  <c r="AO458" i="13"/>
  <c r="AO496" i="13"/>
  <c r="AO955" i="13"/>
  <c r="AO416" i="13"/>
  <c r="AO877" i="13"/>
  <c r="AO471" i="13"/>
  <c r="AO569" i="13"/>
  <c r="AO1000" i="13"/>
  <c r="AO345" i="13"/>
  <c r="AO441" i="13"/>
  <c r="AO1079" i="13"/>
  <c r="AO52" i="13"/>
  <c r="AO160" i="13"/>
  <c r="AO53" i="13"/>
  <c r="AO895" i="13"/>
  <c r="AO580" i="13"/>
  <c r="AO622" i="13"/>
  <c r="AO844" i="13"/>
  <c r="AO206" i="13"/>
  <c r="AO400" i="13"/>
  <c r="AO54" i="13"/>
  <c r="AO956" i="13"/>
  <c r="AO623" i="13"/>
  <c r="AO957" i="13"/>
  <c r="AO539" i="13"/>
  <c r="AO624" i="13"/>
  <c r="AO1001" i="13"/>
  <c r="AO1080" i="13"/>
  <c r="AO852" i="13"/>
  <c r="AO760" i="13"/>
  <c r="AO625" i="13"/>
  <c r="AO761" i="13"/>
  <c r="AO257" i="13"/>
  <c r="AO1002" i="13"/>
  <c r="AO55" i="13"/>
  <c r="AO593" i="13"/>
  <c r="AO915" i="13"/>
  <c r="AO540" i="13"/>
  <c r="AO762" i="13"/>
  <c r="AO713" i="13"/>
  <c r="AO626" i="13"/>
  <c r="AO459" i="13"/>
  <c r="AO258" i="13"/>
  <c r="AO161" i="13"/>
  <c r="AO1081" i="13"/>
  <c r="AO763" i="13"/>
  <c r="AO24" i="13"/>
  <c r="AO1071" i="13"/>
  <c r="AO15" i="13"/>
  <c r="AO497" i="13"/>
  <c r="AO9" i="13"/>
  <c r="AO627" i="13"/>
  <c r="AO214" i="13"/>
  <c r="AO628" i="13"/>
  <c r="AO629" i="13"/>
  <c r="AO916" i="13"/>
  <c r="AO1043" i="13"/>
  <c r="AO325" i="13"/>
  <c r="AO25" i="13"/>
  <c r="AO221" i="13"/>
  <c r="AO1082" i="13"/>
  <c r="AO498" i="13"/>
  <c r="AO958" i="13"/>
  <c r="AO975" i="13"/>
  <c r="AO822" i="13"/>
  <c r="AO259" i="13"/>
  <c r="AO630" i="13"/>
  <c r="AO1044" i="13"/>
  <c r="AO594" i="13"/>
  <c r="AO1003" i="13"/>
  <c r="AO631" i="13"/>
  <c r="AO595" i="13"/>
  <c r="AO990" i="13"/>
  <c r="AO460" i="13"/>
  <c r="AO764" i="13"/>
  <c r="AO260" i="13"/>
  <c r="AO162" i="13"/>
  <c r="AO902" i="13"/>
  <c r="AO632" i="13"/>
  <c r="AO56" i="13"/>
  <c r="AO868" i="13"/>
  <c r="AO959" i="13"/>
  <c r="AO26" i="13"/>
  <c r="AO16" i="13"/>
  <c r="AO917" i="13"/>
  <c r="AO853" i="13"/>
  <c r="AO261" i="13"/>
  <c r="AO57" i="13"/>
  <c r="AO854" i="13"/>
  <c r="AO886" i="13"/>
  <c r="AO732" i="13"/>
  <c r="AO903" i="13"/>
  <c r="AO976" i="13"/>
  <c r="AO765" i="13"/>
  <c r="AO163" i="13"/>
  <c r="AO1045" i="13"/>
  <c r="AO461" i="13"/>
  <c r="AO515" i="13"/>
  <c r="AO726" i="13"/>
  <c r="AO499" i="13"/>
  <c r="AO58" i="13"/>
  <c r="AO222" i="13"/>
  <c r="AO59" i="13"/>
  <c r="AO60" i="13"/>
  <c r="AO1004" i="13"/>
  <c r="AO633" i="13"/>
  <c r="AO382" i="13"/>
  <c r="AO61" i="13"/>
  <c r="AO896" i="13"/>
  <c r="AO164" i="13"/>
  <c r="AO596" i="13"/>
  <c r="AO909" i="13"/>
  <c r="AO634" i="13"/>
  <c r="AO812" i="13"/>
  <c r="AO635" i="13"/>
  <c r="AO383" i="13"/>
  <c r="AO326" i="13"/>
  <c r="AO315" i="13"/>
  <c r="AO823" i="13"/>
  <c r="AO223" i="13"/>
  <c r="AO384" i="13"/>
  <c r="AO347" i="13"/>
  <c r="AO636" i="13"/>
  <c r="AO977" i="13"/>
  <c r="AO401" i="13"/>
  <c r="AO385" i="13"/>
  <c r="AO904" i="13"/>
  <c r="AO348" i="13"/>
  <c r="AO245" i="13"/>
  <c r="AO62" i="13"/>
  <c r="AO932" i="13"/>
  <c r="AO570" i="13"/>
  <c r="AO925" i="13"/>
  <c r="AO1114"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82" i="13"/>
  <c r="AO960" i="13"/>
  <c r="AO316" i="13"/>
  <c r="AO295" i="13"/>
  <c r="AO226" i="13"/>
  <c r="AO462" i="13"/>
  <c r="AO798" i="13"/>
  <c r="AO328" i="13"/>
  <c r="AO766" i="13"/>
  <c r="AO442" i="13"/>
  <c r="AO65" i="13"/>
  <c r="AO543" i="13"/>
  <c r="AO640" i="13"/>
  <c r="AO926" i="13"/>
  <c r="AO472" i="13"/>
  <c r="AO983" i="13"/>
  <c r="AO767" i="13"/>
  <c r="AO878" i="13"/>
  <c r="AO768" i="13"/>
  <c r="AO418" i="13"/>
  <c r="AO597" i="13"/>
  <c r="AO419" i="13"/>
  <c r="AO66" i="13"/>
  <c r="AO714" i="13"/>
  <c r="AO769" i="13"/>
  <c r="AO352" i="13"/>
  <c r="AO641" i="13"/>
  <c r="AO487" i="13"/>
  <c r="AO395" i="13"/>
  <c r="AO67" i="13"/>
  <c r="AO68" i="13"/>
  <c r="AO598" i="13"/>
  <c r="AO642" i="13"/>
  <c r="AO544" i="13"/>
  <c r="AO1072" i="13"/>
  <c r="AO69" i="13"/>
  <c r="AO961" i="13"/>
  <c r="AO733" i="13"/>
  <c r="AO301" i="13"/>
  <c r="AO70" i="13"/>
  <c r="AO71" i="13"/>
  <c r="AO265" i="13"/>
  <c r="AO227" i="13"/>
  <c r="AO329" i="13"/>
  <c r="AO991" i="13"/>
  <c r="AO545" i="13"/>
  <c r="AO1115" i="13"/>
  <c r="AO72" i="13"/>
  <c r="AO933" i="13"/>
  <c r="AO858" i="13"/>
  <c r="AO73" i="13"/>
  <c r="AO165" i="13"/>
  <c r="AO420" i="13"/>
  <c r="AO74" i="13"/>
  <c r="AO1005" i="13"/>
  <c r="AO1046" i="13"/>
  <c r="AO500" i="13"/>
  <c r="AO353" i="13"/>
  <c r="AO516" i="13"/>
  <c r="AO421" i="13"/>
  <c r="AO317" i="13"/>
  <c r="AO571" i="13"/>
  <c r="AO27" i="13"/>
  <c r="AO354" i="13"/>
  <c r="AO166" i="13"/>
  <c r="AO75" i="13"/>
  <c r="AO643" i="13"/>
  <c r="AO76" i="13"/>
  <c r="AO740" i="13"/>
  <c r="AO962" i="13"/>
  <c r="AO77" i="13"/>
  <c r="AO1116" i="13"/>
  <c r="AO799" i="13"/>
  <c r="AO517" i="13"/>
  <c r="AO17" i="13"/>
  <c r="AO355" i="13"/>
  <c r="AO28" i="13"/>
  <c r="AO992" i="13"/>
  <c r="AO356" i="13"/>
  <c r="AO859" i="13"/>
  <c r="AO473" i="13"/>
  <c r="AO228" i="13"/>
  <c r="AO644" i="13"/>
  <c r="AO645" i="13"/>
  <c r="AO566" i="13"/>
  <c r="AO422" i="13"/>
  <c r="AO78" i="13"/>
  <c r="AO963" i="13"/>
  <c r="AO474" i="13"/>
  <c r="AO386" i="13"/>
  <c r="AO1100" i="13"/>
  <c r="AO1098" i="13"/>
  <c r="AO1047" i="13"/>
  <c r="AO29" i="13"/>
  <c r="AO800" i="13"/>
  <c r="AO1048" i="13"/>
  <c r="AO266" i="13"/>
  <c r="AO869" i="13"/>
  <c r="AO646" i="13"/>
  <c r="AO423" i="13"/>
  <c r="AO267" i="13"/>
  <c r="AO1083" i="13"/>
  <c r="AO475" i="13"/>
  <c r="AO357" i="13"/>
  <c r="AO79" i="13"/>
  <c r="AO599" i="13"/>
  <c r="AO964" i="13"/>
  <c r="AO167" i="13"/>
  <c r="AO1084" i="13"/>
  <c r="AO168" i="13"/>
  <c r="AO891" i="13"/>
  <c r="AO600" i="13"/>
  <c r="AO169" i="13"/>
  <c r="AO396" i="13"/>
  <c r="AO825" i="13"/>
  <c r="AO1006"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5" i="13"/>
  <c r="AO488" i="13"/>
  <c r="AO427" i="13"/>
  <c r="AO1101" i="13"/>
  <c r="AO934" i="13"/>
  <c r="AO845" i="13"/>
  <c r="AO649" i="13"/>
  <c r="AO292" i="13"/>
  <c r="AO358" i="13"/>
  <c r="AO477" i="13"/>
  <c r="AO444" i="13"/>
  <c r="AO993" i="13"/>
  <c r="AO82" i="13"/>
  <c r="AO879" i="13"/>
  <c r="AO170" i="13"/>
  <c r="AO773" i="13"/>
  <c r="AO1007" i="13"/>
  <c r="AO1102" i="13"/>
  <c r="AO1049" i="13"/>
  <c r="AO171" i="13"/>
  <c r="AO359" i="13"/>
  <c r="AO650" i="13"/>
  <c r="AO572" i="13"/>
  <c r="AO861" i="13"/>
  <c r="AO428" i="13"/>
  <c r="AO83" i="13"/>
  <c r="AO268" i="13"/>
  <c r="AO547" i="13"/>
  <c r="AO84" i="13"/>
  <c r="AO651" i="13"/>
  <c r="AO846" i="13"/>
  <c r="AO85" i="13"/>
  <c r="AO86" i="13"/>
  <c r="AO172" i="13"/>
  <c r="AO652" i="13"/>
  <c r="AO1050" i="13"/>
  <c r="AO602" i="13"/>
  <c r="AO828" i="13"/>
  <c r="AO653" i="13"/>
  <c r="AO898" i="13"/>
  <c r="AO573" i="13"/>
  <c r="AO654" i="13"/>
  <c r="AO966" i="13"/>
  <c r="AO899" i="13"/>
  <c r="AO269" i="13"/>
  <c r="AO715" i="13"/>
  <c r="AO967" i="13"/>
  <c r="AO870" i="13"/>
  <c r="AO1117" i="13"/>
  <c r="AO387" i="13"/>
  <c r="AO548" i="13"/>
  <c r="AO743" i="13"/>
  <c r="AO862" i="13"/>
  <c r="AO829" i="13"/>
  <c r="AO403" i="13"/>
  <c r="AO319" i="13"/>
  <c r="AO229" i="13"/>
  <c r="AO501" i="13"/>
  <c r="AO360" i="13"/>
  <c r="AO1103" i="13"/>
  <c r="AO87" i="13"/>
  <c r="AO1085" i="13"/>
  <c r="AO716" i="13"/>
  <c r="AO88" i="13"/>
  <c r="AO744" i="13"/>
  <c r="AO603" i="13"/>
  <c r="AO1118" i="13"/>
  <c r="AO863" i="13"/>
  <c r="AO604" i="13"/>
  <c r="AO149" i="13"/>
  <c r="AO880" i="13"/>
  <c r="AO173" i="13"/>
  <c r="AO89" i="13"/>
  <c r="AO330" i="13"/>
  <c r="AO1051" i="13"/>
  <c r="AO717" i="13"/>
  <c r="AO302" i="13"/>
  <c r="AO1029" i="13"/>
  <c r="AO361" i="13"/>
  <c r="AO574" i="13"/>
  <c r="AO331" i="13"/>
  <c r="AO502" i="13"/>
  <c r="AO1030" i="13"/>
  <c r="AO230" i="13"/>
  <c r="AO31" i="13"/>
  <c r="AO332" i="13"/>
  <c r="AO830" i="13"/>
  <c r="AO928" i="13"/>
  <c r="AO174" i="13"/>
  <c r="AO605" i="13"/>
  <c r="AO1026" i="13"/>
  <c r="AO1031" i="13"/>
  <c r="AO774" i="13"/>
  <c r="AO549" i="13"/>
  <c r="AO1086" i="13"/>
  <c r="AO775" i="13"/>
  <c r="AO655" i="13"/>
  <c r="AO718" i="13"/>
  <c r="AO151" i="13"/>
  <c r="AO1032" i="13"/>
  <c r="AO656" i="13"/>
  <c r="AO270" i="13"/>
  <c r="AO847" i="13"/>
  <c r="AO727" i="13"/>
  <c r="AO745" i="13"/>
  <c r="AO864" i="13"/>
  <c r="AO550" i="13"/>
  <c r="AO90" i="13"/>
  <c r="AO152" i="13"/>
  <c r="AO362" i="13"/>
  <c r="AO271" i="13"/>
  <c r="AO91" i="13"/>
  <c r="AO657" i="13"/>
  <c r="AO776" i="13"/>
  <c r="AO175" i="13"/>
  <c r="AO551" i="13"/>
  <c r="AO388" i="13"/>
  <c r="AO272" i="13"/>
  <c r="AO1052" i="13"/>
  <c r="AO1099" i="13"/>
  <c r="AO404" i="13"/>
  <c r="AO333" i="13"/>
  <c r="AO231" i="13"/>
  <c r="AO334" i="13"/>
  <c r="AO445" i="13"/>
  <c r="AO1008" i="13"/>
  <c r="AO446" i="13"/>
  <c r="AO910" i="13"/>
  <c r="AO232" i="13"/>
  <c r="AO1087" i="13"/>
  <c r="AO777" i="13"/>
  <c r="AO489" i="13"/>
  <c r="AO935" i="13"/>
  <c r="AO801" i="13"/>
  <c r="AO919" i="13"/>
  <c r="AO1053" i="13"/>
  <c r="AO778" i="13"/>
  <c r="AO389" i="13"/>
  <c r="AO273" i="13"/>
  <c r="AO176" i="13"/>
  <c r="AO658" i="13"/>
  <c r="AO802" i="13"/>
  <c r="AO1054" i="13"/>
  <c r="AO606" i="13"/>
  <c r="AO1009" i="13"/>
  <c r="AO968" i="13"/>
  <c r="AO1104" i="13"/>
  <c r="AO920" i="13"/>
  <c r="AO659" i="13"/>
  <c r="AO575" i="13"/>
  <c r="AO92" i="13"/>
  <c r="AO832" i="13"/>
  <c r="AO93" i="13"/>
  <c r="AO518" i="13"/>
  <c r="AO936" i="13"/>
  <c r="AO1055" i="13"/>
  <c r="AO948" i="13"/>
  <c r="AO363" i="13"/>
  <c r="AO734" i="13"/>
  <c r="AO303" i="13"/>
  <c r="AO177" i="13"/>
  <c r="AO309" i="13"/>
  <c r="AO1056" i="13"/>
  <c r="AO364" i="13"/>
  <c r="AO94" i="13"/>
  <c r="AO887" i="13"/>
  <c r="AO978" i="13"/>
  <c r="AO660" i="13"/>
  <c r="AO779" i="13"/>
  <c r="AO32" i="13"/>
  <c r="AO576" i="13"/>
  <c r="AO95" i="13"/>
  <c r="AO296" i="13"/>
  <c r="AO447" i="13"/>
  <c r="AO1010" i="13"/>
  <c r="AO178" i="13"/>
  <c r="AO96" i="13"/>
  <c r="AO552" i="13"/>
  <c r="AO949" i="13"/>
  <c r="AO865" i="13"/>
  <c r="AO33" i="13"/>
  <c r="AO519" i="13"/>
  <c r="AO746" i="13"/>
  <c r="AO520" i="13"/>
  <c r="AO97" i="13"/>
  <c r="AO866" i="13"/>
  <c r="AO813" i="13"/>
  <c r="AO661" i="13"/>
  <c r="AO803" i="13"/>
  <c r="AO562" i="13"/>
  <c r="AO986" i="13"/>
  <c r="AO1088" i="13"/>
  <c r="AO979" i="13"/>
  <c r="AO98" i="13"/>
  <c r="AO662" i="13"/>
  <c r="AO1057" i="13"/>
  <c r="AO365" i="13"/>
  <c r="AO871" i="13"/>
  <c r="AO99" i="13"/>
  <c r="AO867" i="13"/>
  <c r="AO1058" i="13"/>
  <c r="AO503" i="13"/>
  <c r="AO563" i="13"/>
  <c r="AO215" i="13"/>
  <c r="AO663" i="13"/>
  <c r="AO179" i="13"/>
  <c r="AO780" i="13"/>
  <c r="AO728" i="13"/>
  <c r="AO274" i="13"/>
  <c r="AO275" i="13"/>
  <c r="AO276" i="13"/>
  <c r="AO100" i="13"/>
  <c r="AO980" i="13"/>
  <c r="AO664" i="13"/>
  <c r="AO911" i="13"/>
  <c r="AO781" i="13"/>
  <c r="AO429" i="13"/>
  <c r="AO782" i="13"/>
  <c r="AO101" i="13"/>
  <c r="AO783" i="13"/>
  <c r="AO1105" i="13"/>
  <c r="AO247" i="13"/>
  <c r="AO504" i="13"/>
  <c r="AO463" i="13"/>
  <c r="AO1106" i="13"/>
  <c r="AO102" i="13"/>
  <c r="AO1107" i="13"/>
  <c r="AO581" i="13"/>
  <c r="AO397" i="13"/>
  <c r="AO553" i="13"/>
  <c r="AO784" i="13"/>
  <c r="AO665" i="13"/>
  <c r="AO430" i="13"/>
  <c r="AO505" i="13"/>
  <c r="AO521" i="13"/>
  <c r="AO1059" i="13"/>
  <c r="AO277" i="13"/>
  <c r="AO900" i="13"/>
  <c r="AO835" i="13"/>
  <c r="AO666" i="13"/>
  <c r="AO969" i="13"/>
  <c r="AO836" i="13"/>
  <c r="AO892" i="13"/>
  <c r="AO103" i="13"/>
  <c r="AO10" i="13"/>
  <c r="AO1060" i="13"/>
  <c r="AO837" i="13"/>
  <c r="AO667" i="13"/>
  <c r="AO104" i="13"/>
  <c r="AO105" i="13"/>
  <c r="AO448" i="13"/>
  <c r="AO785" i="13"/>
  <c r="AO668" i="13"/>
  <c r="AO367" i="13"/>
  <c r="AO106" i="13"/>
  <c r="AO107" i="13"/>
  <c r="AO390" i="13"/>
  <c r="AO669" i="13"/>
  <c r="AO670" i="13"/>
  <c r="AO108" i="13"/>
  <c r="AO671" i="13"/>
  <c r="AO804" i="13"/>
  <c r="AO11" i="13"/>
  <c r="AO1061" i="13"/>
  <c r="AO449" i="13"/>
  <c r="AO672" i="13"/>
  <c r="AO293" i="13"/>
  <c r="AO888" i="13"/>
  <c r="AO673" i="13"/>
  <c r="AO1011" i="13"/>
  <c r="AO881" i="13"/>
  <c r="AO674" i="13"/>
  <c r="AO391" i="13"/>
  <c r="AO233" i="13"/>
  <c r="AO522" i="13"/>
  <c r="AO278" i="13"/>
  <c r="AO523" i="13"/>
  <c r="AO506" i="13"/>
  <c r="AO431" i="13"/>
  <c r="AO1108" i="13"/>
  <c r="AO180" i="13"/>
  <c r="AO34" i="13"/>
  <c r="AO405" i="13"/>
  <c r="AO921" i="13"/>
  <c r="AO1119" i="13"/>
  <c r="AO297" i="13"/>
  <c r="AO747" i="13"/>
  <c r="AO507" i="13"/>
  <c r="AO508" i="13"/>
  <c r="AO805" i="13"/>
  <c r="AO509" i="13"/>
  <c r="AO675" i="13"/>
  <c r="AO181" i="13"/>
  <c r="AO1062" i="13"/>
  <c r="AO676" i="13"/>
  <c r="AO786" i="13"/>
  <c r="AO994" i="13"/>
  <c r="AO951" i="13"/>
  <c r="AO109" i="13"/>
  <c r="AO719" i="13"/>
  <c r="AO110" i="13"/>
  <c r="AO607" i="13"/>
  <c r="AO981" i="13"/>
  <c r="AO748" i="13"/>
  <c r="AO111" i="13"/>
  <c r="AO182" i="13"/>
  <c r="AO787" i="13"/>
  <c r="AO970" i="13"/>
  <c r="AO806" i="13"/>
  <c r="AO368" i="13"/>
  <c r="AO490" i="13"/>
  <c r="AO207" i="13"/>
  <c r="AO1089" i="13"/>
  <c r="AO112" i="13"/>
  <c r="AO677" i="13"/>
  <c r="AO234" i="13"/>
  <c r="AO749" i="13"/>
  <c r="AO18" i="13"/>
  <c r="AO450" i="13"/>
  <c r="AO369" i="13"/>
  <c r="AO678" i="13"/>
  <c r="AO807" i="13"/>
  <c r="AO1012" i="13"/>
  <c r="AO235" i="13"/>
  <c r="AO608" i="13"/>
  <c r="AO113" i="13"/>
  <c r="AO524" i="13"/>
  <c r="AO398" i="13"/>
  <c r="AO971" i="13"/>
  <c r="AO1120" i="13"/>
  <c r="AO1063" i="13"/>
  <c r="AO114" i="13"/>
  <c r="AO248" i="13"/>
  <c r="AO35" i="13"/>
  <c r="AO183" i="13"/>
  <c r="AO525" i="13"/>
  <c r="AO1109" i="13"/>
  <c r="AO236" i="13"/>
  <c r="AO279" i="13"/>
  <c r="AO115" i="13"/>
  <c r="AO432" i="13"/>
  <c r="AO116" i="13"/>
  <c r="AO1064" i="13"/>
  <c r="AO679" i="13"/>
  <c r="AO788" i="13"/>
  <c r="AO184" i="13"/>
  <c r="AO882" i="13"/>
  <c r="AO464" i="13"/>
  <c r="AO680" i="13"/>
  <c r="AO681" i="13"/>
  <c r="AO995" i="13"/>
  <c r="AO237" i="13"/>
  <c r="AO117" i="13"/>
  <c r="AO335" i="13"/>
  <c r="AO185" i="13"/>
  <c r="AO906" i="13"/>
  <c r="AO682" i="13"/>
  <c r="AO118" i="13"/>
  <c r="AO683" i="13"/>
  <c r="AO907" i="13"/>
  <c r="AO684" i="13"/>
  <c r="AO685" i="13"/>
  <c r="AO19" i="13"/>
  <c r="AO371" i="13"/>
  <c r="AO686" i="13"/>
  <c r="AO451" i="13"/>
  <c r="AO336" i="13"/>
  <c r="AO491" i="13"/>
  <c r="AO433" i="13"/>
  <c r="AO372" i="13"/>
  <c r="AO1065" i="13"/>
  <c r="AO320" i="13"/>
  <c r="AO406" i="13"/>
  <c r="AO452" i="13"/>
  <c r="AO208" i="13"/>
  <c r="AO750" i="13"/>
  <c r="AO1090" i="13"/>
  <c r="AO186" i="13"/>
  <c r="AO687" i="13"/>
  <c r="AO1013" i="13"/>
  <c r="AO720" i="13"/>
  <c r="AO153" i="13"/>
  <c r="AO729" i="13"/>
  <c r="AO187" i="13"/>
  <c r="AO1121" i="13"/>
  <c r="AO1066" i="13"/>
  <c r="AO478" i="13"/>
  <c r="AO554" i="13"/>
  <c r="AO188" i="13"/>
  <c r="AO526" i="13"/>
  <c r="AO688" i="13"/>
  <c r="AO373" i="13"/>
  <c r="AO527" i="13"/>
  <c r="AO1122" i="13"/>
  <c r="AO20" i="13"/>
  <c r="AO1091" i="13"/>
  <c r="AO609" i="13"/>
  <c r="AO730" i="13"/>
  <c r="AO814" i="13"/>
  <c r="AO119" i="13"/>
  <c r="AO751" i="13"/>
  <c r="AO434" i="13"/>
  <c r="AO453" i="13"/>
  <c r="AO374" i="13"/>
  <c r="AO972" i="13"/>
  <c r="AO238" i="13"/>
  <c r="AO321" i="13"/>
  <c r="AO304" i="13"/>
  <c r="AO280" i="13"/>
  <c r="AO120" i="13"/>
  <c r="AO922" i="13"/>
  <c r="AO528" i="13"/>
  <c r="AO808" i="13"/>
  <c r="AO582" i="13"/>
  <c r="AO564" i="13"/>
  <c r="AO322" i="13"/>
  <c r="AO996"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7" i="13"/>
  <c r="AO409" i="13"/>
  <c r="AO190" i="13"/>
  <c r="AO692" i="13"/>
  <c r="AO282" i="13"/>
  <c r="AO298" i="13"/>
  <c r="AO693" i="13"/>
  <c r="AO21" i="13"/>
  <c r="AO1067" i="13"/>
  <c r="AO1014" i="13"/>
  <c r="AO1092" i="13"/>
  <c r="AO1015" i="13"/>
  <c r="AO984" i="13"/>
  <c r="AO124" i="13"/>
  <c r="AO694" i="13"/>
  <c r="AO721" i="13"/>
  <c r="AO789" i="13"/>
  <c r="AO1110" i="13"/>
  <c r="AO337" i="13"/>
  <c r="AO191" i="13"/>
  <c r="AO533" i="13"/>
  <c r="AO393" i="13"/>
  <c r="AO695" i="13"/>
  <c r="AO125" i="13"/>
  <c r="AO283" i="13"/>
  <c r="AO192" i="13"/>
  <c r="AO534" i="13"/>
  <c r="AO284" i="13"/>
  <c r="AO126" i="13"/>
  <c r="AO376" i="13"/>
  <c r="AO883" i="13"/>
  <c r="AO841" i="13"/>
  <c r="AO1093" i="13"/>
  <c r="AO435" i="13"/>
  <c r="AO436" i="13"/>
  <c r="AO929" i="13"/>
  <c r="AO696" i="13"/>
  <c r="AO1016" i="13"/>
  <c r="AO193" i="13"/>
  <c r="AO510" i="13"/>
  <c r="AO893" i="13"/>
  <c r="AO577" i="13"/>
  <c r="AO697" i="13"/>
  <c r="AO583" i="13"/>
  <c r="AO556" i="13"/>
  <c r="AO455" i="13"/>
  <c r="AO790" i="13"/>
  <c r="AO194" i="13"/>
  <c r="AO338" i="13"/>
  <c r="AO323" i="13"/>
  <c r="AO923" i="13"/>
  <c r="AO12" i="13"/>
  <c r="AO698" i="13"/>
  <c r="AO699" i="13"/>
  <c r="AO815" i="13"/>
  <c r="AO195" i="13"/>
  <c r="AO209" i="13"/>
  <c r="AO1017" i="13"/>
  <c r="AO565" i="13"/>
  <c r="AO127" i="13"/>
  <c r="AO285" i="13"/>
  <c r="AO791" i="13"/>
  <c r="AO286" i="13"/>
  <c r="AO217" i="13"/>
  <c r="AO1111" i="13"/>
  <c r="AO481" i="13"/>
  <c r="AO792" i="13"/>
  <c r="AO735" i="13"/>
  <c r="AO305" i="13"/>
  <c r="AO196" i="13"/>
  <c r="AO557" i="13"/>
  <c r="AO700" i="13"/>
  <c r="AO1018" i="13"/>
  <c r="AO889" i="13"/>
  <c r="AO752" i="13"/>
  <c r="AO701" i="13"/>
  <c r="AO940" i="13"/>
  <c r="AO239" i="13"/>
  <c r="AO973" i="13"/>
  <c r="AO753" i="13"/>
  <c r="AO793" i="13"/>
  <c r="AO702" i="13"/>
  <c r="AO1112" i="13"/>
  <c r="AO611" i="13"/>
  <c r="AO287" i="13"/>
  <c r="AO1068"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4" i="13"/>
  <c r="AO536" i="13"/>
  <c r="AO200" i="13"/>
  <c r="AO324" i="13"/>
  <c r="AO37" i="13"/>
  <c r="AO201" i="13"/>
  <c r="AO129" i="13"/>
  <c r="AO378" i="13"/>
  <c r="AO809" i="13"/>
  <c r="AO306" i="13"/>
  <c r="AO705" i="13"/>
  <c r="AO210" i="13"/>
  <c r="AO211" i="13"/>
  <c r="AO130" i="13"/>
  <c r="AO288" i="13"/>
  <c r="AO817" i="13"/>
  <c r="AO985" i="13"/>
  <c r="AO379" i="13"/>
  <c r="AO289" i="13"/>
  <c r="AO530" i="13"/>
  <c r="AO131" i="13"/>
  <c r="AO465" i="13"/>
  <c r="AO242" i="13"/>
  <c r="AO132" i="13"/>
  <c r="AO706" i="13"/>
  <c r="AO202" i="13"/>
  <c r="AO243" i="13"/>
  <c r="AO244" i="13"/>
  <c r="AO1094" i="13"/>
  <c r="AO133" i="13"/>
  <c r="AO848" i="13"/>
  <c r="AO707" i="13"/>
  <c r="AO134" i="13"/>
  <c r="AO1019" i="13"/>
  <c r="AO135" i="13"/>
  <c r="AO456" i="13"/>
  <c r="AO483" i="13"/>
  <c r="AO203" i="13"/>
  <c r="AO136" i="13"/>
  <c r="AO723" i="13"/>
  <c r="AO137" i="13"/>
  <c r="AO484" i="13"/>
  <c r="AO708" i="13"/>
  <c r="AO1020" i="13"/>
  <c r="AO411" i="13"/>
  <c r="AO842" i="13"/>
  <c r="AO873" i="13"/>
  <c r="AO380" i="13"/>
  <c r="AO884" i="13"/>
  <c r="AO1035" i="13"/>
  <c r="AO381" i="13"/>
  <c r="AO218" i="13"/>
  <c r="AO1021" i="13"/>
  <c r="AO953" i="13"/>
  <c r="AO912" i="13"/>
  <c r="AO737" i="13"/>
  <c r="AO466" i="13"/>
  <c r="AO38" i="13"/>
  <c r="AO559" i="13"/>
  <c r="AO138" i="13"/>
  <c r="AO139" i="13"/>
  <c r="AO13" i="13"/>
  <c r="AO140" i="13"/>
  <c r="AO141" i="13"/>
  <c r="AO709" i="13"/>
  <c r="AO511" i="13"/>
  <c r="AO885" i="13"/>
  <c r="AO943" i="13"/>
  <c r="AO1022" i="13"/>
  <c r="AO438" i="13"/>
  <c r="AO485" i="13"/>
  <c r="AO710" i="13"/>
  <c r="AO142" i="13"/>
  <c r="AO1023" i="13"/>
  <c r="AO204" i="13"/>
  <c r="AO924" i="13"/>
  <c r="AO711" i="13"/>
  <c r="AO810" i="13"/>
  <c r="AO1095" i="13"/>
  <c r="AO944" i="13"/>
  <c r="AO290" i="13"/>
  <c r="AO310" i="13"/>
  <c r="AO439" i="13"/>
  <c r="AO531" i="13"/>
  <c r="AO560" i="13"/>
  <c r="AO205" i="13"/>
  <c r="AO457" i="13"/>
  <c r="AO1073" i="13"/>
  <c r="AO754" i="13"/>
  <c r="AO1069" i="13"/>
  <c r="AO1096" i="13"/>
  <c r="AO712" i="13"/>
  <c r="AO945" i="13"/>
  <c r="AO1027" i="13"/>
  <c r="AO493" i="13"/>
  <c r="AO1070" i="13"/>
  <c r="AO1028" i="13"/>
  <c r="AO890" i="13"/>
  <c r="AO143" i="13"/>
  <c r="AO467" i="13"/>
  <c r="AO144" i="13"/>
  <c r="AO145" i="13"/>
  <c r="AO849" i="13"/>
  <c r="AO412" i="13"/>
  <c r="AO291" i="13"/>
  <c r="AO494" i="13"/>
  <c r="AO532" i="13"/>
  <c r="Y752" i="13"/>
  <c r="Y48" i="13"/>
  <c r="Y1051" i="13"/>
  <c r="Y1052" i="13"/>
  <c r="Y150" i="13"/>
  <c r="Y1288" i="13"/>
  <c r="Y1852" i="13"/>
  <c r="Y1580" i="13"/>
  <c r="Y151" i="13"/>
  <c r="Y1053" i="13"/>
  <c r="Y1760" i="13"/>
  <c r="Y1133" i="13"/>
  <c r="Y1134" i="13"/>
  <c r="Y1054" i="13"/>
  <c r="Y1099" i="13"/>
  <c r="Y875" i="13"/>
  <c r="Y152" i="13"/>
  <c r="Y1135" i="13"/>
  <c r="Y1136" i="13"/>
  <c r="Y1137" i="13"/>
  <c r="Y1330" i="13"/>
  <c r="Y1138" i="13"/>
  <c r="Y718" i="13"/>
  <c r="Y753" i="13"/>
  <c r="Y1479" i="13"/>
  <c r="Y754" i="13"/>
  <c r="Y1289" i="13"/>
  <c r="Y1553" i="13"/>
  <c r="Y153" i="13"/>
  <c r="Y876" i="13"/>
  <c r="Y1139" i="13"/>
  <c r="Y1025" i="13"/>
  <c r="Y1761" i="13"/>
  <c r="Y1140" i="13"/>
  <c r="Y1026" i="13"/>
  <c r="Y755" i="13"/>
  <c r="Y756" i="13"/>
  <c r="Y259" i="13"/>
  <c r="Y154" i="13"/>
  <c r="Y260" i="13"/>
  <c r="Y1141" i="13"/>
  <c r="Y1142" i="13"/>
  <c r="Y1853" i="13"/>
  <c r="Y155" i="13"/>
  <c r="Y1762" i="13"/>
  <c r="Y95" i="13"/>
  <c r="Y719" i="13"/>
  <c r="Y1001" i="13"/>
  <c r="Y156" i="13"/>
  <c r="Y157" i="13"/>
  <c r="Y950" i="13"/>
  <c r="Y158" i="13"/>
  <c r="Y1480" i="13"/>
  <c r="Y1481" i="13"/>
  <c r="Y1482" i="13"/>
  <c r="Y1331" i="13"/>
  <c r="Y720" i="13"/>
  <c r="Y1290" i="13"/>
  <c r="Y501" i="13"/>
  <c r="Y757" i="13"/>
  <c r="Y1143" i="13"/>
  <c r="Y1763" i="13"/>
  <c r="Y159" i="13"/>
  <c r="Y1055" i="13"/>
  <c r="Y721" i="13"/>
  <c r="Y160" i="13"/>
  <c r="Y758" i="13"/>
  <c r="Y161" i="13"/>
  <c r="Y162" i="13"/>
  <c r="Y96" i="13"/>
  <c r="Y163" i="13"/>
  <c r="Y1144" i="13"/>
  <c r="Y1056" i="13"/>
  <c r="Y759" i="13"/>
  <c r="Y164" i="13"/>
  <c r="Y1291" i="13"/>
  <c r="Y1145" i="13"/>
  <c r="Y1854" i="13"/>
  <c r="Y1855" i="13"/>
  <c r="Y49" i="13"/>
  <c r="Y1332" i="13"/>
  <c r="Y97" i="13"/>
  <c r="Y1146" i="13"/>
  <c r="Y1147" i="13"/>
  <c r="Y1027" i="13"/>
  <c r="Y1148" i="13"/>
  <c r="Y165" i="13"/>
  <c r="Y243" i="13"/>
  <c r="Y877" i="13"/>
  <c r="Y760" i="13"/>
  <c r="Y50" i="13"/>
  <c r="Y1057" i="13"/>
  <c r="Y1149" i="13"/>
  <c r="Y440" i="13"/>
  <c r="Y1483" i="13"/>
  <c r="Y1150" i="13"/>
  <c r="Y722" i="13"/>
  <c r="Y98" i="13"/>
  <c r="Y1151" i="13"/>
  <c r="Y1058" i="13"/>
  <c r="Y761" i="13"/>
  <c r="Y166" i="13"/>
  <c r="Y723" i="13"/>
  <c r="Y1028" i="13"/>
  <c r="Y502" i="13"/>
  <c r="Y536" i="13"/>
  <c r="Y1152" i="13"/>
  <c r="Y762" i="13"/>
  <c r="Y1153" i="13"/>
  <c r="Y763" i="13"/>
  <c r="Y764" i="13"/>
  <c r="Y724" i="13"/>
  <c r="Y1059" i="13"/>
  <c r="Y1154" i="13"/>
  <c r="Y765" i="13"/>
  <c r="Y1100" i="13"/>
  <c r="Y1155" i="13"/>
  <c r="Y261" i="13"/>
  <c r="Y1554" i="13"/>
  <c r="Y1333" i="13"/>
  <c r="Y1764" i="13"/>
  <c r="Y766" i="13"/>
  <c r="Y1765" i="13"/>
  <c r="Y1002" i="13"/>
  <c r="Y767" i="13"/>
  <c r="Y1156" i="13"/>
  <c r="Y1157" i="13"/>
  <c r="Y167" i="13"/>
  <c r="Y537" i="13"/>
  <c r="Y768" i="13"/>
  <c r="Y99" i="13"/>
  <c r="Y503" i="13"/>
  <c r="Y725" i="13"/>
  <c r="Y1101" i="13"/>
  <c r="Y769" i="13"/>
  <c r="Y661" i="13"/>
  <c r="Y1060" i="13"/>
  <c r="Y100" i="13"/>
  <c r="Y878" i="13"/>
  <c r="Y262" i="13"/>
  <c r="Y1158" i="13"/>
  <c r="Y770" i="13"/>
  <c r="Y101" i="13"/>
  <c r="Y263" i="13"/>
  <c r="Y1856" i="13"/>
  <c r="Y1292" i="13"/>
  <c r="Y244" i="13"/>
  <c r="Y771" i="13"/>
  <c r="Y168" i="13"/>
  <c r="Y1857" i="13"/>
  <c r="Y951" i="13"/>
  <c r="Y1159" i="13"/>
  <c r="Y169" i="13"/>
  <c r="Y1555" i="13"/>
  <c r="Y170" i="13"/>
  <c r="Y1160" i="13"/>
  <c r="Y1161" i="13"/>
  <c r="Y952" i="13"/>
  <c r="Y504" i="13"/>
  <c r="Y1162" i="13"/>
  <c r="Y171" i="13"/>
  <c r="Y1858" i="13"/>
  <c r="Y772" i="13"/>
  <c r="Y773" i="13"/>
  <c r="Y1484" i="13"/>
  <c r="Y1766" i="13"/>
  <c r="Y1061" i="13"/>
  <c r="Y1485" i="13"/>
  <c r="Y1163" i="13"/>
  <c r="Y172" i="13"/>
  <c r="Y1859" i="13"/>
  <c r="Y173" i="13"/>
  <c r="Y1556" i="13"/>
  <c r="Y174" i="13"/>
  <c r="Y774" i="13"/>
  <c r="Y1767" i="13"/>
  <c r="Y538" i="13"/>
  <c r="Y1164" i="13"/>
  <c r="Y953" i="13"/>
  <c r="Y505" i="13"/>
  <c r="Y175" i="13"/>
  <c r="Y176" i="13"/>
  <c r="Y1102" i="13"/>
  <c r="Y1165" i="13"/>
  <c r="Y1166" i="13"/>
  <c r="Y775" i="13"/>
  <c r="Y776" i="13"/>
  <c r="Y1293" i="13"/>
  <c r="Y1167" i="13"/>
  <c r="Y1168" i="13"/>
  <c r="Y1169" i="13"/>
  <c r="Y777" i="13"/>
  <c r="Y1557" i="13"/>
  <c r="Y1170" i="13"/>
  <c r="Y778" i="13"/>
  <c r="Y1768" i="13"/>
  <c r="Y1171" i="13"/>
  <c r="Y1769" i="13"/>
  <c r="Y1003" i="13"/>
  <c r="Y779" i="13"/>
  <c r="Y662" i="13"/>
  <c r="Y954" i="13"/>
  <c r="Y506" i="13"/>
  <c r="Y1172" i="13"/>
  <c r="Y441" i="13"/>
  <c r="Y1770" i="13"/>
  <c r="Y1173" i="13"/>
  <c r="Y442" i="13"/>
  <c r="Y1174" i="13"/>
  <c r="Y1860" i="13"/>
  <c r="Y1861" i="13"/>
  <c r="Y1862" i="13"/>
  <c r="Y879" i="13"/>
  <c r="Y1863" i="13"/>
  <c r="Y1175" i="13"/>
  <c r="Y1062" i="13"/>
  <c r="Y1176" i="13"/>
  <c r="Y177" i="13"/>
  <c r="Y1063" i="13"/>
  <c r="Y1558" i="13"/>
  <c r="Y1559" i="13"/>
  <c r="Y51" i="13"/>
  <c r="Y780" i="13"/>
  <c r="Y1103" i="13"/>
  <c r="Y1177" i="13"/>
  <c r="Y781" i="13"/>
  <c r="Y507" i="13"/>
  <c r="Y1771" i="13"/>
  <c r="Y178" i="13"/>
  <c r="Y539" i="13"/>
  <c r="Y726" i="13"/>
  <c r="Y955" i="13"/>
  <c r="Y1294" i="13"/>
  <c r="Y179" i="13"/>
  <c r="Y1029" i="13"/>
  <c r="Y1178" i="13"/>
  <c r="Y180" i="13"/>
  <c r="Y1179" i="13"/>
  <c r="Y1772" i="13"/>
  <c r="Y990" i="13"/>
  <c r="Y1295" i="13"/>
  <c r="Y1180" i="13"/>
  <c r="Y1181" i="13"/>
  <c r="Y1182" i="13"/>
  <c r="Y181" i="13"/>
  <c r="Y880" i="13"/>
  <c r="Y782" i="13"/>
  <c r="Y1064" i="13"/>
  <c r="Y182" i="13"/>
  <c r="Y52" i="13"/>
  <c r="Y1183" i="13"/>
  <c r="Y53" i="13"/>
  <c r="Y727" i="13"/>
  <c r="Y663" i="13"/>
  <c r="Y1184" i="13"/>
  <c r="Y1185" i="13"/>
  <c r="Y1065" i="13"/>
  <c r="Y783" i="13"/>
  <c r="Y1066" i="13"/>
  <c r="Y1067" i="13"/>
  <c r="Y728" i="13"/>
  <c r="Y784" i="13"/>
  <c r="Y785" i="13"/>
  <c r="Y508" i="13"/>
  <c r="Y102" i="13"/>
  <c r="Y1773" i="13"/>
  <c r="Y786" i="13"/>
  <c r="Y787" i="13"/>
  <c r="Y540" i="13"/>
  <c r="Y788" i="13"/>
  <c r="Y1774" i="13"/>
  <c r="Y183" i="13"/>
  <c r="Y1775" i="13"/>
  <c r="Y991" i="13"/>
  <c r="Y1004" i="13"/>
  <c r="Y54" i="13"/>
  <c r="Y245" i="13"/>
  <c r="Y729" i="13"/>
  <c r="Y1068" i="13"/>
  <c r="Y730" i="13"/>
  <c r="Y992" i="13"/>
  <c r="Y789" i="13"/>
  <c r="Y1186" i="13"/>
  <c r="Y731" i="13"/>
  <c r="Y1030" i="13"/>
  <c r="Y881" i="13"/>
  <c r="Y1776" i="13"/>
  <c r="Y1777" i="13"/>
  <c r="Y790" i="13"/>
  <c r="Y184" i="13"/>
  <c r="Y993" i="13"/>
  <c r="Y185" i="13"/>
  <c r="Y1334" i="13"/>
  <c r="Y186" i="13"/>
  <c r="Y1187" i="13"/>
  <c r="Y55" i="13"/>
  <c r="Y509" i="13"/>
  <c r="Y1296" i="13"/>
  <c r="Y1864" i="13"/>
  <c r="Y1581" i="13"/>
  <c r="Y1131" i="13"/>
  <c r="Y1778" i="13"/>
  <c r="Y1031" i="13"/>
  <c r="Y664" i="13"/>
  <c r="Y882" i="13"/>
  <c r="Y1069" i="13"/>
  <c r="Y187" i="13"/>
  <c r="Y541" i="13"/>
  <c r="Y1349" i="13"/>
  <c r="Y665" i="13"/>
  <c r="Y443" i="13"/>
  <c r="Y1070" i="13"/>
  <c r="Y791" i="13"/>
  <c r="Y1188" i="13"/>
  <c r="Y1189" i="13"/>
  <c r="Y103" i="13"/>
  <c r="Y1190" i="13"/>
  <c r="Y792" i="13"/>
  <c r="Y542" i="13"/>
  <c r="Y495" i="13"/>
  <c r="Y188" i="13"/>
  <c r="Y189" i="13"/>
  <c r="Y1191" i="13"/>
  <c r="Y190" i="13"/>
  <c r="Y1192" i="13"/>
  <c r="Y264" i="13"/>
  <c r="Y793" i="13"/>
  <c r="Y1193" i="13"/>
  <c r="Y1486" i="13"/>
  <c r="Y794" i="13"/>
  <c r="Y1194" i="13"/>
  <c r="Y1195" i="13"/>
  <c r="Y1032" i="13"/>
  <c r="Y1196" i="13"/>
  <c r="Y1197" i="13"/>
  <c r="Y191" i="13"/>
  <c r="Y1198" i="13"/>
  <c r="Y1199" i="13"/>
  <c r="Y1071" i="13"/>
  <c r="Y1200" i="13"/>
  <c r="Y1033" i="13"/>
  <c r="Y192" i="13"/>
  <c r="Y1335" i="13"/>
  <c r="Y265" i="13"/>
  <c r="Y732" i="13"/>
  <c r="Y444" i="13"/>
  <c r="Y1297" i="13"/>
  <c r="Y1336" i="13"/>
  <c r="Y445" i="13"/>
  <c r="Y883" i="13"/>
  <c r="Y733" i="13"/>
  <c r="Y1201" i="13"/>
  <c r="Y1202" i="13"/>
  <c r="Y56" i="13"/>
  <c r="Y193" i="13"/>
  <c r="Y1203" i="13"/>
  <c r="Y194" i="13"/>
  <c r="Y195" i="13"/>
  <c r="Y1204" i="13"/>
  <c r="Y795" i="13"/>
  <c r="Y1865" i="13"/>
  <c r="Y1034" i="13"/>
  <c r="Y956" i="13"/>
  <c r="Y196" i="13"/>
  <c r="Y197" i="13"/>
  <c r="Y198" i="13"/>
  <c r="Y1072" i="13"/>
  <c r="Y57" i="13"/>
  <c r="Y58" i="13"/>
  <c r="Y1205" i="13"/>
  <c r="Y1035" i="13"/>
  <c r="Y1206" i="13"/>
  <c r="Y246" i="13"/>
  <c r="Y734" i="13"/>
  <c r="Y1207" i="13"/>
  <c r="Y796" i="13"/>
  <c r="Y1208" i="13"/>
  <c r="Y994" i="13"/>
  <c r="Y199" i="13"/>
  <c r="Y957" i="13"/>
  <c r="Y1209" i="13"/>
  <c r="Y1210" i="13"/>
  <c r="Y735" i="13"/>
  <c r="Y104" i="13"/>
  <c r="Y1487" i="13"/>
  <c r="Y59" i="13"/>
  <c r="Y797" i="13"/>
  <c r="Y1211" i="13"/>
  <c r="Y884" i="13"/>
  <c r="Y200" i="13"/>
  <c r="Y1620" i="13"/>
  <c r="Y1212" i="13"/>
  <c r="Y1213" i="13"/>
  <c r="Y201" i="13"/>
  <c r="Y1779" i="13"/>
  <c r="Y1214" i="13"/>
  <c r="Y202" i="13"/>
  <c r="Y1621" i="13"/>
  <c r="Y736" i="13"/>
  <c r="Y1488" i="13"/>
  <c r="Y1073" i="13"/>
  <c r="Y1489" i="13"/>
  <c r="Y798" i="13"/>
  <c r="Y1780" i="13"/>
  <c r="Y1490" i="13"/>
  <c r="Y105" i="13"/>
  <c r="Y1215" i="13"/>
  <c r="Y666" i="13"/>
  <c r="Y995" i="13"/>
  <c r="Y1298" i="13"/>
  <c r="Y1299" i="13"/>
  <c r="Y1582" i="13"/>
  <c r="Y1781" i="13"/>
  <c r="Y1782" i="13"/>
  <c r="Y996" i="13"/>
  <c r="Y446" i="13"/>
  <c r="Y1216" i="13"/>
  <c r="Y799" i="13"/>
  <c r="Y510" i="13"/>
  <c r="Y511" i="13"/>
  <c r="Y667" i="13"/>
  <c r="Y1337" i="13"/>
  <c r="Y266" i="13"/>
  <c r="Y543" i="13"/>
  <c r="Y668" i="13"/>
  <c r="Y60" i="13"/>
  <c r="Y827" i="13"/>
  <c r="Y203" i="13"/>
  <c r="Y1491" i="13"/>
  <c r="Y61" i="13"/>
  <c r="Y958" i="13"/>
  <c r="Y496" i="13"/>
  <c r="Y447" i="13"/>
  <c r="Y1074" i="13"/>
  <c r="Y448" i="13"/>
  <c r="Y1300" i="13"/>
  <c r="Y1111" i="13"/>
  <c r="Y1005" i="13"/>
  <c r="Y1217" i="13"/>
  <c r="Y1218" i="13"/>
  <c r="Y1219" i="13"/>
  <c r="Y885" i="13"/>
  <c r="Y544" i="13"/>
  <c r="Y886" i="13"/>
  <c r="Y1220" i="13"/>
  <c r="Y1112" i="13"/>
  <c r="Y800" i="13"/>
  <c r="Y1221" i="13"/>
  <c r="Y1222" i="13"/>
  <c r="Y1223" i="13"/>
  <c r="Y669" i="13"/>
  <c r="Y1783" i="13"/>
  <c r="Y204" i="13"/>
  <c r="Y1338" i="13"/>
  <c r="Y1224" i="13"/>
  <c r="Y62" i="13"/>
  <c r="Y545" i="13"/>
  <c r="Y512" i="13"/>
  <c r="Y63" i="13"/>
  <c r="Y1075" i="13"/>
  <c r="Y1036" i="13"/>
  <c r="Y801" i="13"/>
  <c r="Y1104" i="13"/>
  <c r="Y1866" i="13"/>
  <c r="Y1225" i="13"/>
  <c r="Y205" i="13"/>
  <c r="Y64" i="13"/>
  <c r="Y1076" i="13"/>
  <c r="Y1226" i="13"/>
  <c r="Y1227" i="13"/>
  <c r="Y65" i="13"/>
  <c r="Y1228" i="13"/>
  <c r="Y1229" i="13"/>
  <c r="Y66" i="13"/>
  <c r="Y1230" i="13"/>
  <c r="Y1231" i="13"/>
  <c r="Y828" i="13"/>
  <c r="Y1232" i="13"/>
  <c r="Y802" i="13"/>
  <c r="Y67" i="13"/>
  <c r="Y803" i="13"/>
  <c r="Y887" i="13"/>
  <c r="Y804" i="13"/>
  <c r="Y106" i="13"/>
  <c r="Y1867" i="13"/>
  <c r="Y1784" i="13"/>
  <c r="Y206" i="13"/>
  <c r="Y1233" i="13"/>
  <c r="Y207" i="13"/>
  <c r="Y208" i="13"/>
  <c r="Y267" i="13"/>
  <c r="Y1234" i="13"/>
  <c r="Y1235" i="13"/>
  <c r="Y1785" i="13"/>
  <c r="Y1786" i="13"/>
  <c r="Y1236" i="13"/>
  <c r="Y1492" i="13"/>
  <c r="Y888" i="13"/>
  <c r="Y805" i="13"/>
  <c r="Y959" i="13"/>
  <c r="Y1237" i="13"/>
  <c r="Y1787" i="13"/>
  <c r="Y209" i="13"/>
  <c r="Y1339" i="13"/>
  <c r="Y247" i="13"/>
  <c r="Y1238" i="13"/>
  <c r="Y1077" i="13"/>
  <c r="Y68" i="13"/>
  <c r="Y1239" i="13"/>
  <c r="Y960" i="13"/>
  <c r="Y1078" i="13"/>
  <c r="Y1240" i="13"/>
  <c r="Y268" i="13"/>
  <c r="Y737" i="13"/>
  <c r="Y1493" i="13"/>
  <c r="Y107" i="13"/>
  <c r="Y1494" i="13"/>
  <c r="Y1113" i="13"/>
  <c r="Y1241" i="13"/>
  <c r="Y210" i="13"/>
  <c r="Y513" i="13"/>
  <c r="Y1242" i="13"/>
  <c r="Y1079" i="13"/>
  <c r="Y1243" i="13"/>
  <c r="Y1340" i="13"/>
  <c r="Y1341" i="13"/>
  <c r="Y1244" i="13"/>
  <c r="Y69" i="13"/>
  <c r="Y70" i="13"/>
  <c r="Y1245" i="13"/>
  <c r="Y269" i="13"/>
  <c r="Y71" i="13"/>
  <c r="Y1788" i="13"/>
  <c r="Y1080" i="13"/>
  <c r="Y806" i="13"/>
  <c r="Y211" i="13"/>
  <c r="Y1246" i="13"/>
  <c r="Y1342" i="13"/>
  <c r="Y1247" i="13"/>
  <c r="Y1081" i="13"/>
  <c r="Y807" i="13"/>
  <c r="Y546" i="13"/>
  <c r="Y1248" i="13"/>
  <c r="Y1789" i="13"/>
  <c r="Y808" i="13"/>
  <c r="Y72" i="13"/>
  <c r="Y73" i="13"/>
  <c r="Y809" i="13"/>
  <c r="Y1790" i="13"/>
  <c r="Y889" i="13"/>
  <c r="Y74" i="13"/>
  <c r="Y738" i="13"/>
  <c r="Y449" i="13"/>
  <c r="Y739" i="13"/>
  <c r="Y75" i="13"/>
  <c r="Y997" i="13"/>
  <c r="Y212" i="13"/>
  <c r="Y1114" i="13"/>
  <c r="Y1791" i="13"/>
  <c r="Y810" i="13"/>
  <c r="Y213" i="13"/>
  <c r="Y1249" i="13"/>
  <c r="Y1082" i="13"/>
  <c r="Y1250" i="13"/>
  <c r="Y1251" i="13"/>
  <c r="Y2001" i="13"/>
  <c r="Y270" i="13"/>
  <c r="Y214" i="13"/>
  <c r="Y740" i="13"/>
  <c r="Y215" i="13"/>
  <c r="Y216" i="13"/>
  <c r="Y1083" i="13"/>
  <c r="Y741" i="13"/>
  <c r="Y217" i="13"/>
  <c r="Y218" i="13"/>
  <c r="Y76" i="13"/>
  <c r="Y1115" i="13"/>
  <c r="Y811" i="13"/>
  <c r="Y1343" i="13"/>
  <c r="Y1252" i="13"/>
  <c r="Y998" i="13"/>
  <c r="Y1253" i="13"/>
  <c r="Y1495" i="13"/>
  <c r="Y742" i="13"/>
  <c r="Y743" i="13"/>
  <c r="Y219" i="13"/>
  <c r="Y961" i="13"/>
  <c r="Y1254" i="13"/>
  <c r="Y1561" i="13"/>
  <c r="Y450" i="13"/>
  <c r="Y1868" i="13"/>
  <c r="Y1350" i="13"/>
  <c r="Y1255" i="13"/>
  <c r="Y108" i="13"/>
  <c r="Y514" i="13"/>
  <c r="Y109" i="13"/>
  <c r="Y77" i="13"/>
  <c r="Y220" i="13"/>
  <c r="Y670" i="13"/>
  <c r="Y221" i="13"/>
  <c r="Y1256" i="13"/>
  <c r="Y222" i="13"/>
  <c r="Y1257" i="13"/>
  <c r="Y1084" i="13"/>
  <c r="Y1258" i="13"/>
  <c r="Y1496" i="13"/>
  <c r="Y1259" i="13"/>
  <c r="Y1792" i="13"/>
  <c r="Y1260" i="13"/>
  <c r="Y1261" i="13"/>
  <c r="Y515" i="13"/>
  <c r="Y271" i="13"/>
  <c r="Y1037" i="13"/>
  <c r="Y223" i="13"/>
  <c r="Y224" i="13"/>
  <c r="Y1262" i="13"/>
  <c r="Y890" i="13"/>
  <c r="Y1038" i="13"/>
  <c r="Y1497" i="13"/>
  <c r="Y812" i="13"/>
  <c r="Y1263" i="13"/>
  <c r="Y891" i="13"/>
  <c r="Y1085" i="13"/>
  <c r="Y962" i="13"/>
  <c r="Y744" i="13"/>
  <c r="Y1264" i="13"/>
  <c r="Y813" i="13"/>
  <c r="Y225" i="13"/>
  <c r="Y814" i="13"/>
  <c r="Y1793" i="13"/>
  <c r="Y1039" i="13"/>
  <c r="Y1086" i="13"/>
  <c r="Y1794" i="13"/>
  <c r="Y467" i="13"/>
  <c r="Y1301" i="13"/>
  <c r="Y226" i="13"/>
  <c r="Y815" i="13"/>
  <c r="Y816" i="13"/>
  <c r="Y516" i="13"/>
  <c r="Y547" i="13"/>
  <c r="Y2002" i="13"/>
  <c r="Y517" i="13"/>
  <c r="Y671" i="13"/>
  <c r="Y1265" i="13"/>
  <c r="Y1266" i="13"/>
  <c r="Y1040" i="13"/>
  <c r="Y1498" i="13"/>
  <c r="Y892" i="13"/>
  <c r="Y1132" i="13"/>
  <c r="Y1267" i="13"/>
  <c r="Y227" i="13"/>
  <c r="Y1562" i="13"/>
  <c r="Y1268" i="13"/>
  <c r="Y745" i="13"/>
  <c r="Y1087" i="13"/>
  <c r="Y1105" i="13"/>
  <c r="Y893" i="13"/>
  <c r="Y1302" i="13"/>
  <c r="Y1795" i="13"/>
  <c r="Y817" i="13"/>
  <c r="Y518" i="13"/>
  <c r="Y1796" i="13"/>
  <c r="Y1583" i="13"/>
  <c r="Y228" i="13"/>
  <c r="Y746" i="13"/>
  <c r="Y78" i="13"/>
  <c r="Y963" i="13"/>
  <c r="Y79" i="13"/>
  <c r="Y964" i="13"/>
  <c r="Y1269" i="13"/>
  <c r="Y1270" i="13"/>
  <c r="Y229" i="13"/>
  <c r="Y1797" i="13"/>
  <c r="Y747" i="13"/>
  <c r="Y80" i="13"/>
  <c r="Y818" i="13"/>
  <c r="Y819" i="13"/>
  <c r="Y1271" i="13"/>
  <c r="Y230" i="13"/>
  <c r="Y272" i="13"/>
  <c r="Y451" i="13"/>
  <c r="Y1272" i="13"/>
  <c r="Y231" i="13"/>
  <c r="Y820" i="13"/>
  <c r="Y1088" i="13"/>
  <c r="Y1089" i="13"/>
  <c r="Y821" i="13"/>
  <c r="Y1798" i="13"/>
  <c r="Y232" i="13"/>
  <c r="Y1273" i="13"/>
  <c r="Y1274" i="13"/>
  <c r="Y965" i="13"/>
  <c r="Y748" i="13"/>
  <c r="Y1275" i="13"/>
  <c r="Y81" i="13"/>
  <c r="Y1276" i="13"/>
  <c r="Y1799" i="13"/>
  <c r="Y1277" i="13"/>
  <c r="Y1344" i="13"/>
  <c r="Y1006" i="13"/>
  <c r="Y822" i="13"/>
  <c r="Y1499" i="13"/>
  <c r="Y966" i="13"/>
  <c r="Y1278" i="13"/>
  <c r="Y110" i="13"/>
  <c r="Y749" i="13"/>
  <c r="Y233" i="13"/>
  <c r="Y82" i="13"/>
  <c r="Y1090" i="13"/>
  <c r="Y1091" i="13"/>
  <c r="Y1279" i="13"/>
  <c r="Y1041" i="13"/>
  <c r="Y234" i="13"/>
  <c r="Y672" i="13"/>
  <c r="Y1042" i="13"/>
  <c r="Y1092" i="13"/>
  <c r="Y111" i="13"/>
  <c r="Y519" i="13"/>
  <c r="Y1280" i="13"/>
  <c r="Y1281" i="13"/>
  <c r="Y1800" i="13"/>
  <c r="Y235" i="13"/>
  <c r="Y1282" i="13"/>
  <c r="Y1283" i="13"/>
  <c r="Y1584" i="13"/>
  <c r="Y823" i="13"/>
  <c r="Y1284" i="13"/>
  <c r="Y236" i="13"/>
  <c r="Y1285" i="13"/>
  <c r="Y967" i="13"/>
  <c r="Y750" i="13"/>
  <c r="Y520" i="13"/>
  <c r="Y237" i="13"/>
  <c r="Y1345" i="13"/>
  <c r="Y238" i="13"/>
  <c r="Y824" i="13"/>
  <c r="Y239" i="13"/>
  <c r="Y1286" i="13"/>
  <c r="Y968" i="13"/>
  <c r="Y825" i="13"/>
  <c r="Y240" i="13"/>
  <c r="Y1287" i="13"/>
  <c r="Y751" i="13"/>
  <c r="Y1043" i="13"/>
  <c r="Y894" i="13"/>
  <c r="Y1887" i="13"/>
  <c r="Y1446" i="13"/>
  <c r="Y835" i="13"/>
  <c r="Y1116" i="13"/>
  <c r="Y1942" i="13"/>
  <c r="Y1373" i="13"/>
  <c r="Y12" i="13"/>
  <c r="Y293" i="13"/>
  <c r="Y1888" i="13"/>
  <c r="Y639" i="13"/>
  <c r="Y1563" i="13"/>
  <c r="Y1987" i="13"/>
  <c r="Y836" i="13"/>
  <c r="Y924" i="13"/>
  <c r="Y548" i="13"/>
  <c r="Y1447" i="13"/>
  <c r="Y653" i="13"/>
  <c r="Y673" i="13"/>
  <c r="Y1889" i="13"/>
  <c r="Y1622" i="13"/>
  <c r="Y1890" i="13"/>
  <c r="Y1943" i="13"/>
  <c r="Y274" i="13"/>
  <c r="Y1944" i="13"/>
  <c r="Y1374" i="13"/>
  <c r="Y910" i="13"/>
  <c r="Y253" i="13"/>
  <c r="Y1623" i="13"/>
  <c r="Y1303" i="13"/>
  <c r="Y1877" i="13"/>
  <c r="Y837" i="13"/>
  <c r="Y1500" i="13"/>
  <c r="Y1401" i="13"/>
  <c r="Y549" i="13"/>
  <c r="Y1304" i="13"/>
  <c r="Y1419" i="13"/>
  <c r="Y1624" i="13"/>
  <c r="Y1625" i="13"/>
  <c r="Y1945" i="13"/>
  <c r="Y926" i="13"/>
  <c r="Y1626" i="13"/>
  <c r="Y927" i="13"/>
  <c r="Y1351" i="13"/>
  <c r="Y83" i="13"/>
  <c r="Y1402" i="13"/>
  <c r="Y1627" i="13"/>
  <c r="Y1448" i="13"/>
  <c r="Y1093" i="13"/>
  <c r="Y1891" i="13"/>
  <c r="Y1628" i="13"/>
  <c r="Y969" i="13"/>
  <c r="Y294" i="13"/>
  <c r="Y1352" i="13"/>
  <c r="Y295" i="13"/>
  <c r="Y550" i="13"/>
  <c r="Y551" i="13"/>
  <c r="Y521" i="13"/>
  <c r="Y522" i="13"/>
  <c r="Y112" i="13"/>
  <c r="Y296" i="13"/>
  <c r="Y1585" i="13"/>
  <c r="Y1449" i="13"/>
  <c r="Y297" i="13"/>
  <c r="Y13" i="13"/>
  <c r="Y1629" i="13"/>
  <c r="Y1420" i="13"/>
  <c r="Y1375" i="13"/>
  <c r="Y905" i="13"/>
  <c r="Y400" i="13"/>
  <c r="Y452" i="13"/>
  <c r="Y1937" i="13"/>
  <c r="Y1376" i="13"/>
  <c r="Y113" i="13"/>
  <c r="Y1094" i="13"/>
  <c r="Y1630" i="13"/>
  <c r="Y632" i="13"/>
  <c r="Y1117" i="13"/>
  <c r="Y1007" i="13"/>
  <c r="Y838" i="13"/>
  <c r="Y1801" i="13"/>
  <c r="Y552" i="13"/>
  <c r="Y1631" i="13"/>
  <c r="Y1586" i="13"/>
  <c r="Y84" i="13"/>
  <c r="Y553" i="13"/>
  <c r="Y1587" i="13"/>
  <c r="Y1802" i="13"/>
  <c r="Y114" i="13"/>
  <c r="Y385" i="13"/>
  <c r="Y970" i="13"/>
  <c r="Y1803" i="13"/>
  <c r="Y839" i="13"/>
  <c r="Y1632" i="13"/>
  <c r="Y895" i="13"/>
  <c r="Y1892" i="13"/>
  <c r="Y1804" i="13"/>
  <c r="Y636" i="13"/>
  <c r="Y1305" i="13"/>
  <c r="Y1306" i="13"/>
  <c r="Y1805" i="13"/>
  <c r="Y1107" i="13"/>
  <c r="Y1806" i="13"/>
  <c r="Y1946" i="13"/>
  <c r="Y1450" i="13"/>
  <c r="Y298" i="13"/>
  <c r="Y1513" i="13"/>
  <c r="Y14" i="13"/>
  <c r="Y115" i="13"/>
  <c r="Y1514" i="13"/>
  <c r="Y554" i="13"/>
  <c r="Y640" i="13"/>
  <c r="Y1377" i="13"/>
  <c r="Y275" i="13"/>
  <c r="Y831" i="13"/>
  <c r="Y1633" i="13"/>
  <c r="Y555" i="13"/>
  <c r="Y911" i="13"/>
  <c r="Y1634" i="13"/>
  <c r="Y1635" i="13"/>
  <c r="Y556" i="13"/>
  <c r="Y1636" i="13"/>
  <c r="Y1893" i="13"/>
  <c r="Y15" i="13"/>
  <c r="Y16" i="13"/>
  <c r="Y1807" i="13"/>
  <c r="Y299" i="13"/>
  <c r="Y912" i="13"/>
  <c r="Y928" i="13"/>
  <c r="Y1808" i="13"/>
  <c r="Y276" i="13"/>
  <c r="Y1637" i="13"/>
  <c r="Y1638" i="13"/>
  <c r="Y1639" i="13"/>
  <c r="Y1640" i="13"/>
  <c r="Y1894" i="13"/>
  <c r="Y1451" i="13"/>
  <c r="Y1588" i="13"/>
  <c r="Y1535" i="13"/>
  <c r="Y17" i="13"/>
  <c r="Y1564" i="13"/>
  <c r="Y1947" i="13"/>
  <c r="Y248" i="13"/>
  <c r="Y641" i="13"/>
  <c r="Y1895" i="13"/>
  <c r="Y1641" i="13"/>
  <c r="Y1869" i="13"/>
  <c r="Y1452" i="13"/>
  <c r="Y557" i="13"/>
  <c r="Y1642" i="13"/>
  <c r="Y300" i="13"/>
  <c r="Y483" i="13"/>
  <c r="Y301" i="13"/>
  <c r="Y116" i="13"/>
  <c r="Y18" i="13"/>
  <c r="Y1403" i="13"/>
  <c r="Y401" i="13"/>
  <c r="Y558" i="13"/>
  <c r="Y929" i="13"/>
  <c r="Y925" i="13"/>
  <c r="Y1589" i="13"/>
  <c r="Y840" i="13"/>
  <c r="Y402" i="13"/>
  <c r="Y484" i="13"/>
  <c r="Y1124" i="13"/>
  <c r="Y971" i="13"/>
  <c r="Y1453" i="13"/>
  <c r="Y559" i="13"/>
  <c r="Y302" i="13"/>
  <c r="Y1643" i="13"/>
  <c r="Y1404" i="13"/>
  <c r="Y1932" i="13"/>
  <c r="Y560" i="13"/>
  <c r="Y1421" i="13"/>
  <c r="Y303" i="13"/>
  <c r="Y1948" i="13"/>
  <c r="Y468" i="13"/>
  <c r="Y304" i="13"/>
  <c r="Y1809" i="13"/>
  <c r="Y1810" i="13"/>
  <c r="Y1811" i="13"/>
  <c r="Y1870" i="13"/>
  <c r="Y305" i="13"/>
  <c r="Y674" i="13"/>
  <c r="Y561" i="13"/>
  <c r="Y930" i="13"/>
  <c r="Y710" i="13"/>
  <c r="Y972" i="13"/>
  <c r="Y1590" i="13"/>
  <c r="Y913" i="13"/>
  <c r="Y841" i="13"/>
  <c r="Y386" i="13"/>
  <c r="Y562" i="13"/>
  <c r="Y1988" i="13"/>
  <c r="Y1422" i="13"/>
  <c r="Y1591" i="13"/>
  <c r="Y1378" i="13"/>
  <c r="Y387" i="13"/>
  <c r="Y1405" i="13"/>
  <c r="Y485" i="13"/>
  <c r="Y842" i="13"/>
  <c r="Y1644" i="13"/>
  <c r="Y1812" i="13"/>
  <c r="Y563" i="13"/>
  <c r="Y1454" i="13"/>
  <c r="Y403" i="13"/>
  <c r="Y1645" i="13"/>
  <c r="Y19" i="13"/>
  <c r="Y388" i="13"/>
  <c r="Y829" i="13"/>
  <c r="Y564" i="13"/>
  <c r="Y241" i="13"/>
  <c r="Y306" i="13"/>
  <c r="Y307" i="13"/>
  <c r="Y1353" i="13"/>
  <c r="Y1646" i="13"/>
  <c r="Y675" i="13"/>
  <c r="Y308" i="13"/>
  <c r="Y20" i="13"/>
  <c r="Y1539" i="13"/>
  <c r="Y1379" i="13"/>
  <c r="Y1989" i="13"/>
  <c r="Y1018" i="13"/>
  <c r="Y676" i="13"/>
  <c r="Y1455" i="13"/>
  <c r="Y914" i="13"/>
  <c r="Y699" i="13"/>
  <c r="Y1896" i="13"/>
  <c r="Y1354" i="13"/>
  <c r="Y931" i="13"/>
  <c r="Y21" i="13"/>
  <c r="Y277" i="13"/>
  <c r="Y309" i="13"/>
  <c r="Y1949" i="13"/>
  <c r="Y1456" i="13"/>
  <c r="Y843" i="13"/>
  <c r="Y1647" i="13"/>
  <c r="Y1355" i="13"/>
  <c r="Y1950" i="13"/>
  <c r="Y844" i="13"/>
  <c r="Y1457" i="13"/>
  <c r="Y1506" i="13"/>
  <c r="Y469" i="13"/>
  <c r="Y22" i="13"/>
  <c r="Y1813" i="13"/>
  <c r="Y1380" i="13"/>
  <c r="Y1897" i="13"/>
  <c r="Y973" i="13"/>
  <c r="Y915" i="13"/>
  <c r="Y1951" i="13"/>
  <c r="Y896" i="13"/>
  <c r="Y1008" i="13"/>
  <c r="Y1019" i="13"/>
  <c r="Y1648" i="13"/>
  <c r="Y310" i="13"/>
  <c r="Y1458" i="13"/>
  <c r="Y1307" i="13"/>
  <c r="Y677" i="13"/>
  <c r="Y909" i="13"/>
  <c r="Y565" i="13"/>
  <c r="Y845" i="13"/>
  <c r="Y1308" i="13"/>
  <c r="Y311" i="13"/>
  <c r="Y1423" i="13"/>
  <c r="Y1592" i="13"/>
  <c r="Y1515" i="13"/>
  <c r="Y1871" i="13"/>
  <c r="Y566" i="13"/>
  <c r="Y1933" i="13"/>
  <c r="Y974" i="13"/>
  <c r="Y1649" i="13"/>
  <c r="Y1459" i="13"/>
  <c r="Y1565" i="13"/>
  <c r="Y906" i="13"/>
  <c r="Y1650" i="13"/>
  <c r="Y1651" i="13"/>
  <c r="Y567" i="13"/>
  <c r="Y1652" i="13"/>
  <c r="Y1814" i="13"/>
  <c r="Y1507" i="13"/>
  <c r="Y568" i="13"/>
  <c r="Y569" i="13"/>
  <c r="Y1424" i="13"/>
  <c r="Y1653" i="13"/>
  <c r="Y1309" i="13"/>
  <c r="Y470" i="13"/>
  <c r="Y1125" i="13"/>
  <c r="Y1654" i="13"/>
  <c r="Y700" i="13"/>
  <c r="Y654" i="13"/>
  <c r="Y916" i="13"/>
  <c r="Y1508" i="13"/>
  <c r="Y118" i="13"/>
  <c r="Y312" i="13"/>
  <c r="Y711" i="13"/>
  <c r="Y570" i="13"/>
  <c r="Y1815" i="13"/>
  <c r="Y712" i="13"/>
  <c r="Y1898" i="13"/>
  <c r="Y1516" i="13"/>
  <c r="Y1655" i="13"/>
  <c r="Y1546" i="13"/>
  <c r="Y471" i="13"/>
  <c r="Y249" i="13"/>
  <c r="Y1310" i="13"/>
  <c r="Y523" i="13"/>
  <c r="Y1406" i="13"/>
  <c r="Y1311" i="13"/>
  <c r="Y404" i="13"/>
  <c r="Y472" i="13"/>
  <c r="Y1312" i="13"/>
  <c r="Y571" i="13"/>
  <c r="Y713" i="13"/>
  <c r="Y1899" i="13"/>
  <c r="Y313" i="13"/>
  <c r="Y1529" i="13"/>
  <c r="Y846" i="13"/>
  <c r="Y1816" i="13"/>
  <c r="Y405" i="13"/>
  <c r="Y1878" i="13"/>
  <c r="Y1108" i="13"/>
  <c r="Y1044" i="13"/>
  <c r="Y406" i="13"/>
  <c r="Y453" i="13"/>
  <c r="Y1045" i="13"/>
  <c r="Y701" i="13"/>
  <c r="Y119" i="13"/>
  <c r="Y847" i="13"/>
  <c r="Y1593" i="13"/>
  <c r="Y642" i="13"/>
  <c r="Y1900" i="13"/>
  <c r="Y1901" i="13"/>
  <c r="Y975" i="13"/>
  <c r="Y1902" i="13"/>
  <c r="Y987" i="13"/>
  <c r="Y278" i="13"/>
  <c r="Y120" i="13"/>
  <c r="Y1656" i="13"/>
  <c r="Y242" i="13"/>
  <c r="Y1460" i="13"/>
  <c r="Y1517" i="13"/>
  <c r="Y714" i="13"/>
  <c r="Y1657" i="13"/>
  <c r="Y314" i="13"/>
  <c r="Y1990" i="13"/>
  <c r="Y572" i="13"/>
  <c r="Y1109" i="13"/>
  <c r="Y633" i="13"/>
  <c r="Y1020" i="13"/>
  <c r="Y715" i="13"/>
  <c r="Y1952" i="13"/>
  <c r="Y1658" i="13"/>
  <c r="Y1817" i="13"/>
  <c r="Y638" i="13"/>
  <c r="Y1566" i="13"/>
  <c r="Y1461" i="13"/>
  <c r="Y1659" i="13"/>
  <c r="Y1879" i="13"/>
  <c r="Y524" i="13"/>
  <c r="Y85" i="13"/>
  <c r="Y315" i="13"/>
  <c r="Y1462" i="13"/>
  <c r="Y1953" i="13"/>
  <c r="Y316" i="13"/>
  <c r="Y407" i="13"/>
  <c r="Y86" i="13"/>
  <c r="Y1660" i="13"/>
  <c r="Y705" i="13"/>
  <c r="Y848" i="13"/>
  <c r="Y678" i="13"/>
  <c r="Y317" i="13"/>
  <c r="Y1463" i="13"/>
  <c r="Y318" i="13"/>
  <c r="Y1547" i="13"/>
  <c r="Y1661" i="13"/>
  <c r="Y8" i="13"/>
  <c r="Y716" i="13"/>
  <c r="Y1954" i="13"/>
  <c r="Y1009" i="13"/>
  <c r="Y1662" i="13"/>
  <c r="Y1903" i="13"/>
  <c r="Y1046" i="13"/>
  <c r="Y1425" i="13"/>
  <c r="Y408" i="13"/>
  <c r="Y473" i="13"/>
  <c r="Y897" i="13"/>
  <c r="Y121" i="13"/>
  <c r="Y474" i="13"/>
  <c r="Y475" i="13"/>
  <c r="Y1955" i="13"/>
  <c r="Y1118" i="13"/>
  <c r="Y1501" i="13"/>
  <c r="Y1663" i="13"/>
  <c r="Y319" i="13"/>
  <c r="Y573" i="13"/>
  <c r="Y702" i="13"/>
  <c r="Y679" i="13"/>
  <c r="Y574" i="13"/>
  <c r="Y907" i="13"/>
  <c r="Y476" i="13"/>
  <c r="Y1594" i="13"/>
  <c r="Y1818" i="13"/>
  <c r="Y988" i="13"/>
  <c r="Y1904" i="13"/>
  <c r="Y1664" i="13"/>
  <c r="Y1665" i="13"/>
  <c r="Y1666" i="13"/>
  <c r="Y976" i="13"/>
  <c r="Y1667" i="13"/>
  <c r="Y9" i="13"/>
  <c r="Y1668" i="13"/>
  <c r="Y122" i="13"/>
  <c r="Y575" i="13"/>
  <c r="Y497" i="13"/>
  <c r="Y849" i="13"/>
  <c r="Y1956" i="13"/>
  <c r="Y576" i="13"/>
  <c r="Y320" i="13"/>
  <c r="Y932" i="13"/>
  <c r="Y1426" i="13"/>
  <c r="Y23" i="13"/>
  <c r="Y1518" i="13"/>
  <c r="Y577" i="13"/>
  <c r="Y409" i="13"/>
  <c r="Y1669" i="13"/>
  <c r="Y578" i="13"/>
  <c r="Y454" i="13"/>
  <c r="Y643" i="13"/>
  <c r="Y525" i="13"/>
  <c r="Y1957" i="13"/>
  <c r="Y1313" i="13"/>
  <c r="Y250" i="13"/>
  <c r="Y321" i="13"/>
  <c r="Y1670" i="13"/>
  <c r="Y1021" i="13"/>
  <c r="Y1548" i="13"/>
  <c r="Y462" i="13"/>
  <c r="Y1671" i="13"/>
  <c r="Y1427" i="13"/>
  <c r="Y908" i="13"/>
  <c r="Y410" i="13"/>
  <c r="Y1905" i="13"/>
  <c r="Y1880" i="13"/>
  <c r="Y1381" i="13"/>
  <c r="Y1672" i="13"/>
  <c r="Y24" i="13"/>
  <c r="Y1673" i="13"/>
  <c r="Y1674" i="13"/>
  <c r="Y322" i="13"/>
  <c r="Y1567" i="13"/>
  <c r="Y411" i="13"/>
  <c r="Y1958" i="13"/>
  <c r="Y1675" i="13"/>
  <c r="Y1959" i="13"/>
  <c r="Y579" i="13"/>
  <c r="Y1549" i="13"/>
  <c r="Y1676" i="13"/>
  <c r="Y917" i="13"/>
  <c r="Y1314" i="13"/>
  <c r="Y1464" i="13"/>
  <c r="Y680" i="13"/>
  <c r="Y1356" i="13"/>
  <c r="Y580" i="13"/>
  <c r="Y581" i="13"/>
  <c r="Y486" i="13"/>
  <c r="Y279" i="13"/>
  <c r="Y526" i="13"/>
  <c r="Y1382" i="13"/>
  <c r="Y123" i="13"/>
  <c r="Y1991" i="13"/>
  <c r="Y1906" i="13"/>
  <c r="Y901" i="13"/>
  <c r="Y412" i="13"/>
  <c r="Y1960" i="13"/>
  <c r="Y1465" i="13"/>
  <c r="Y850" i="13"/>
  <c r="Y124" i="13"/>
  <c r="Y851" i="13"/>
  <c r="Y582" i="13"/>
  <c r="Y852" i="13"/>
  <c r="Y1677" i="13"/>
  <c r="Y583" i="13"/>
  <c r="Y1819" i="13"/>
  <c r="Y977" i="13"/>
  <c r="Y1678" i="13"/>
  <c r="Y413" i="13"/>
  <c r="Y1820" i="13"/>
  <c r="Y527" i="13"/>
  <c r="Y584" i="13"/>
  <c r="Y644" i="13"/>
  <c r="Y25" i="13"/>
  <c r="Y1568" i="13"/>
  <c r="Y1428" i="13"/>
  <c r="Y902" i="13"/>
  <c r="Y585" i="13"/>
  <c r="Y1569" i="13"/>
  <c r="Y586" i="13"/>
  <c r="Y1938" i="13"/>
  <c r="Y1679" i="13"/>
  <c r="Y1907" i="13"/>
  <c r="Y463" i="13"/>
  <c r="Y1466" i="13"/>
  <c r="Y414" i="13"/>
  <c r="Y1383" i="13"/>
  <c r="Y1680" i="13"/>
  <c r="Y1022" i="13"/>
  <c r="Y125" i="13"/>
  <c r="Y1384" i="13"/>
  <c r="Y1681" i="13"/>
  <c r="Y498" i="13"/>
  <c r="Y1992" i="13"/>
  <c r="Y1961" i="13"/>
  <c r="Y1908" i="13"/>
  <c r="Y415" i="13"/>
  <c r="Y1682" i="13"/>
  <c r="Y1010" i="13"/>
  <c r="Y389" i="13"/>
  <c r="Y323" i="13"/>
  <c r="Y1385" i="13"/>
  <c r="Y1386" i="13"/>
  <c r="Y1095" i="13"/>
  <c r="Y933" i="13"/>
  <c r="Y126" i="13"/>
  <c r="Y416" i="13"/>
  <c r="Y1550" i="13"/>
  <c r="Y587" i="13"/>
  <c r="Y1570" i="13"/>
  <c r="Y1407" i="13"/>
  <c r="Y934" i="13"/>
  <c r="Y1683" i="13"/>
  <c r="Y417" i="13"/>
  <c r="Y1684" i="13"/>
  <c r="Y681" i="13"/>
  <c r="Y853" i="13"/>
  <c r="Y918" i="13"/>
  <c r="Y1408" i="13"/>
  <c r="Y390" i="13"/>
  <c r="Y1315" i="13"/>
  <c r="Y254" i="13"/>
  <c r="Y1821" i="13"/>
  <c r="Y1685" i="13"/>
  <c r="Y464" i="13"/>
  <c r="Y1595" i="13"/>
  <c r="Y1822" i="13"/>
  <c r="Y455" i="13"/>
  <c r="Y324" i="13"/>
  <c r="Y935" i="13"/>
  <c r="Y418" i="13"/>
  <c r="Y26" i="13"/>
  <c r="Y127" i="13"/>
  <c r="Y1316" i="13"/>
  <c r="Y1519" i="13"/>
  <c r="Y1520" i="13"/>
  <c r="Y1429" i="13"/>
  <c r="Y898" i="13"/>
  <c r="Y325" i="13"/>
  <c r="Y919" i="13"/>
  <c r="Y1934" i="13"/>
  <c r="Y1962" i="13"/>
  <c r="Y1357" i="13"/>
  <c r="Y477" i="13"/>
  <c r="Y588" i="13"/>
  <c r="Y1358" i="13"/>
  <c r="Y1686" i="13"/>
  <c r="Y1571" i="13"/>
  <c r="Y87" i="13"/>
  <c r="Y682" i="13"/>
  <c r="Y1963" i="13"/>
  <c r="Y1359" i="13"/>
  <c r="Y391" i="13"/>
  <c r="Y655" i="13"/>
  <c r="Y683" i="13"/>
  <c r="Y1964" i="13"/>
  <c r="Y1360" i="13"/>
  <c r="Y1596" i="13"/>
  <c r="Y1687" i="13"/>
  <c r="Y439" i="13"/>
  <c r="Y854" i="13"/>
  <c r="Y1572" i="13"/>
  <c r="Y1521" i="13"/>
  <c r="Y978" i="13"/>
  <c r="Y27" i="13"/>
  <c r="Y1823" i="13"/>
  <c r="Y1872" i="13"/>
  <c r="Y589" i="13"/>
  <c r="Y499" i="13"/>
  <c r="Y419" i="13"/>
  <c r="Y832" i="13"/>
  <c r="Y1993" i="13"/>
  <c r="Y1994" i="13"/>
  <c r="Y280" i="13"/>
  <c r="Y1909" i="13"/>
  <c r="Y645" i="13"/>
  <c r="Y1387" i="13"/>
  <c r="Y326" i="13"/>
  <c r="Y903" i="13"/>
  <c r="Y1430" i="13"/>
  <c r="Y327" i="13"/>
  <c r="Y1688" i="13"/>
  <c r="Y936" i="13"/>
  <c r="Y1530" i="13"/>
  <c r="Y1540" i="13"/>
  <c r="Y1910" i="13"/>
  <c r="Y328" i="13"/>
  <c r="Y28" i="13"/>
  <c r="Y329" i="13"/>
  <c r="Y1689" i="13"/>
  <c r="Y1873" i="13"/>
  <c r="Y590" i="13"/>
  <c r="Y1317" i="13"/>
  <c r="Y478" i="13"/>
  <c r="Y1047" i="13"/>
  <c r="Y591" i="13"/>
  <c r="Y1011" i="13"/>
  <c r="Y128" i="13"/>
  <c r="Y330" i="13"/>
  <c r="Y1096" i="13"/>
  <c r="Y1597" i="13"/>
  <c r="Y979" i="13"/>
  <c r="Y920" i="13"/>
  <c r="Y1119" i="13"/>
  <c r="Y989" i="13"/>
  <c r="Y1431" i="13"/>
  <c r="Y684" i="13"/>
  <c r="Y281" i="13"/>
  <c r="Y1965" i="13"/>
  <c r="Y1995" i="13"/>
  <c r="Y1318" i="13"/>
  <c r="Y1824" i="13"/>
  <c r="Y703" i="13"/>
  <c r="Y937" i="13"/>
  <c r="Y1690" i="13"/>
  <c r="Y706" i="13"/>
  <c r="Y1522" i="13"/>
  <c r="Y1598" i="13"/>
  <c r="Y1551" i="13"/>
  <c r="Y1825" i="13"/>
  <c r="Y1935" i="13"/>
  <c r="Y129" i="13"/>
  <c r="Y592" i="13"/>
  <c r="Y1691" i="13"/>
  <c r="Y1388" i="13"/>
  <c r="Y1692" i="13"/>
  <c r="Y331" i="13"/>
  <c r="Y1826" i="13"/>
  <c r="Y1599" i="13"/>
  <c r="Y1600" i="13"/>
  <c r="Y1361" i="13"/>
  <c r="Y1827" i="13"/>
  <c r="Y1828" i="13"/>
  <c r="Y685" i="13"/>
  <c r="Y10" i="13"/>
  <c r="Y1601" i="13"/>
  <c r="Y528" i="13"/>
  <c r="Y420" i="13"/>
  <c r="Y707" i="13"/>
  <c r="Y899" i="13"/>
  <c r="Y332" i="13"/>
  <c r="Y282" i="13"/>
  <c r="Y1829" i="13"/>
  <c r="Y708" i="13"/>
  <c r="Y593" i="13"/>
  <c r="Y594" i="13"/>
  <c r="Y1362" i="13"/>
  <c r="Y595" i="13"/>
  <c r="Y1346" i="13"/>
  <c r="Y596" i="13"/>
  <c r="Y1389" i="13"/>
  <c r="Y333" i="13"/>
  <c r="Y1693" i="13"/>
  <c r="Y717" i="13"/>
  <c r="Y1911" i="13"/>
  <c r="Y1363" i="13"/>
  <c r="Y487" i="13"/>
  <c r="Y1694" i="13"/>
  <c r="Y1966" i="13"/>
  <c r="Y1695" i="13"/>
  <c r="Y656" i="13"/>
  <c r="Y855" i="13"/>
  <c r="Y130" i="13"/>
  <c r="Y1696" i="13"/>
  <c r="Y1523" i="13"/>
  <c r="Y1830" i="13"/>
  <c r="Y856" i="13"/>
  <c r="Y1541" i="13"/>
  <c r="Y597" i="13"/>
  <c r="Y1531" i="13"/>
  <c r="Y1509" i="13"/>
  <c r="Y980" i="13"/>
  <c r="Y657" i="13"/>
  <c r="Y1536" i="13"/>
  <c r="Y529" i="13"/>
  <c r="Y1831" i="13"/>
  <c r="Y421" i="13"/>
  <c r="Y334" i="13"/>
  <c r="Y1126" i="13"/>
  <c r="Y598" i="13"/>
  <c r="Y1502" i="13"/>
  <c r="Y1432" i="13"/>
  <c r="Y1832" i="13"/>
  <c r="Y1015" i="13"/>
  <c r="Y488" i="13"/>
  <c r="Y1537" i="13"/>
  <c r="Y1881" i="13"/>
  <c r="Y1390" i="13"/>
  <c r="Y833" i="13"/>
  <c r="Y1467" i="13"/>
  <c r="Y686" i="13"/>
  <c r="Y921" i="13"/>
  <c r="Y335" i="13"/>
  <c r="Y599" i="13"/>
  <c r="Y1048" i="13"/>
  <c r="Y1012" i="13"/>
  <c r="Y336" i="13"/>
  <c r="Y1833" i="13"/>
  <c r="Y981" i="13"/>
  <c r="Y1409" i="13"/>
  <c r="Y392" i="13"/>
  <c r="Y857" i="13"/>
  <c r="Y393" i="13"/>
  <c r="Y1967" i="13"/>
  <c r="Y337" i="13"/>
  <c r="Y338" i="13"/>
  <c r="Y1996" i="13"/>
  <c r="Y646" i="13"/>
  <c r="Y1510" i="13"/>
  <c r="Y29" i="13"/>
  <c r="Y1524" i="13"/>
  <c r="Y826" i="13"/>
  <c r="Y1968" i="13"/>
  <c r="Y1319" i="13"/>
  <c r="Y1697" i="13"/>
  <c r="Y1912" i="13"/>
  <c r="Y600" i="13"/>
  <c r="Y1834" i="13"/>
  <c r="Y687" i="13"/>
  <c r="Y339" i="13"/>
  <c r="Y1538" i="13"/>
  <c r="Y1120" i="13"/>
  <c r="Y1913" i="13"/>
  <c r="Y1320" i="13"/>
  <c r="Y340" i="13"/>
  <c r="Y132" i="13"/>
  <c r="Y422" i="13"/>
  <c r="Y1698" i="13"/>
  <c r="Y1511" i="13"/>
  <c r="Y938" i="13"/>
  <c r="Y341" i="13"/>
  <c r="Y342" i="13"/>
  <c r="Y922" i="13"/>
  <c r="Y343" i="13"/>
  <c r="Y1914" i="13"/>
  <c r="Y688" i="13"/>
  <c r="Y30" i="13"/>
  <c r="Y858" i="13"/>
  <c r="Y1016" i="13"/>
  <c r="Y1433" i="13"/>
  <c r="Y1969" i="13"/>
  <c r="Y88" i="13"/>
  <c r="Y344" i="13"/>
  <c r="Y345" i="13"/>
  <c r="Y689" i="13"/>
  <c r="Y346" i="13"/>
  <c r="Y347" i="13"/>
  <c r="Y658" i="13"/>
  <c r="Y31" i="13"/>
  <c r="Y1434" i="13"/>
  <c r="Y601" i="13"/>
  <c r="Y859" i="13"/>
  <c r="Y530" i="13"/>
  <c r="Y1699" i="13"/>
  <c r="Y348" i="13"/>
  <c r="Y89" i="13"/>
  <c r="Y1835" i="13"/>
  <c r="Y349" i="13"/>
  <c r="Y602" i="13"/>
  <c r="Y1970" i="13"/>
  <c r="Y1700" i="13"/>
  <c r="Y350" i="13"/>
  <c r="Y1321" i="13"/>
  <c r="Y1971" i="13"/>
  <c r="Y1940" i="13"/>
  <c r="Y283" i="13"/>
  <c r="Y255" i="13"/>
  <c r="Y939" i="13"/>
  <c r="Y1836" i="13"/>
  <c r="Y1525" i="13"/>
  <c r="Y423" i="13"/>
  <c r="Y251" i="13"/>
  <c r="Y1364" i="13"/>
  <c r="Y351" i="13"/>
  <c r="Y424" i="13"/>
  <c r="Y1573" i="13"/>
  <c r="Y1837" i="13"/>
  <c r="Y398" i="13"/>
  <c r="Y603" i="13"/>
  <c r="Y1972" i="13"/>
  <c r="Y1410" i="13"/>
  <c r="Y479" i="13"/>
  <c r="Y352" i="13"/>
  <c r="Y940" i="13"/>
  <c r="Y1602" i="13"/>
  <c r="Y425" i="13"/>
  <c r="Y353" i="13"/>
  <c r="Y982" i="13"/>
  <c r="Y354" i="13"/>
  <c r="Y133" i="13"/>
  <c r="Y134" i="13"/>
  <c r="Y426" i="13"/>
  <c r="Y1701" i="13"/>
  <c r="Y1435" i="13"/>
  <c r="Y1603" i="13"/>
  <c r="Y1574" i="13"/>
  <c r="Y427" i="13"/>
  <c r="Y1604" i="13"/>
  <c r="Y1702" i="13"/>
  <c r="Y1542" i="13"/>
  <c r="Y394" i="13"/>
  <c r="Y1436" i="13"/>
  <c r="Y1915" i="13"/>
  <c r="Y1703" i="13"/>
  <c r="Y355" i="13"/>
  <c r="Y941" i="13"/>
  <c r="Y531" i="13"/>
  <c r="Y32" i="13"/>
  <c r="Y1468" i="13"/>
  <c r="Y1916" i="13"/>
  <c r="Y1469" i="13"/>
  <c r="Y637" i="13"/>
  <c r="Y1391" i="13"/>
  <c r="Y1704" i="13"/>
  <c r="Y604" i="13"/>
  <c r="Y356" i="13"/>
  <c r="Y942" i="13"/>
  <c r="Y1605" i="13"/>
  <c r="Y1838" i="13"/>
  <c r="Y1705" i="13"/>
  <c r="Y605" i="13"/>
  <c r="Y606" i="13"/>
  <c r="Y1049" i="13"/>
  <c r="Y1839" i="13"/>
  <c r="Y1997" i="13"/>
  <c r="Y90" i="13"/>
  <c r="Y1917" i="13"/>
  <c r="Y256" i="13"/>
  <c r="Y33" i="13"/>
  <c r="Y1706" i="13"/>
  <c r="Y1707" i="13"/>
  <c r="Y607" i="13"/>
  <c r="Y690" i="13"/>
  <c r="Y1708" i="13"/>
  <c r="Y1709" i="13"/>
  <c r="Y1470" i="13"/>
  <c r="Y608" i="13"/>
  <c r="Y1918" i="13"/>
  <c r="Y704" i="13"/>
  <c r="Y1411" i="13"/>
  <c r="Y1365" i="13"/>
  <c r="Y1017" i="13"/>
  <c r="Y1000" i="13"/>
  <c r="Y252" i="13"/>
  <c r="Y943" i="13"/>
  <c r="Y983" i="13"/>
  <c r="Y1013" i="13"/>
  <c r="Y1471" i="13"/>
  <c r="Y609" i="13"/>
  <c r="Y610" i="13"/>
  <c r="Y1973" i="13"/>
  <c r="Y1532" i="13"/>
  <c r="Y1710" i="13"/>
  <c r="Y984" i="13"/>
  <c r="Y1974" i="13"/>
  <c r="Y34" i="13"/>
  <c r="Y428" i="13"/>
  <c r="Y480" i="13"/>
  <c r="Y1575" i="13"/>
  <c r="Y1975" i="13"/>
  <c r="Y647" i="13"/>
  <c r="Y284" i="13"/>
  <c r="Y1711" i="13"/>
  <c r="Y1712" i="13"/>
  <c r="Y1713" i="13"/>
  <c r="Y691" i="13"/>
  <c r="Y1322" i="13"/>
  <c r="Y1874" i="13"/>
  <c r="Y1412" i="13"/>
  <c r="Y257" i="13"/>
  <c r="Y1714" i="13"/>
  <c r="Y429" i="13"/>
  <c r="Y1715" i="13"/>
  <c r="Y860" i="13"/>
  <c r="Y1606" i="13"/>
  <c r="Y648" i="13"/>
  <c r="Y430" i="13"/>
  <c r="Y1976" i="13"/>
  <c r="Y1716" i="13"/>
  <c r="Y481" i="13"/>
  <c r="Y1323" i="13"/>
  <c r="Y135" i="13"/>
  <c r="Y692" i="13"/>
  <c r="Y285" i="13"/>
  <c r="Y357" i="13"/>
  <c r="Y1977" i="13"/>
  <c r="Y611" i="13"/>
  <c r="Y258" i="13"/>
  <c r="Y456" i="13"/>
  <c r="Y634" i="13"/>
  <c r="Y399" i="13"/>
  <c r="Y861" i="13"/>
  <c r="Y1607" i="13"/>
  <c r="Y358" i="13"/>
  <c r="Y1023" i="13"/>
  <c r="Y286" i="13"/>
  <c r="Y1717" i="13"/>
  <c r="Y612" i="13"/>
  <c r="Y1127" i="13"/>
  <c r="Y1608" i="13"/>
  <c r="Y613" i="13"/>
  <c r="Y1324" i="13"/>
  <c r="Y1366" i="13"/>
  <c r="Y1718" i="13"/>
  <c r="Y35" i="13"/>
  <c r="Y1719" i="13"/>
  <c r="Y614" i="13"/>
  <c r="Y862" i="13"/>
  <c r="Y36" i="13"/>
  <c r="Y863" i="13"/>
  <c r="Y1609" i="13"/>
  <c r="Y944" i="13"/>
  <c r="Y1919" i="13"/>
  <c r="Y1720" i="13"/>
  <c r="Y1367" i="13"/>
  <c r="Y615" i="13"/>
  <c r="Y482" i="13"/>
  <c r="Y1325" i="13"/>
  <c r="Y1121" i="13"/>
  <c r="Y649" i="13"/>
  <c r="Y431" i="13"/>
  <c r="Y457" i="13"/>
  <c r="Y500" i="13"/>
  <c r="Y489" i="13"/>
  <c r="Y1978" i="13"/>
  <c r="Y616" i="13"/>
  <c r="Y1920" i="13"/>
  <c r="Y1721" i="13"/>
  <c r="Y359" i="13"/>
  <c r="Y617" i="13"/>
  <c r="Y1722" i="13"/>
  <c r="Y659" i="13"/>
  <c r="Y693" i="13"/>
  <c r="Y136" i="13"/>
  <c r="Y1122" i="13"/>
  <c r="Y360" i="13"/>
  <c r="Y1723" i="13"/>
  <c r="Y91" i="13"/>
  <c r="Y287" i="13"/>
  <c r="Y432" i="13"/>
  <c r="Y1724" i="13"/>
  <c r="Y985" i="13"/>
  <c r="Y288" i="13"/>
  <c r="Y1939" i="13"/>
  <c r="Y289" i="13"/>
  <c r="Y1725" i="13"/>
  <c r="Y1726" i="13"/>
  <c r="Y1413" i="13"/>
  <c r="Y1941" i="13"/>
  <c r="Y1472" i="13"/>
  <c r="Y864" i="13"/>
  <c r="Y1979" i="13"/>
  <c r="Y1576" i="13"/>
  <c r="Y1392" i="13"/>
  <c r="Y1437" i="13"/>
  <c r="Y1921" i="13"/>
  <c r="Y865" i="13"/>
  <c r="Y1610" i="13"/>
  <c r="Y361" i="13"/>
  <c r="Y137" i="13"/>
  <c r="Y1727" i="13"/>
  <c r="Y362" i="13"/>
  <c r="Y1728" i="13"/>
  <c r="Y1543" i="13"/>
  <c r="Y1729" i="13"/>
  <c r="Y1473" i="13"/>
  <c r="Y363" i="13"/>
  <c r="Y1875" i="13"/>
  <c r="Y1544" i="13"/>
  <c r="Y1533" i="13"/>
  <c r="Y433" i="13"/>
  <c r="Y1922" i="13"/>
  <c r="Y904" i="13"/>
  <c r="Y364" i="13"/>
  <c r="Y138" i="13"/>
  <c r="Y1393" i="13"/>
  <c r="Y650" i="13"/>
  <c r="Y1326" i="13"/>
  <c r="Y1730" i="13"/>
  <c r="Y365" i="13"/>
  <c r="Y37" i="13"/>
  <c r="Y1876" i="13"/>
  <c r="Y1882" i="13"/>
  <c r="Y1731" i="13"/>
  <c r="Y139" i="13"/>
  <c r="Y866" i="13"/>
  <c r="Y140" i="13"/>
  <c r="Y1732" i="13"/>
  <c r="Y1733" i="13"/>
  <c r="Y1438" i="13"/>
  <c r="Y38" i="13"/>
  <c r="Y618" i="13"/>
  <c r="Y1611" i="13"/>
  <c r="Y945" i="13"/>
  <c r="Y1439" i="13"/>
  <c r="Y1840" i="13"/>
  <c r="Y1534" i="13"/>
  <c r="Y1512" i="13"/>
  <c r="Y1612" i="13"/>
  <c r="Y1613" i="13"/>
  <c r="Y1394" i="13"/>
  <c r="Y1128" i="13"/>
  <c r="Y946" i="13"/>
  <c r="Y141" i="13"/>
  <c r="Y1841" i="13"/>
  <c r="Y1923" i="13"/>
  <c r="Y1980" i="13"/>
  <c r="Y1842" i="13"/>
  <c r="Y532" i="13"/>
  <c r="Y366" i="13"/>
  <c r="Y1843" i="13"/>
  <c r="Y367" i="13"/>
  <c r="Y1014" i="13"/>
  <c r="Y1734" i="13"/>
  <c r="Y1368" i="13"/>
  <c r="Y368" i="13"/>
  <c r="Y490" i="13"/>
  <c r="Y1998" i="13"/>
  <c r="Y1347" i="13"/>
  <c r="Y867" i="13"/>
  <c r="Y1735" i="13"/>
  <c r="Y1924" i="13"/>
  <c r="Y1844" i="13"/>
  <c r="Y1440" i="13"/>
  <c r="Y1736" i="13"/>
  <c r="Y1981" i="13"/>
  <c r="Y491" i="13"/>
  <c r="Y1526" i="13"/>
  <c r="Y369" i="13"/>
  <c r="Y1925" i="13"/>
  <c r="Y1050" i="13"/>
  <c r="Y619" i="13"/>
  <c r="Y92" i="13"/>
  <c r="Y142" i="13"/>
  <c r="Y694" i="13"/>
  <c r="Y370" i="13"/>
  <c r="Y39" i="13"/>
  <c r="Y1737" i="13"/>
  <c r="Y620" i="13"/>
  <c r="Y434" i="13"/>
  <c r="Y435" i="13"/>
  <c r="Y143" i="13"/>
  <c r="Y1614" i="13"/>
  <c r="Y40" i="13"/>
  <c r="Y1441" i="13"/>
  <c r="Y1738" i="13"/>
  <c r="Y371" i="13"/>
  <c r="Y1982" i="13"/>
  <c r="Y533" i="13"/>
  <c r="Y1474" i="13"/>
  <c r="Y1845" i="13"/>
  <c r="Y1926" i="13"/>
  <c r="Y144" i="13"/>
  <c r="Y1327" i="13"/>
  <c r="Y868" i="13"/>
  <c r="Y1983" i="13"/>
  <c r="Y41" i="13"/>
  <c r="Y372" i="13"/>
  <c r="Y1739" i="13"/>
  <c r="Y635" i="13"/>
  <c r="Y373" i="13"/>
  <c r="Y1475" i="13"/>
  <c r="Y374" i="13"/>
  <c r="Y1740" i="13"/>
  <c r="Y1442" i="13"/>
  <c r="Y1846" i="13"/>
  <c r="Y947" i="13"/>
  <c r="Y1741" i="13"/>
  <c r="Y1369" i="13"/>
  <c r="Y1847" i="13"/>
  <c r="Y1110" i="13"/>
  <c r="Y834" i="13"/>
  <c r="Y1503" i="13"/>
  <c r="Y1927" i="13"/>
  <c r="Y1984" i="13"/>
  <c r="Y1527" i="13"/>
  <c r="Y1106" i="13"/>
  <c r="Y1395" i="13"/>
  <c r="Y1396" i="13"/>
  <c r="Y1397" i="13"/>
  <c r="Y1443" i="13"/>
  <c r="Y42" i="13"/>
  <c r="Y1348" i="13"/>
  <c r="Y923" i="13"/>
  <c r="Y1883" i="13"/>
  <c r="Y375" i="13"/>
  <c r="Y1742" i="13"/>
  <c r="Y830" i="13"/>
  <c r="Y948" i="13"/>
  <c r="Y436" i="13"/>
  <c r="Y1743" i="13"/>
  <c r="Y1398" i="13"/>
  <c r="Y93" i="13"/>
  <c r="Y1098" i="13"/>
  <c r="Y1328" i="13"/>
  <c r="Y458" i="13"/>
  <c r="Y695" i="13"/>
  <c r="Y1848" i="13"/>
  <c r="Y1744" i="13"/>
  <c r="Y534" i="13"/>
  <c r="Y459" i="13"/>
  <c r="Y696" i="13"/>
  <c r="Y43" i="13"/>
  <c r="Y1024" i="13"/>
  <c r="Y1745" i="13"/>
  <c r="Y1545" i="13"/>
  <c r="Y1849" i="13"/>
  <c r="Y395" i="13"/>
  <c r="Y1936" i="13"/>
  <c r="Y376" i="13"/>
  <c r="Y492" i="13"/>
  <c r="Y1577" i="13"/>
  <c r="Y1399" i="13"/>
  <c r="Y290" i="13"/>
  <c r="Y1615" i="13"/>
  <c r="Y396" i="13"/>
  <c r="Y1884" i="13"/>
  <c r="Y1476" i="13"/>
  <c r="Y145" i="13"/>
  <c r="Y621" i="13"/>
  <c r="Y622" i="13"/>
  <c r="Y1746" i="13"/>
  <c r="Y697" i="13"/>
  <c r="Y1885" i="13"/>
  <c r="Y651" i="13"/>
  <c r="Y377" i="13"/>
  <c r="Y44" i="13"/>
  <c r="Y1444" i="13"/>
  <c r="Y698" i="13"/>
  <c r="Y1747" i="13"/>
  <c r="Y869" i="13"/>
  <c r="Y1370" i="13"/>
  <c r="Y1414" i="13"/>
  <c r="Y1504" i="13"/>
  <c r="Y1415" i="13"/>
  <c r="Y1505" i="13"/>
  <c r="Y1850" i="13"/>
  <c r="Y460" i="13"/>
  <c r="Y1851" i="13"/>
  <c r="Y986" i="13"/>
  <c r="Y378" i="13"/>
  <c r="Y45" i="13"/>
  <c r="Y1748" i="13"/>
  <c r="Y465" i="13"/>
  <c r="Y146" i="13"/>
  <c r="Y1528" i="13"/>
  <c r="Y1928" i="13"/>
  <c r="Y1616" i="13"/>
  <c r="Y870" i="13"/>
  <c r="Y1749" i="13"/>
  <c r="Y1750" i="13"/>
  <c r="Y709" i="13"/>
  <c r="Y1129" i="13"/>
  <c r="Y291" i="13"/>
  <c r="Y900" i="13"/>
  <c r="Y1123" i="13"/>
  <c r="Y871" i="13"/>
  <c r="Y147" i="13"/>
  <c r="Y437" i="13"/>
  <c r="Y292" i="13"/>
  <c r="Y1617" i="13"/>
  <c r="Y1999" i="13"/>
  <c r="Y1371" i="13"/>
  <c r="Y1416" i="13"/>
  <c r="Y1751" i="13"/>
  <c r="Y1929" i="13"/>
  <c r="Y1578" i="13"/>
  <c r="Y148" i="13"/>
  <c r="Y1985" i="13"/>
  <c r="Y1752" i="13"/>
  <c r="Y46" i="13"/>
  <c r="Y623" i="13"/>
  <c r="Y1477" i="13"/>
  <c r="Y1417" i="13"/>
  <c r="Y1753" i="13"/>
  <c r="Y461" i="13"/>
  <c r="Y1986" i="13"/>
  <c r="Y2000" i="13"/>
  <c r="Y379" i="13"/>
  <c r="Y397" i="13"/>
  <c r="Y380" i="13"/>
  <c r="Y1400" i="13"/>
  <c r="Y493" i="13"/>
  <c r="Y494" i="13"/>
  <c r="Y381" i="13"/>
  <c r="Y382" i="13"/>
  <c r="Y652" i="13"/>
  <c r="Y1930" i="13"/>
  <c r="Y872" i="13"/>
  <c r="Y873" i="13"/>
  <c r="Y624" i="13"/>
  <c r="Y535" i="13"/>
  <c r="Y1552" i="13"/>
  <c r="Y949" i="13"/>
  <c r="Y1754" i="13"/>
  <c r="Y466" i="13"/>
  <c r="Y1372" i="13"/>
  <c r="Y273" i="13"/>
  <c r="Y625" i="13"/>
  <c r="Y1478" i="13"/>
  <c r="Y1618" i="13"/>
  <c r="Y1886" i="13"/>
  <c r="Y1579" i="13"/>
  <c r="Y626" i="13"/>
  <c r="Y1755" i="13"/>
  <c r="Y627" i="13"/>
  <c r="Y1130" i="13"/>
  <c r="Y1445" i="13"/>
  <c r="Y1329" i="13"/>
  <c r="Y1756" i="13"/>
  <c r="Y628" i="13"/>
  <c r="Y438" i="13"/>
  <c r="Y660" i="13"/>
  <c r="Y94" i="13"/>
  <c r="Y1757" i="13"/>
  <c r="Y629" i="13"/>
  <c r="Y1418" i="13"/>
  <c r="Y874" i="13"/>
  <c r="Y630" i="13"/>
  <c r="Y383" i="13"/>
  <c r="Y149" i="13"/>
  <c r="Y1931" i="13"/>
  <c r="Y1619" i="13"/>
  <c r="Y384" i="13"/>
  <c r="Y631" i="13"/>
  <c r="Y1758" i="13"/>
  <c r="Y1759" i="13"/>
  <c r="Y47" i="13"/>
  <c r="I648" i="13"/>
  <c r="I1177" i="13"/>
  <c r="I1592" i="13"/>
  <c r="I265" i="13"/>
  <c r="I1030" i="13"/>
  <c r="I588" i="13"/>
  <c r="I1879" i="13"/>
  <c r="I1880" i="13"/>
  <c r="I1672" i="13"/>
  <c r="I589" i="13"/>
  <c r="I2245" i="13"/>
  <c r="I1006" i="13"/>
  <c r="I1126" i="13"/>
  <c r="I1178" i="13"/>
  <c r="I195" i="13"/>
  <c r="I1673" i="13"/>
  <c r="I138" i="13"/>
  <c r="I649" i="13"/>
  <c r="I1179" i="13"/>
  <c r="I196" i="13"/>
  <c r="I1881" i="13"/>
  <c r="I958" i="13"/>
  <c r="I824" i="13"/>
  <c r="I2318" i="13"/>
  <c r="I590" i="13"/>
  <c r="I1519" i="13"/>
  <c r="I1882" i="13"/>
  <c r="I2383" i="13"/>
  <c r="I731" i="13"/>
  <c r="I59" i="13"/>
  <c r="I266" i="13"/>
  <c r="I267" i="13"/>
  <c r="I1883" i="13"/>
  <c r="I1180" i="13"/>
  <c r="I825" i="13"/>
  <c r="I139" i="13"/>
  <c r="I2172" i="13"/>
  <c r="I140" i="13"/>
  <c r="I2363" i="13"/>
  <c r="I1884" i="13"/>
  <c r="I1674" i="13"/>
  <c r="I44" i="13"/>
  <c r="I1092" i="13"/>
  <c r="I110" i="13"/>
  <c r="I591" i="13"/>
  <c r="I268" i="13"/>
  <c r="I1744" i="13"/>
  <c r="I592" i="13"/>
  <c r="I111" i="13"/>
  <c r="I269" i="13"/>
  <c r="I1181" i="13"/>
  <c r="I1885" i="13"/>
  <c r="I1182" i="13"/>
  <c r="I1813" i="13"/>
  <c r="I197" i="13"/>
  <c r="I1789" i="13"/>
  <c r="I1745" i="13"/>
  <c r="I826" i="13"/>
  <c r="I2173" i="13"/>
  <c r="I270" i="13"/>
  <c r="I2246" i="13"/>
  <c r="I827" i="13"/>
  <c r="I1415" i="13"/>
  <c r="I828" i="13"/>
  <c r="I271" i="13"/>
  <c r="I1183" i="13"/>
  <c r="I526" i="13"/>
  <c r="I1886" i="13"/>
  <c r="I1127" i="13"/>
  <c r="I60" i="13"/>
  <c r="I959" i="13"/>
  <c r="I1803" i="13"/>
  <c r="I1814" i="13"/>
  <c r="I1077" i="13"/>
  <c r="I2384" i="13"/>
  <c r="I1416" i="13"/>
  <c r="I732" i="13"/>
  <c r="I650" i="13"/>
  <c r="I2133" i="13"/>
  <c r="I1887" i="13"/>
  <c r="I2385" i="13"/>
  <c r="I8" i="13"/>
  <c r="I2174" i="13"/>
  <c r="I1184" i="13"/>
  <c r="I1508" i="13"/>
  <c r="I902" i="13"/>
  <c r="I1467" i="13"/>
  <c r="I272" i="13"/>
  <c r="I112" i="13"/>
  <c r="I198" i="13"/>
  <c r="I199" i="13"/>
  <c r="I1561" i="13"/>
  <c r="I651" i="13"/>
  <c r="I677" i="13"/>
  <c r="I113" i="13"/>
  <c r="I1185" i="13"/>
  <c r="I678" i="13"/>
  <c r="I1007" i="13"/>
  <c r="I1186" i="13"/>
  <c r="I577" i="13"/>
  <c r="I2247" i="13"/>
  <c r="I557" i="13"/>
  <c r="I1187" i="13"/>
  <c r="I1434" i="13"/>
  <c r="I1435" i="13"/>
  <c r="I1188" i="13"/>
  <c r="I200" i="13"/>
  <c r="I1746" i="13"/>
  <c r="I2319" i="13"/>
  <c r="I593" i="13"/>
  <c r="I1562" i="13"/>
  <c r="I179" i="13"/>
  <c r="I1189" i="13"/>
  <c r="I1008" i="13"/>
  <c r="I1093" i="13"/>
  <c r="I1675" i="13"/>
  <c r="I2233" i="13"/>
  <c r="I273" i="13"/>
  <c r="I1190" i="13"/>
  <c r="I1051" i="13"/>
  <c r="I1888" i="13"/>
  <c r="I771" i="13"/>
  <c r="I1889" i="13"/>
  <c r="I2279" i="13"/>
  <c r="I201" i="13"/>
  <c r="I803" i="13"/>
  <c r="I61" i="13"/>
  <c r="I1191" i="13"/>
  <c r="I1192" i="13"/>
  <c r="I461" i="13"/>
  <c r="I1747" i="13"/>
  <c r="I274" i="13"/>
  <c r="I62" i="13"/>
  <c r="I1890" i="13"/>
  <c r="I275" i="13"/>
  <c r="I2218" i="13"/>
  <c r="I1489" i="13"/>
  <c r="I2386" i="13"/>
  <c r="I1891" i="13"/>
  <c r="I45" i="13"/>
  <c r="I1193" i="13"/>
  <c r="I141" i="13"/>
  <c r="I1815" i="13"/>
  <c r="I1892" i="13"/>
  <c r="I2248" i="13"/>
  <c r="I1748" i="13"/>
  <c r="I2249" i="13"/>
  <c r="I2175" i="13"/>
  <c r="I578" i="13"/>
  <c r="I1194" i="13"/>
  <c r="I180" i="13"/>
  <c r="I1816" i="13"/>
  <c r="I2134" i="13"/>
  <c r="I1195" i="13"/>
  <c r="I679" i="13"/>
  <c r="I652" i="13"/>
  <c r="I276" i="13"/>
  <c r="I1389" i="13"/>
  <c r="I1893" i="13"/>
  <c r="I829" i="13"/>
  <c r="I1642" i="13"/>
  <c r="I1536" i="13"/>
  <c r="I960" i="13"/>
  <c r="I1817" i="13"/>
  <c r="I105" i="13"/>
  <c r="I594" i="13"/>
  <c r="I903" i="13"/>
  <c r="I462" i="13"/>
  <c r="I2320" i="13"/>
  <c r="I1009" i="13"/>
  <c r="I2280" i="13"/>
  <c r="I1436" i="13"/>
  <c r="I1437" i="13"/>
  <c r="I1196" i="13"/>
  <c r="I277" i="13"/>
  <c r="I1197" i="13"/>
  <c r="I1818" i="13"/>
  <c r="I653" i="13"/>
  <c r="I2387" i="13"/>
  <c r="I1894" i="13"/>
  <c r="I1490" i="13"/>
  <c r="I2462" i="13"/>
  <c r="I1895" i="13"/>
  <c r="I463" i="13"/>
  <c r="I464" i="13"/>
  <c r="I1896" i="13"/>
  <c r="I733" i="13"/>
  <c r="I749" i="13"/>
  <c r="I63" i="13"/>
  <c r="I64" i="13"/>
  <c r="I465" i="13"/>
  <c r="I1897" i="13"/>
  <c r="I961" i="13"/>
  <c r="I65" i="13"/>
  <c r="I1094" i="13"/>
  <c r="I595" i="13"/>
  <c r="I1749" i="13"/>
  <c r="I114" i="13"/>
  <c r="I1898" i="13"/>
  <c r="I278" i="13"/>
  <c r="I1593" i="13"/>
  <c r="I38" i="13"/>
  <c r="I1438" i="13"/>
  <c r="I2388" i="13"/>
  <c r="I115" i="13"/>
  <c r="I1724" i="13"/>
  <c r="I1383" i="13"/>
  <c r="I2176" i="13"/>
  <c r="I2177" i="13"/>
  <c r="I1198" i="13"/>
  <c r="I1537" i="13"/>
  <c r="I1899" i="13"/>
  <c r="I15" i="13"/>
  <c r="I1520" i="13"/>
  <c r="I1900" i="13"/>
  <c r="I1468" i="13"/>
  <c r="I181" i="13"/>
  <c r="I1052" i="13"/>
  <c r="I1901" i="13"/>
  <c r="I962" i="13"/>
  <c r="I66" i="13"/>
  <c r="I279" i="13"/>
  <c r="I202" i="13"/>
  <c r="I1676" i="13"/>
  <c r="I1819" i="13"/>
  <c r="I1199" i="13"/>
  <c r="I1902" i="13"/>
  <c r="I1624" i="13"/>
  <c r="I527" i="13"/>
  <c r="I2321" i="13"/>
  <c r="I1390" i="13"/>
  <c r="I116" i="13"/>
  <c r="I142" i="13"/>
  <c r="I1594" i="13"/>
  <c r="I280" i="13"/>
  <c r="I2389" i="13"/>
  <c r="I2135" i="13"/>
  <c r="I1625" i="13"/>
  <c r="I2178" i="13"/>
  <c r="I203" i="13"/>
  <c r="I1820" i="13"/>
  <c r="I596" i="13"/>
  <c r="I1406" i="13"/>
  <c r="I1903" i="13"/>
  <c r="I1677" i="13"/>
  <c r="I117" i="13"/>
  <c r="I1750" i="13"/>
  <c r="I2390" i="13"/>
  <c r="I2234" i="13"/>
  <c r="I1417" i="13"/>
  <c r="I1538" i="13"/>
  <c r="I1821" i="13"/>
  <c r="I2250" i="13"/>
  <c r="I2391" i="13"/>
  <c r="I1904" i="13"/>
  <c r="I1200" i="13"/>
  <c r="I118" i="13"/>
  <c r="I904" i="13"/>
  <c r="I1418" i="13"/>
  <c r="I804" i="13"/>
  <c r="I1010" i="13"/>
  <c r="I281" i="13"/>
  <c r="I2219" i="13"/>
  <c r="I1095" i="13"/>
  <c r="I830" i="13"/>
  <c r="I993" i="13"/>
  <c r="I1905" i="13"/>
  <c r="I466" i="13"/>
  <c r="I1096" i="13"/>
  <c r="I1410" i="13"/>
  <c r="I1822" i="13"/>
  <c r="I2179" i="13"/>
  <c r="I282" i="13"/>
  <c r="I2392" i="13"/>
  <c r="I1053" i="13"/>
  <c r="I1419" i="13"/>
  <c r="I204" i="13"/>
  <c r="I1751" i="13"/>
  <c r="I1906" i="13"/>
  <c r="I528" i="13"/>
  <c r="I1139" i="13"/>
  <c r="I1907" i="13"/>
  <c r="I805" i="13"/>
  <c r="I2180" i="13"/>
  <c r="I2251" i="13"/>
  <c r="I1078" i="13"/>
  <c r="I1201" i="13"/>
  <c r="I119" i="13"/>
  <c r="I1491" i="13"/>
  <c r="I2181" i="13"/>
  <c r="I467" i="13"/>
  <c r="I283" i="13"/>
  <c r="I2393" i="13"/>
  <c r="I529" i="13"/>
  <c r="I1011" i="13"/>
  <c r="I1595" i="13"/>
  <c r="I1752" i="13"/>
  <c r="I1908" i="13"/>
  <c r="I1909" i="13"/>
  <c r="I1721" i="13"/>
  <c r="I1509" i="13"/>
  <c r="I284" i="13"/>
  <c r="I285" i="13"/>
  <c r="I750" i="13"/>
  <c r="I182" i="13"/>
  <c r="I1910" i="13"/>
  <c r="I1643" i="13"/>
  <c r="I597" i="13"/>
  <c r="I994" i="13"/>
  <c r="I1202" i="13"/>
  <c r="I1911" i="13"/>
  <c r="I2252" i="13"/>
  <c r="I1912" i="13"/>
  <c r="I286" i="13"/>
  <c r="I2322" i="13"/>
  <c r="I2281" i="13"/>
  <c r="I287" i="13"/>
  <c r="I963" i="13"/>
  <c r="I2220" i="13"/>
  <c r="I26" i="13"/>
  <c r="I288" i="13"/>
  <c r="I2394" i="13"/>
  <c r="I205" i="13"/>
  <c r="I120" i="13"/>
  <c r="I1041" i="13"/>
  <c r="I905" i="13"/>
  <c r="I1626" i="13"/>
  <c r="I206" i="13"/>
  <c r="I831" i="13"/>
  <c r="I1913" i="13"/>
  <c r="I1678" i="13"/>
  <c r="I1140" i="13"/>
  <c r="I67" i="13"/>
  <c r="I787" i="13"/>
  <c r="I1914" i="13"/>
  <c r="I1679" i="13"/>
  <c r="I1823" i="13"/>
  <c r="I39" i="13"/>
  <c r="I1644" i="13"/>
  <c r="I289" i="13"/>
  <c r="I1596" i="13"/>
  <c r="I68" i="13"/>
  <c r="I1824" i="13"/>
  <c r="I16" i="13"/>
  <c r="I207" i="13"/>
  <c r="I964" i="13"/>
  <c r="I1203" i="13"/>
  <c r="I468" i="13"/>
  <c r="I1915" i="13"/>
  <c r="I69" i="13"/>
  <c r="I1916" i="13"/>
  <c r="I906" i="13"/>
  <c r="I1492" i="13"/>
  <c r="I1597" i="13"/>
  <c r="I2463" i="13"/>
  <c r="I1539" i="13"/>
  <c r="I1598" i="13"/>
  <c r="I1753" i="13"/>
  <c r="I2253" i="13"/>
  <c r="I290" i="13"/>
  <c r="I530" i="13"/>
  <c r="I832" i="13"/>
  <c r="I1917" i="13"/>
  <c r="I1204" i="13"/>
  <c r="I1054" i="13"/>
  <c r="I772" i="13"/>
  <c r="I208" i="13"/>
  <c r="I143" i="13"/>
  <c r="I291" i="13"/>
  <c r="I1918" i="13"/>
  <c r="I209" i="13"/>
  <c r="I1825" i="13"/>
  <c r="I690" i="13"/>
  <c r="I1205" i="13"/>
  <c r="I1919" i="13"/>
  <c r="I210" i="13"/>
  <c r="I1680" i="13"/>
  <c r="I1411" i="13"/>
  <c r="I2395" i="13"/>
  <c r="I292" i="13"/>
  <c r="I1439" i="13"/>
  <c r="I1055" i="13"/>
  <c r="I293" i="13"/>
  <c r="I1920" i="13"/>
  <c r="I680" i="13"/>
  <c r="I70" i="13"/>
  <c r="I700" i="13"/>
  <c r="I833" i="13"/>
  <c r="I1645" i="13"/>
  <c r="I734" i="13"/>
  <c r="I928" i="13"/>
  <c r="I1627" i="13"/>
  <c r="I1563" i="13"/>
  <c r="I2254" i="13"/>
  <c r="I294" i="13"/>
  <c r="I929" i="13"/>
  <c r="I1921" i="13"/>
  <c r="I751" i="13"/>
  <c r="I1440" i="13"/>
  <c r="I1540" i="13"/>
  <c r="I2305" i="13"/>
  <c r="I1754" i="13"/>
  <c r="I1175" i="13"/>
  <c r="I681" i="13"/>
  <c r="I2323" i="13"/>
  <c r="I211" i="13"/>
  <c r="I2324" i="13"/>
  <c r="I1541" i="13"/>
  <c r="I654" i="13"/>
  <c r="I183" i="13"/>
  <c r="I834" i="13"/>
  <c r="I1790" i="13"/>
  <c r="I930" i="13"/>
  <c r="I469" i="13"/>
  <c r="I931" i="13"/>
  <c r="I2396" i="13"/>
  <c r="I655" i="13"/>
  <c r="I1469" i="13"/>
  <c r="I295" i="13"/>
  <c r="I212" i="13"/>
  <c r="I1628" i="13"/>
  <c r="I296" i="13"/>
  <c r="I1206" i="13"/>
  <c r="I2282" i="13"/>
  <c r="I1420" i="13"/>
  <c r="I2255" i="13"/>
  <c r="I1599" i="13"/>
  <c r="I1922" i="13"/>
  <c r="I297" i="13"/>
  <c r="I1441" i="13"/>
  <c r="I1207" i="13"/>
  <c r="I1208" i="13"/>
  <c r="I1923" i="13"/>
  <c r="I213" i="13"/>
  <c r="I1924" i="13"/>
  <c r="I1681" i="13"/>
  <c r="I470" i="13"/>
  <c r="I788" i="13"/>
  <c r="I298" i="13"/>
  <c r="I1925" i="13"/>
  <c r="I471" i="13"/>
  <c r="I1926" i="13"/>
  <c r="I907" i="13"/>
  <c r="I1682" i="13"/>
  <c r="I299" i="13"/>
  <c r="I2136" i="13"/>
  <c r="I1141" i="13"/>
  <c r="I2182" i="13"/>
  <c r="I2397" i="13"/>
  <c r="I717" i="13"/>
  <c r="I2137" i="13"/>
  <c r="I1927" i="13"/>
  <c r="I184" i="13"/>
  <c r="I598" i="13"/>
  <c r="I1056" i="13"/>
  <c r="I1209" i="13"/>
  <c r="I46" i="13"/>
  <c r="I300" i="13"/>
  <c r="I1646" i="13"/>
  <c r="I599" i="13"/>
  <c r="I735" i="13"/>
  <c r="I1683" i="13"/>
  <c r="I2398" i="13"/>
  <c r="I1521" i="13"/>
  <c r="I736" i="13"/>
  <c r="I301" i="13"/>
  <c r="I1928" i="13"/>
  <c r="I2306" i="13"/>
  <c r="I1684" i="13"/>
  <c r="I472" i="13"/>
  <c r="I806" i="13"/>
  <c r="I302" i="13"/>
  <c r="I1564" i="13"/>
  <c r="I214" i="13"/>
  <c r="I144" i="13"/>
  <c r="I2307" i="13"/>
  <c r="I1600" i="13"/>
  <c r="I600" i="13"/>
  <c r="I965" i="13"/>
  <c r="I579" i="13"/>
  <c r="I215" i="13"/>
  <c r="I2399" i="13"/>
  <c r="I303" i="13"/>
  <c r="I1755" i="13"/>
  <c r="I1210" i="13"/>
  <c r="I1929" i="13"/>
  <c r="I2325" i="13"/>
  <c r="I2294" i="13"/>
  <c r="I1142" i="13"/>
  <c r="I71" i="13"/>
  <c r="I1930" i="13"/>
  <c r="I752" i="13"/>
  <c r="I2400" i="13"/>
  <c r="I656" i="13"/>
  <c r="I304" i="13"/>
  <c r="I1756" i="13"/>
  <c r="I2401" i="13"/>
  <c r="I701" i="13"/>
  <c r="I702" i="13"/>
  <c r="I1931" i="13"/>
  <c r="I10" i="13"/>
  <c r="I1542" i="13"/>
  <c r="I1932" i="13"/>
  <c r="I1034" i="13"/>
  <c r="I305" i="13"/>
  <c r="I306" i="13"/>
  <c r="I72" i="13"/>
  <c r="I1565" i="13"/>
  <c r="I1042" i="13"/>
  <c r="I1757" i="13"/>
  <c r="I1057" i="13"/>
  <c r="I1601" i="13"/>
  <c r="I145" i="13"/>
  <c r="I307" i="13"/>
  <c r="I1012" i="13"/>
  <c r="I1013" i="13"/>
  <c r="I1933" i="13"/>
  <c r="I1566" i="13"/>
  <c r="I601" i="13"/>
  <c r="I1211" i="13"/>
  <c r="I932" i="13"/>
  <c r="I807" i="13"/>
  <c r="I1212" i="13"/>
  <c r="I531" i="13"/>
  <c r="I835" i="13"/>
  <c r="I185" i="13"/>
  <c r="I580" i="13"/>
  <c r="I602" i="13"/>
  <c r="I1058" i="13"/>
  <c r="I308" i="13"/>
  <c r="I309" i="13"/>
  <c r="I1384" i="13"/>
  <c r="I603" i="13"/>
  <c r="I1143" i="13"/>
  <c r="I1934" i="13"/>
  <c r="I657" i="13"/>
  <c r="I1059" i="13"/>
  <c r="I1412" i="13"/>
  <c r="I1391" i="13"/>
  <c r="I1804" i="13"/>
  <c r="I2402" i="13"/>
  <c r="I310" i="13"/>
  <c r="I311" i="13"/>
  <c r="I312" i="13"/>
  <c r="I1567" i="13"/>
  <c r="I1543" i="13"/>
  <c r="I2403" i="13"/>
  <c r="I2404" i="13"/>
  <c r="I1629" i="13"/>
  <c r="I908" i="13"/>
  <c r="I1060" i="13"/>
  <c r="I1935" i="13"/>
  <c r="I473" i="13"/>
  <c r="I1510" i="13"/>
  <c r="I933" i="13"/>
  <c r="I995" i="13"/>
  <c r="I1511" i="13"/>
  <c r="I1079" i="13"/>
  <c r="I216" i="13"/>
  <c r="I2405" i="13"/>
  <c r="I121" i="13"/>
  <c r="I1213" i="13"/>
  <c r="I1805" i="13"/>
  <c r="I691" i="13"/>
  <c r="I604" i="13"/>
  <c r="I1936" i="13"/>
  <c r="I1937" i="13"/>
  <c r="I1938" i="13"/>
  <c r="I1939" i="13"/>
  <c r="I1602" i="13"/>
  <c r="I836" i="13"/>
  <c r="I837" i="13"/>
  <c r="I1940" i="13"/>
  <c r="I1685" i="13"/>
  <c r="I2326" i="13"/>
  <c r="I605" i="13"/>
  <c r="I1421" i="13"/>
  <c r="I692" i="13"/>
  <c r="I1941" i="13"/>
  <c r="I73" i="13"/>
  <c r="I2138" i="13"/>
  <c r="I2406" i="13"/>
  <c r="I2221" i="13"/>
  <c r="I1647" i="13"/>
  <c r="I313" i="13"/>
  <c r="I2256" i="13"/>
  <c r="I737" i="13"/>
  <c r="I838" i="13"/>
  <c r="I1686" i="13"/>
  <c r="I839" i="13"/>
  <c r="I1214" i="13"/>
  <c r="I1826" i="13"/>
  <c r="I1942" i="13"/>
  <c r="I1806" i="13"/>
  <c r="I314" i="13"/>
  <c r="I2327" i="13"/>
  <c r="I2407" i="13"/>
  <c r="I1568" i="13"/>
  <c r="I808" i="13"/>
  <c r="I1943" i="13"/>
  <c r="I1392" i="13"/>
  <c r="I1944" i="13"/>
  <c r="I789" i="13"/>
  <c r="I74" i="13"/>
  <c r="I315" i="13"/>
  <c r="I27" i="13"/>
  <c r="I1500" i="13"/>
  <c r="I2408" i="13"/>
  <c r="I1215" i="13"/>
  <c r="I316" i="13"/>
  <c r="I1216" i="13"/>
  <c r="I1945" i="13"/>
  <c r="I1217" i="13"/>
  <c r="I317" i="13"/>
  <c r="I122" i="13"/>
  <c r="I2328" i="13"/>
  <c r="I75" i="13"/>
  <c r="I790" i="13"/>
  <c r="I1569" i="13"/>
  <c r="I1827" i="13"/>
  <c r="I2139" i="13"/>
  <c r="I318" i="13"/>
  <c r="I1946" i="13"/>
  <c r="I217" i="13"/>
  <c r="I28" i="13"/>
  <c r="I1218" i="13"/>
  <c r="I606" i="13"/>
  <c r="I1144" i="13"/>
  <c r="I1522" i="13"/>
  <c r="I1603" i="13"/>
  <c r="I218" i="13"/>
  <c r="I1947" i="13"/>
  <c r="I724" i="13"/>
  <c r="I1219" i="13"/>
  <c r="I1220" i="13"/>
  <c r="I1493" i="13"/>
  <c r="I1221" i="13"/>
  <c r="I146" i="13"/>
  <c r="I1222" i="13"/>
  <c r="I1470" i="13"/>
  <c r="I474" i="13"/>
  <c r="I1145" i="13"/>
  <c r="I738" i="13"/>
  <c r="I840" i="13"/>
  <c r="I319" i="13"/>
  <c r="I2409" i="13"/>
  <c r="I320" i="13"/>
  <c r="I1223" i="13"/>
  <c r="I725" i="13"/>
  <c r="I532" i="13"/>
  <c r="I1948" i="13"/>
  <c r="I186" i="13"/>
  <c r="I321" i="13"/>
  <c r="I76" i="13"/>
  <c r="I558" i="13"/>
  <c r="I219" i="13"/>
  <c r="I322" i="13"/>
  <c r="I1224" i="13"/>
  <c r="I220" i="13"/>
  <c r="I1949" i="13"/>
  <c r="I966" i="13"/>
  <c r="I1791" i="13"/>
  <c r="I1687" i="13"/>
  <c r="I2410" i="13"/>
  <c r="I1225" i="13"/>
  <c r="I1950" i="13"/>
  <c r="I934" i="13"/>
  <c r="I1043" i="13"/>
  <c r="I2140" i="13"/>
  <c r="I1097" i="13"/>
  <c r="I1758" i="13"/>
  <c r="I1688" i="13"/>
  <c r="I475" i="13"/>
  <c r="I123" i="13"/>
  <c r="I2308" i="13"/>
  <c r="I323" i="13"/>
  <c r="I533" i="13"/>
  <c r="I1951" i="13"/>
  <c r="I1117" i="13"/>
  <c r="I1031" i="13"/>
  <c r="I324" i="13"/>
  <c r="I476" i="13"/>
  <c r="I1422" i="13"/>
  <c r="I1146" i="13"/>
  <c r="I1080" i="13"/>
  <c r="I1014" i="13"/>
  <c r="I581" i="13"/>
  <c r="I1648" i="13"/>
  <c r="I1226" i="13"/>
  <c r="I1828" i="13"/>
  <c r="I1649" i="13"/>
  <c r="I1523" i="13"/>
  <c r="I2364" i="13"/>
  <c r="I1227" i="13"/>
  <c r="I1228" i="13"/>
  <c r="I607" i="13"/>
  <c r="I703" i="13"/>
  <c r="I1570" i="13"/>
  <c r="I1952" i="13"/>
  <c r="I841" i="13"/>
  <c r="I325" i="13"/>
  <c r="I77" i="13"/>
  <c r="I2329" i="13"/>
  <c r="I1098" i="13"/>
  <c r="I1471" i="13"/>
  <c r="I1792" i="13"/>
  <c r="I221" i="13"/>
  <c r="I326" i="13"/>
  <c r="I1229" i="13"/>
  <c r="I1230" i="13"/>
  <c r="I1413" i="13"/>
  <c r="I1231" i="13"/>
  <c r="I726" i="13"/>
  <c r="I1571" i="13"/>
  <c r="I773" i="13"/>
  <c r="I1572" i="13"/>
  <c r="I2257" i="13"/>
  <c r="I2141" i="13"/>
  <c r="I2183" i="13"/>
  <c r="I17" i="13"/>
  <c r="I1953" i="13"/>
  <c r="I1954" i="13"/>
  <c r="I753" i="13"/>
  <c r="I1232" i="13"/>
  <c r="I842" i="13"/>
  <c r="I1955" i="13"/>
  <c r="I1044" i="13"/>
  <c r="I967" i="13"/>
  <c r="I1233" i="13"/>
  <c r="I1650" i="13"/>
  <c r="I1573" i="13"/>
  <c r="I843" i="13"/>
  <c r="I608" i="13"/>
  <c r="I1604" i="13"/>
  <c r="I1793" i="13"/>
  <c r="I1061" i="13"/>
  <c r="I1956" i="13"/>
  <c r="I477" i="13"/>
  <c r="I774" i="13"/>
  <c r="I1234" i="13"/>
  <c r="I1829" i="13"/>
  <c r="I1544" i="13"/>
  <c r="I327" i="13"/>
  <c r="I844" i="13"/>
  <c r="I1235" i="13"/>
  <c r="I845" i="13"/>
  <c r="I1015" i="13"/>
  <c r="I1147" i="13"/>
  <c r="I328" i="13"/>
  <c r="I909" i="13"/>
  <c r="I846" i="13"/>
  <c r="I2142" i="13"/>
  <c r="I1148" i="13"/>
  <c r="I329" i="13"/>
  <c r="I1472" i="13"/>
  <c r="I575" i="13"/>
  <c r="I1605" i="13"/>
  <c r="I47" i="13"/>
  <c r="I330" i="13"/>
  <c r="I1651" i="13"/>
  <c r="I1473" i="13"/>
  <c r="I1236" i="13"/>
  <c r="I1574" i="13"/>
  <c r="I2330" i="13"/>
  <c r="I1237" i="13"/>
  <c r="I1689" i="13"/>
  <c r="I1957" i="13"/>
  <c r="I2309" i="13"/>
  <c r="I331" i="13"/>
  <c r="I2411" i="13"/>
  <c r="I718" i="13"/>
  <c r="I534" i="13"/>
  <c r="I775" i="13"/>
  <c r="I2331" i="13"/>
  <c r="I2412" i="13"/>
  <c r="I1652" i="13"/>
  <c r="I478" i="13"/>
  <c r="I658" i="13"/>
  <c r="I719" i="13"/>
  <c r="I1575" i="13"/>
  <c r="I968" i="13"/>
  <c r="I1958" i="13"/>
  <c r="I1736" i="13"/>
  <c r="I559" i="13"/>
  <c r="I1238" i="13"/>
  <c r="I479" i="13"/>
  <c r="I1653" i="13"/>
  <c r="I1830" i="13"/>
  <c r="I1442" i="13"/>
  <c r="I2283" i="13"/>
  <c r="I1959" i="13"/>
  <c r="I1239" i="13"/>
  <c r="I1423" i="13"/>
  <c r="I996" i="13"/>
  <c r="I2302" i="13"/>
  <c r="I809" i="13"/>
  <c r="I847" i="13"/>
  <c r="I609" i="13"/>
  <c r="I2299" i="13"/>
  <c r="I1240" i="13"/>
  <c r="I848" i="13"/>
  <c r="I1149" i="13"/>
  <c r="I1443" i="13"/>
  <c r="I1241" i="13"/>
  <c r="I147" i="13"/>
  <c r="I1690" i="13"/>
  <c r="I11" i="13"/>
  <c r="I997" i="13"/>
  <c r="I1242" i="13"/>
  <c r="I2365" i="13"/>
  <c r="I791" i="13"/>
  <c r="I332" i="13"/>
  <c r="I1725" i="13"/>
  <c r="I480" i="13"/>
  <c r="I333" i="13"/>
  <c r="I148" i="13"/>
  <c r="I1474" i="13"/>
  <c r="I1760" i="13"/>
  <c r="I1243" i="13"/>
  <c r="I2413" i="13"/>
  <c r="I535" i="13"/>
  <c r="I2143" i="13"/>
  <c r="I106" i="13"/>
  <c r="I1393" i="13"/>
  <c r="I334" i="13"/>
  <c r="I1960" i="13"/>
  <c r="I1394" i="13"/>
  <c r="I29" i="13"/>
  <c r="I1244" i="13"/>
  <c r="I1761" i="13"/>
  <c r="I335" i="13"/>
  <c r="I1494" i="13"/>
  <c r="I682" i="13"/>
  <c r="I1245" i="13"/>
  <c r="I2258" i="13"/>
  <c r="I481" i="13"/>
  <c r="I1016" i="13"/>
  <c r="I336" i="13"/>
  <c r="I1961" i="13"/>
  <c r="I12" i="13"/>
  <c r="I337" i="13"/>
  <c r="I969" i="13"/>
  <c r="I1831" i="13"/>
  <c r="I849" i="13"/>
  <c r="I910" i="13"/>
  <c r="I560" i="13"/>
  <c r="I2184" i="13"/>
  <c r="I1512" i="13"/>
  <c r="I2222" i="13"/>
  <c r="I935" i="13"/>
  <c r="I1424" i="13"/>
  <c r="I482" i="13"/>
  <c r="I792" i="13"/>
  <c r="I1962" i="13"/>
  <c r="I754" i="13"/>
  <c r="I739" i="13"/>
  <c r="I1475" i="13"/>
  <c r="I1963" i="13"/>
  <c r="I693" i="13"/>
  <c r="I704" i="13"/>
  <c r="I1099" i="13"/>
  <c r="I1964" i="13"/>
  <c r="I1965" i="13"/>
  <c r="I2185" i="13"/>
  <c r="I705" i="13"/>
  <c r="I124" i="13"/>
  <c r="I2186" i="13"/>
  <c r="I149" i="13"/>
  <c r="I2414" i="13"/>
  <c r="I2415" i="13"/>
  <c r="I1128" i="13"/>
  <c r="I483" i="13"/>
  <c r="I1966" i="13"/>
  <c r="I125" i="13"/>
  <c r="I48" i="13"/>
  <c r="I755" i="13"/>
  <c r="I1762" i="13"/>
  <c r="I1150" i="13"/>
  <c r="I582" i="13"/>
  <c r="I338" i="13"/>
  <c r="I2284" i="13"/>
  <c r="I1967" i="13"/>
  <c r="I1788" i="13"/>
  <c r="I339" i="13"/>
  <c r="I340" i="13"/>
  <c r="I2285" i="13"/>
  <c r="I1832" i="13"/>
  <c r="I1062" i="13"/>
  <c r="I1606" i="13"/>
  <c r="I484" i="13"/>
  <c r="I1246" i="13"/>
  <c r="I2187" i="13"/>
  <c r="I2259" i="13"/>
  <c r="I485" i="13"/>
  <c r="I2366" i="13"/>
  <c r="I1722" i="13"/>
  <c r="I850" i="13"/>
  <c r="I2235" i="13"/>
  <c r="I486" i="13"/>
  <c r="I1247" i="13"/>
  <c r="I1763" i="13"/>
  <c r="I341" i="13"/>
  <c r="I487" i="13"/>
  <c r="I1248" i="13"/>
  <c r="I1444" i="13"/>
  <c r="I1764" i="13"/>
  <c r="I2367" i="13"/>
  <c r="I1445" i="13"/>
  <c r="I1968" i="13"/>
  <c r="I1545" i="13"/>
  <c r="I793" i="13"/>
  <c r="I56" i="13"/>
  <c r="I1118" i="13"/>
  <c r="I1969" i="13"/>
  <c r="I1249" i="13"/>
  <c r="I1250" i="13"/>
  <c r="I2303" i="13"/>
  <c r="I2416" i="13"/>
  <c r="I1251" i="13"/>
  <c r="I342" i="13"/>
  <c r="I2188" i="13"/>
  <c r="I683" i="13"/>
  <c r="I1017" i="13"/>
  <c r="I1970" i="13"/>
  <c r="I851" i="13"/>
  <c r="I1151" i="13"/>
  <c r="I1654" i="13"/>
  <c r="I1546" i="13"/>
  <c r="I78" i="13"/>
  <c r="I1833" i="13"/>
  <c r="I1971" i="13"/>
  <c r="I1152" i="13"/>
  <c r="I1035" i="13"/>
  <c r="I2260" i="13"/>
  <c r="I1655" i="13"/>
  <c r="I1252" i="13"/>
  <c r="I659" i="13"/>
  <c r="I1972" i="13"/>
  <c r="I2417" i="13"/>
  <c r="I187" i="13"/>
  <c r="I1691" i="13"/>
  <c r="I776" i="13"/>
  <c r="I2144" i="13"/>
  <c r="I583" i="13"/>
  <c r="I1794" i="13"/>
  <c r="I150" i="13"/>
  <c r="I2189" i="13"/>
  <c r="I756" i="13"/>
  <c r="I343" i="13"/>
  <c r="I1765" i="13"/>
  <c r="I1253" i="13"/>
  <c r="I1395" i="13"/>
  <c r="I2418" i="13"/>
  <c r="I2223" i="13"/>
  <c r="I2145" i="13"/>
  <c r="I1547" i="13"/>
  <c r="I222" i="13"/>
  <c r="I2190" i="13"/>
  <c r="I344" i="13"/>
  <c r="I488" i="13"/>
  <c r="I852" i="13"/>
  <c r="I1973" i="13"/>
  <c r="I223" i="13"/>
  <c r="I151" i="13"/>
  <c r="I1692" i="13"/>
  <c r="I224" i="13"/>
  <c r="I1834" i="13"/>
  <c r="I660" i="13"/>
  <c r="I489" i="13"/>
  <c r="I2297" i="13"/>
  <c r="I2146" i="13"/>
  <c r="I152" i="13"/>
  <c r="I1254" i="13"/>
  <c r="I345" i="13"/>
  <c r="I1974" i="13"/>
  <c r="I684" i="13"/>
  <c r="I1153" i="13"/>
  <c r="I225" i="13"/>
  <c r="I79" i="13"/>
  <c r="I1835" i="13"/>
  <c r="I1836" i="13"/>
  <c r="I346" i="13"/>
  <c r="I1548" i="13"/>
  <c r="I1975" i="13"/>
  <c r="I126" i="13"/>
  <c r="I1081" i="13"/>
  <c r="I777" i="13"/>
  <c r="I1255" i="13"/>
  <c r="I1766" i="13"/>
  <c r="I1976" i="13"/>
  <c r="I347" i="13"/>
  <c r="I740" i="13"/>
  <c r="I80" i="13"/>
  <c r="I2332" i="13"/>
  <c r="I1112" i="13"/>
  <c r="I2368" i="13"/>
  <c r="I226" i="13"/>
  <c r="I610" i="13"/>
  <c r="I348" i="13"/>
  <c r="I1018" i="13"/>
  <c r="I1977" i="13"/>
  <c r="I1154" i="13"/>
  <c r="I490" i="13"/>
  <c r="I2419" i="13"/>
  <c r="I491" i="13"/>
  <c r="I1256" i="13"/>
  <c r="I1119" i="13"/>
  <c r="I853" i="13"/>
  <c r="I81" i="13"/>
  <c r="I1693" i="13"/>
  <c r="I2369" i="13"/>
  <c r="I1978" i="13"/>
  <c r="I536" i="13"/>
  <c r="I1257" i="13"/>
  <c r="I810" i="13"/>
  <c r="I537" i="13"/>
  <c r="I1476" i="13"/>
  <c r="I1176" i="13"/>
  <c r="I1396" i="13"/>
  <c r="I227" i="13"/>
  <c r="I1837" i="13"/>
  <c r="I349" i="13"/>
  <c r="I2147" i="13"/>
  <c r="I970" i="13"/>
  <c r="I350" i="13"/>
  <c r="I127" i="13"/>
  <c r="I1258" i="13"/>
  <c r="I2333" i="13"/>
  <c r="I1979" i="13"/>
  <c r="I661" i="13"/>
  <c r="I538" i="13"/>
  <c r="I1033" i="13"/>
  <c r="I1980" i="13"/>
  <c r="I1549" i="13"/>
  <c r="I539" i="13"/>
  <c r="I2334" i="13"/>
  <c r="I1407" i="13"/>
  <c r="I1607" i="13"/>
  <c r="I228" i="13"/>
  <c r="I1656" i="13"/>
  <c r="I1082" i="13"/>
  <c r="I1981" i="13"/>
  <c r="I1259" i="13"/>
  <c r="I561" i="13"/>
  <c r="I1477" i="13"/>
  <c r="I1694" i="13"/>
  <c r="I854" i="13"/>
  <c r="I540" i="13"/>
  <c r="I562" i="13"/>
  <c r="I1838" i="13"/>
  <c r="I1657" i="13"/>
  <c r="I351" i="13"/>
  <c r="I971" i="13"/>
  <c r="I352" i="13"/>
  <c r="I662" i="13"/>
  <c r="I663" i="13"/>
  <c r="I1695" i="13"/>
  <c r="I972" i="13"/>
  <c r="I1696" i="13"/>
  <c r="I1982" i="13"/>
  <c r="I1260" i="13"/>
  <c r="I1807" i="13"/>
  <c r="I1983" i="13"/>
  <c r="I998" i="13"/>
  <c r="I2310" i="13"/>
  <c r="I936" i="13"/>
  <c r="I855" i="13"/>
  <c r="I1261" i="13"/>
  <c r="I1608" i="13"/>
  <c r="I1262" i="13"/>
  <c r="I1019" i="13"/>
  <c r="I720" i="13"/>
  <c r="I1630" i="13"/>
  <c r="I778" i="13"/>
  <c r="I694" i="13"/>
  <c r="I2420" i="13"/>
  <c r="I229" i="13"/>
  <c r="I811" i="13"/>
  <c r="I82" i="13"/>
  <c r="I1576" i="13"/>
  <c r="I611" i="13"/>
  <c r="I1378" i="13"/>
  <c r="I83" i="13"/>
  <c r="I1063" i="13"/>
  <c r="I612" i="13"/>
  <c r="I153" i="13"/>
  <c r="I1658" i="13"/>
  <c r="I1100" i="13"/>
  <c r="I1577" i="13"/>
  <c r="I1795" i="13"/>
  <c r="I1550" i="13"/>
  <c r="I18" i="13"/>
  <c r="I1839" i="13"/>
  <c r="I794" i="13"/>
  <c r="I1129" i="13"/>
  <c r="I685" i="13"/>
  <c r="I353" i="13"/>
  <c r="I354" i="13"/>
  <c r="I1155" i="13"/>
  <c r="I19" i="13"/>
  <c r="I1984" i="13"/>
  <c r="I1263" i="13"/>
  <c r="I1020" i="13"/>
  <c r="I1513" i="13"/>
  <c r="I1985" i="13"/>
  <c r="I1808" i="13"/>
  <c r="I1264" i="13"/>
  <c r="I856" i="13"/>
  <c r="I727" i="13"/>
  <c r="I355" i="13"/>
  <c r="I1796" i="13"/>
  <c r="I1986" i="13"/>
  <c r="I84" i="13"/>
  <c r="I49" i="13"/>
  <c r="I2421" i="13"/>
  <c r="I1578" i="13"/>
  <c r="I613" i="13"/>
  <c r="I2422" i="13"/>
  <c r="I1446" i="13"/>
  <c r="I1987" i="13"/>
  <c r="I937" i="13"/>
  <c r="I1265" i="13"/>
  <c r="I1988" i="13"/>
  <c r="I2311" i="13"/>
  <c r="I1989" i="13"/>
  <c r="I1266" i="13"/>
  <c r="I1768" i="13"/>
  <c r="I356" i="13"/>
  <c r="I706" i="13"/>
  <c r="I1990" i="13"/>
  <c r="I2191" i="13"/>
  <c r="I1447" i="13"/>
  <c r="I1991" i="13"/>
  <c r="I1267" i="13"/>
  <c r="I857" i="13"/>
  <c r="I154" i="13"/>
  <c r="I357" i="13"/>
  <c r="I1156" i="13"/>
  <c r="I2192" i="13"/>
  <c r="I358" i="13"/>
  <c r="I2423" i="13"/>
  <c r="I1268" i="13"/>
  <c r="I2148" i="13"/>
  <c r="I1514" i="13"/>
  <c r="I2236" i="13"/>
  <c r="I1130" i="13"/>
  <c r="I2224" i="13"/>
  <c r="I911" i="13"/>
  <c r="I1269" i="13"/>
  <c r="I85" i="13"/>
  <c r="I1270" i="13"/>
  <c r="I1840" i="13"/>
  <c r="I741" i="13"/>
  <c r="I359" i="13"/>
  <c r="I2335" i="13"/>
  <c r="I155" i="13"/>
  <c r="I1131" i="13"/>
  <c r="I360" i="13"/>
  <c r="I361" i="13"/>
  <c r="I362" i="13"/>
  <c r="I230" i="13"/>
  <c r="I584" i="13"/>
  <c r="I1992" i="13"/>
  <c r="I363" i="13"/>
  <c r="I1271" i="13"/>
  <c r="I1993" i="13"/>
  <c r="I1524" i="13"/>
  <c r="I364" i="13"/>
  <c r="I2225" i="13"/>
  <c r="I492" i="13"/>
  <c r="I1551" i="13"/>
  <c r="I1272" i="13"/>
  <c r="I1089" i="13"/>
  <c r="I2286" i="13"/>
  <c r="I938" i="13"/>
  <c r="I1397" i="13"/>
  <c r="I2237" i="13"/>
  <c r="I493" i="13"/>
  <c r="I2261" i="13"/>
  <c r="I1841" i="13"/>
  <c r="I2336" i="13"/>
  <c r="I1157" i="13"/>
  <c r="I1101" i="13"/>
  <c r="I1659" i="13"/>
  <c r="I1994" i="13"/>
  <c r="I365" i="13"/>
  <c r="I1726" i="13"/>
  <c r="I1995" i="13"/>
  <c r="I1737" i="13"/>
  <c r="I231" i="13"/>
  <c r="I1515" i="13"/>
  <c r="I563" i="13"/>
  <c r="I858" i="13"/>
  <c r="I912" i="13"/>
  <c r="I795" i="13"/>
  <c r="I2312" i="13"/>
  <c r="I156" i="13"/>
  <c r="I1552" i="13"/>
  <c r="I2424" i="13"/>
  <c r="I1842" i="13"/>
  <c r="I1996" i="13"/>
  <c r="I1997" i="13"/>
  <c r="I1998" i="13"/>
  <c r="I366" i="13"/>
  <c r="I128" i="13"/>
  <c r="I2425" i="13"/>
  <c r="I1273" i="13"/>
  <c r="I1999" i="13"/>
  <c r="I367" i="13"/>
  <c r="I494" i="13"/>
  <c r="I368" i="13"/>
  <c r="I2226" i="13"/>
  <c r="I859" i="13"/>
  <c r="I2000" i="13"/>
  <c r="I1495" i="13"/>
  <c r="I369" i="13"/>
  <c r="I57" i="13"/>
  <c r="I1843" i="13"/>
  <c r="I58" i="13"/>
  <c r="I1844" i="13"/>
  <c r="I1102" i="13"/>
  <c r="I495" i="13"/>
  <c r="I2001" i="13"/>
  <c r="I1274" i="13"/>
  <c r="I2337" i="13"/>
  <c r="I1478" i="13"/>
  <c r="I2300" i="13"/>
  <c r="I1525" i="13"/>
  <c r="I1275" i="13"/>
  <c r="I2002" i="13"/>
  <c r="I370" i="13"/>
  <c r="I614" i="13"/>
  <c r="I1631" i="13"/>
  <c r="I913" i="13"/>
  <c r="I1609" i="13"/>
  <c r="I860" i="13"/>
  <c r="I1449" i="13"/>
  <c r="I1632" i="13"/>
  <c r="I1553" i="13"/>
  <c r="I1158" i="13"/>
  <c r="I1554" i="13"/>
  <c r="I541" i="13"/>
  <c r="I371" i="13"/>
  <c r="I1450" i="13"/>
  <c r="I742" i="13"/>
  <c r="I779" i="13"/>
  <c r="I1276" i="13"/>
  <c r="I372" i="13"/>
  <c r="I1496" i="13"/>
  <c r="I1277" i="13"/>
  <c r="I373" i="13"/>
  <c r="I1379" i="13"/>
  <c r="I2003" i="13"/>
  <c r="I157" i="13"/>
  <c r="I861" i="13"/>
  <c r="I1501" i="13"/>
  <c r="I743" i="13"/>
  <c r="I2149" i="13"/>
  <c r="I374" i="13"/>
  <c r="I158" i="13"/>
  <c r="I2370" i="13"/>
  <c r="I862" i="13"/>
  <c r="I812" i="13"/>
  <c r="I1610" i="13"/>
  <c r="I2004" i="13"/>
  <c r="I1845" i="13"/>
  <c r="I1797" i="13"/>
  <c r="I1697" i="13"/>
  <c r="I863" i="13"/>
  <c r="I1425" i="13"/>
  <c r="I496" i="13"/>
  <c r="I1526" i="13"/>
  <c r="I2005" i="13"/>
  <c r="I1278" i="13"/>
  <c r="I2193" i="13"/>
  <c r="I232" i="13"/>
  <c r="I1611" i="13"/>
  <c r="I375" i="13"/>
  <c r="I2313" i="13"/>
  <c r="I914" i="13"/>
  <c r="I159" i="13"/>
  <c r="I1698" i="13"/>
  <c r="I233" i="13"/>
  <c r="I129" i="13"/>
  <c r="I615" i="13"/>
  <c r="I1612" i="13"/>
  <c r="I2006" i="13"/>
  <c r="I1451" i="13"/>
  <c r="I2371" i="13"/>
  <c r="I86" i="13"/>
  <c r="I1660" i="13"/>
  <c r="I2194" i="13"/>
  <c r="I2007" i="13"/>
  <c r="I1633" i="13"/>
  <c r="I686" i="13"/>
  <c r="I2150" i="13"/>
  <c r="I2426" i="13"/>
  <c r="I1279" i="13"/>
  <c r="I2008" i="13"/>
  <c r="I757" i="13"/>
  <c r="I50" i="13"/>
  <c r="I160" i="13"/>
  <c r="I188" i="13"/>
  <c r="I1090" i="13"/>
  <c r="I87" i="13"/>
  <c r="I161" i="13"/>
  <c r="I88" i="13"/>
  <c r="I2151" i="13"/>
  <c r="I1159" i="13"/>
  <c r="I2287" i="13"/>
  <c r="I1064" i="13"/>
  <c r="I376" i="13"/>
  <c r="I1280" i="13"/>
  <c r="I1452" i="13"/>
  <c r="I2238" i="13"/>
  <c r="I1798" i="13"/>
  <c r="I1065" i="13"/>
  <c r="I758" i="13"/>
  <c r="I564" i="13"/>
  <c r="I377" i="13"/>
  <c r="I1846" i="13"/>
  <c r="I1160" i="13"/>
  <c r="I1385" i="13"/>
  <c r="I1453" i="13"/>
  <c r="I2009" i="13"/>
  <c r="I162" i="13"/>
  <c r="I542" i="13"/>
  <c r="I864" i="13"/>
  <c r="I1161" i="13"/>
  <c r="I616" i="13"/>
  <c r="I2152" i="13"/>
  <c r="I939" i="13"/>
  <c r="I940" i="13"/>
  <c r="I744" i="13"/>
  <c r="I973" i="13"/>
  <c r="I1613" i="13"/>
  <c r="I40" i="13"/>
  <c r="I1661" i="13"/>
  <c r="I1281" i="13"/>
  <c r="I1847" i="13"/>
  <c r="I1479" i="13"/>
  <c r="I759" i="13"/>
  <c r="I2427" i="13"/>
  <c r="I1021" i="13"/>
  <c r="I2195" i="13"/>
  <c r="I234" i="13"/>
  <c r="I497" i="13"/>
  <c r="I2010" i="13"/>
  <c r="I2011" i="13"/>
  <c r="I89" i="13"/>
  <c r="I2012" i="13"/>
  <c r="I2196" i="13"/>
  <c r="I2013" i="13"/>
  <c r="I2014" i="13"/>
  <c r="I617" i="13"/>
  <c r="I2015" i="13"/>
  <c r="I543" i="13"/>
  <c r="I2016" i="13"/>
  <c r="I1527" i="13"/>
  <c r="I618" i="13"/>
  <c r="I1045" i="13"/>
  <c r="I1579" i="13"/>
  <c r="I1480" i="13"/>
  <c r="I1497" i="13"/>
  <c r="I2017" i="13"/>
  <c r="I707" i="13"/>
  <c r="I2428" i="13"/>
  <c r="I1555" i="13"/>
  <c r="I163" i="13"/>
  <c r="I745" i="13"/>
  <c r="I2018" i="13"/>
  <c r="I1282" i="13"/>
  <c r="I1283" i="13"/>
  <c r="I1502" i="13"/>
  <c r="I565" i="13"/>
  <c r="I708" i="13"/>
  <c r="I2019" i="13"/>
  <c r="I2429" i="13"/>
  <c r="I2020" i="13"/>
  <c r="I1284" i="13"/>
  <c r="I378" i="13"/>
  <c r="I1481" i="13"/>
  <c r="I1386" i="13"/>
  <c r="I780" i="13"/>
  <c r="I813" i="13"/>
  <c r="I2021" i="13"/>
  <c r="I544" i="13"/>
  <c r="I545" i="13"/>
  <c r="I2022" i="13"/>
  <c r="I2023" i="13"/>
  <c r="I2338" i="13"/>
  <c r="I235" i="13"/>
  <c r="I498" i="13"/>
  <c r="I1103" i="13"/>
  <c r="I974" i="13"/>
  <c r="I236" i="13"/>
  <c r="I499" i="13"/>
  <c r="I1699" i="13"/>
  <c r="I2024" i="13"/>
  <c r="I1482" i="13"/>
  <c r="I189" i="13"/>
  <c r="I1285" i="13"/>
  <c r="I796" i="13"/>
  <c r="I2372" i="13"/>
  <c r="I2197" i="13"/>
  <c r="I1769" i="13"/>
  <c r="I664" i="13"/>
  <c r="I865" i="13"/>
  <c r="I379" i="13"/>
  <c r="I1286" i="13"/>
  <c r="I1287" i="13"/>
  <c r="I380" i="13"/>
  <c r="I2153" i="13"/>
  <c r="I1162" i="13"/>
  <c r="I2154" i="13"/>
  <c r="I1727" i="13"/>
  <c r="I1556" i="13"/>
  <c r="I1700" i="13"/>
  <c r="I1398" i="13"/>
  <c r="I1288" i="13"/>
  <c r="I2373" i="13"/>
  <c r="I1399" i="13"/>
  <c r="I619" i="13"/>
  <c r="I381" i="13"/>
  <c r="I2339" i="13"/>
  <c r="I382" i="13"/>
  <c r="I2025" i="13"/>
  <c r="I51" i="13"/>
  <c r="I1454" i="13"/>
  <c r="I2026" i="13"/>
  <c r="I1289" i="13"/>
  <c r="I1104" i="13"/>
  <c r="I2027" i="13"/>
  <c r="I1120" i="13"/>
  <c r="I915" i="13"/>
  <c r="I1799" i="13"/>
  <c r="I1770" i="13"/>
  <c r="I2028" i="13"/>
  <c r="I866" i="13"/>
  <c r="I2029" i="13"/>
  <c r="I383" i="13"/>
  <c r="I2030" i="13"/>
  <c r="I2262" i="13"/>
  <c r="I1046" i="13"/>
  <c r="I916" i="13"/>
  <c r="I975" i="13"/>
  <c r="I384" i="13"/>
  <c r="I2263" i="13"/>
  <c r="I1848" i="13"/>
  <c r="I1771" i="13"/>
  <c r="I2340" i="13"/>
  <c r="I2031" i="13"/>
  <c r="I1516" i="13"/>
  <c r="I500" i="13"/>
  <c r="I90" i="13"/>
  <c r="I781" i="13"/>
  <c r="I1426" i="13"/>
  <c r="I91" i="13"/>
  <c r="I1723" i="13"/>
  <c r="I1290" i="13"/>
  <c r="I1849" i="13"/>
  <c r="I585" i="13"/>
  <c r="I546" i="13"/>
  <c r="I385" i="13"/>
  <c r="I1580" i="13"/>
  <c r="I1036" i="13"/>
  <c r="I2430" i="13"/>
  <c r="I1662" i="13"/>
  <c r="I1291" i="13"/>
  <c r="I999" i="13"/>
  <c r="I1427" i="13"/>
  <c r="I1503" i="13"/>
  <c r="I2155" i="13"/>
  <c r="I1022" i="13"/>
  <c r="I760" i="13"/>
  <c r="I1000" i="13"/>
  <c r="I1292" i="13"/>
  <c r="I30" i="13"/>
  <c r="I501" i="13"/>
  <c r="I1850" i="13"/>
  <c r="I386" i="13"/>
  <c r="I814" i="13"/>
  <c r="I2431" i="13"/>
  <c r="I387" i="13"/>
  <c r="I2341" i="13"/>
  <c r="I1001" i="13"/>
  <c r="I547" i="13"/>
  <c r="I2227" i="13"/>
  <c r="I2432" i="13"/>
  <c r="I502" i="13"/>
  <c r="I1163" i="13"/>
  <c r="I2433" i="13"/>
  <c r="I1614" i="13"/>
  <c r="I976" i="13"/>
  <c r="I1293" i="13"/>
  <c r="I1294" i="13"/>
  <c r="I1083" i="13"/>
  <c r="I620" i="13"/>
  <c r="I503" i="13"/>
  <c r="I164" i="13"/>
  <c r="I2032" i="13"/>
  <c r="I2033" i="13"/>
  <c r="I2198" i="13"/>
  <c r="I687" i="13"/>
  <c r="I566" i="13"/>
  <c r="I504" i="13"/>
  <c r="I1002" i="13"/>
  <c r="I237" i="13"/>
  <c r="I1728" i="13"/>
  <c r="I867" i="13"/>
  <c r="I1772" i="13"/>
  <c r="I1105" i="13"/>
  <c r="I868" i="13"/>
  <c r="I1615" i="13"/>
  <c r="I1455" i="13"/>
  <c r="I388" i="13"/>
  <c r="I389" i="13"/>
  <c r="I2034" i="13"/>
  <c r="I390" i="13"/>
  <c r="I2434" i="13"/>
  <c r="I2035" i="13"/>
  <c r="I1528" i="13"/>
  <c r="I1106" i="13"/>
  <c r="I1295" i="13"/>
  <c r="I621" i="13"/>
  <c r="I391" i="13"/>
  <c r="I392" i="13"/>
  <c r="I941" i="13"/>
  <c r="I869" i="13"/>
  <c r="I2264" i="13"/>
  <c r="I1773" i="13"/>
  <c r="I548" i="13"/>
  <c r="I2156" i="13"/>
  <c r="I41" i="13"/>
  <c r="I393" i="13"/>
  <c r="I917" i="13"/>
  <c r="I107" i="13"/>
  <c r="I2157" i="13"/>
  <c r="I1581" i="13"/>
  <c r="I2265" i="13"/>
  <c r="I665" i="13"/>
  <c r="I1851" i="13"/>
  <c r="I567" i="13"/>
  <c r="I1852" i="13"/>
  <c r="I52" i="13"/>
  <c r="I942" i="13"/>
  <c r="I2036" i="13"/>
  <c r="I977" i="13"/>
  <c r="I2037" i="13"/>
  <c r="I2038" i="13"/>
  <c r="I2039" i="13"/>
  <c r="I943" i="13"/>
  <c r="I918" i="13"/>
  <c r="I1296" i="13"/>
  <c r="I165" i="13"/>
  <c r="I2266" i="13"/>
  <c r="I20" i="13"/>
  <c r="I92" i="13"/>
  <c r="I1297" i="13"/>
  <c r="I1701" i="13"/>
  <c r="I238" i="13"/>
  <c r="I797" i="13"/>
  <c r="I709" i="13"/>
  <c r="I2466" i="13"/>
  <c r="I919" i="13"/>
  <c r="I1084" i="13"/>
  <c r="I622" i="13"/>
  <c r="I870" i="13"/>
  <c r="I666" i="13"/>
  <c r="I871" i="13"/>
  <c r="I798" i="13"/>
  <c r="I872" i="13"/>
  <c r="I1298" i="13"/>
  <c r="I623" i="13"/>
  <c r="I1663" i="13"/>
  <c r="I624" i="13"/>
  <c r="I873" i="13"/>
  <c r="I2040" i="13"/>
  <c r="I625" i="13"/>
  <c r="I1299" i="13"/>
  <c r="I2199" i="13"/>
  <c r="I505" i="13"/>
  <c r="I2041" i="13"/>
  <c r="I2288" i="13"/>
  <c r="I394" i="13"/>
  <c r="I190" i="13"/>
  <c r="I1300" i="13"/>
  <c r="I1853" i="13"/>
  <c r="I2042" i="13"/>
  <c r="I2043" i="13"/>
  <c r="I395" i="13"/>
  <c r="I2301" i="13"/>
  <c r="I2435" i="13"/>
  <c r="I1301" i="13"/>
  <c r="I130" i="13"/>
  <c r="I1634" i="13"/>
  <c r="I31" i="13"/>
  <c r="I728" i="13"/>
  <c r="I978" i="13"/>
  <c r="I1428" i="13"/>
  <c r="I2044" i="13"/>
  <c r="I626" i="13"/>
  <c r="I2045" i="13"/>
  <c r="I729" i="13"/>
  <c r="I2342" i="13"/>
  <c r="I710" i="13"/>
  <c r="I782" i="13"/>
  <c r="I93" i="13"/>
  <c r="I1003" i="13"/>
  <c r="I2200" i="13"/>
  <c r="I1582" i="13"/>
  <c r="I568" i="13"/>
  <c r="I239" i="13"/>
  <c r="I2046" i="13"/>
  <c r="I2047" i="13"/>
  <c r="I2048" i="13"/>
  <c r="I2436" i="13"/>
  <c r="I396" i="13"/>
  <c r="I1107" i="13"/>
  <c r="I2201" i="13"/>
  <c r="I944" i="13"/>
  <c r="I874" i="13"/>
  <c r="I1113" i="13"/>
  <c r="I875" i="13"/>
  <c r="I1483" i="13"/>
  <c r="I240" i="13"/>
  <c r="I979" i="13"/>
  <c r="I815" i="13"/>
  <c r="I2228" i="13"/>
  <c r="I397" i="13"/>
  <c r="I627" i="13"/>
  <c r="I1302" i="13"/>
  <c r="I2049" i="13"/>
  <c r="I945" i="13"/>
  <c r="I1303" i="13"/>
  <c r="I1498" i="13"/>
  <c r="I2464" i="13"/>
  <c r="I876" i="13"/>
  <c r="I1557" i="13"/>
  <c r="I1047" i="13"/>
  <c r="I1048" i="13"/>
  <c r="I1164" i="13"/>
  <c r="I1616" i="13"/>
  <c r="I2050" i="13"/>
  <c r="I506" i="13"/>
  <c r="I2437" i="13"/>
  <c r="I1583" i="13"/>
  <c r="I2051" i="13"/>
  <c r="I877" i="13"/>
  <c r="I2239" i="13"/>
  <c r="I241" i="13"/>
  <c r="I1702" i="13"/>
  <c r="I398" i="13"/>
  <c r="I1066" i="13"/>
  <c r="I1617" i="13"/>
  <c r="I399" i="13"/>
  <c r="I1114" i="13"/>
  <c r="I667" i="13"/>
  <c r="I1304" i="13"/>
  <c r="I507" i="13"/>
  <c r="I2438" i="13"/>
  <c r="I1854" i="13"/>
  <c r="I628" i="13"/>
  <c r="I1305" i="13"/>
  <c r="I629" i="13"/>
  <c r="I1067" i="13"/>
  <c r="I783" i="13"/>
  <c r="I586" i="13"/>
  <c r="I2439" i="13"/>
  <c r="I400" i="13"/>
  <c r="I1068" i="13"/>
  <c r="I1664" i="13"/>
  <c r="I242" i="13"/>
  <c r="I2229" i="13"/>
  <c r="I401" i="13"/>
  <c r="I243" i="13"/>
  <c r="I1306" i="13"/>
  <c r="I1618" i="13"/>
  <c r="I21" i="13"/>
  <c r="I94" i="13"/>
  <c r="I2052" i="13"/>
  <c r="I1023" i="13"/>
  <c r="I1558" i="13"/>
  <c r="I1774" i="13"/>
  <c r="I2053" i="13"/>
  <c r="I1307" i="13"/>
  <c r="I761" i="13"/>
  <c r="I980" i="13"/>
  <c r="I22" i="13"/>
  <c r="I1456" i="13"/>
  <c r="I2054" i="13"/>
  <c r="I402" i="13"/>
  <c r="I193" i="13"/>
  <c r="I2055" i="13"/>
  <c r="I2056" i="13"/>
  <c r="I762" i="13"/>
  <c r="I1619" i="13"/>
  <c r="I1855" i="13"/>
  <c r="I1308" i="13"/>
  <c r="I2240" i="13"/>
  <c r="I1309" i="13"/>
  <c r="I711" i="13"/>
  <c r="I1775" i="13"/>
  <c r="I2267" i="13"/>
  <c r="I2057" i="13"/>
  <c r="I695" i="13"/>
  <c r="I946" i="13"/>
  <c r="I1703" i="13"/>
  <c r="I630" i="13"/>
  <c r="I403" i="13"/>
  <c r="I746" i="13"/>
  <c r="I2440" i="13"/>
  <c r="I947" i="13"/>
  <c r="I404" i="13"/>
  <c r="I1037" i="13"/>
  <c r="I1776" i="13"/>
  <c r="I2441" i="13"/>
  <c r="I1856" i="13"/>
  <c r="I1310" i="13"/>
  <c r="I2058" i="13"/>
  <c r="I166" i="13"/>
  <c r="I1517" i="13"/>
  <c r="I816" i="13"/>
  <c r="I1857" i="13"/>
  <c r="I1311" i="13"/>
  <c r="I1132" i="13"/>
  <c r="I53" i="13"/>
  <c r="I696" i="13"/>
  <c r="I878" i="13"/>
  <c r="I1529" i="13"/>
  <c r="I1312" i="13"/>
  <c r="I2059" i="13"/>
  <c r="I405" i="13"/>
  <c r="I23" i="13"/>
  <c r="I406" i="13"/>
  <c r="I1380" i="13"/>
  <c r="I1620" i="13"/>
  <c r="I1457" i="13"/>
  <c r="I1518" i="13"/>
  <c r="I948" i="13"/>
  <c r="I407" i="13"/>
  <c r="I95" i="13"/>
  <c r="I1858" i="13"/>
  <c r="I244" i="13"/>
  <c r="I688" i="13"/>
  <c r="I96" i="13"/>
  <c r="I1559" i="13"/>
  <c r="I1408" i="13"/>
  <c r="I981" i="13"/>
  <c r="I982" i="13"/>
  <c r="I1038" i="13"/>
  <c r="I2060" i="13"/>
  <c r="I1313" i="13"/>
  <c r="I2061" i="13"/>
  <c r="I949" i="13"/>
  <c r="I879" i="13"/>
  <c r="I408" i="13"/>
  <c r="I1115" i="13"/>
  <c r="I950" i="13"/>
  <c r="I983" i="13"/>
  <c r="I1859" i="13"/>
  <c r="I1024" i="13"/>
  <c r="I409" i="13"/>
  <c r="I2202" i="13"/>
  <c r="I2268" i="13"/>
  <c r="I245" i="13"/>
  <c r="I984" i="13"/>
  <c r="I1314" i="13"/>
  <c r="I1315" i="13"/>
  <c r="I2442" i="13"/>
  <c r="I1316" i="13"/>
  <c r="I1025" i="13"/>
  <c r="I1317" i="13"/>
  <c r="I1133" i="13"/>
  <c r="I1738" i="13"/>
  <c r="I1318" i="13"/>
  <c r="I2062" i="13"/>
  <c r="I410" i="13"/>
  <c r="I721" i="13"/>
  <c r="I131" i="13"/>
  <c r="I1530" i="13"/>
  <c r="I246" i="13"/>
  <c r="I951" i="13"/>
  <c r="I1635" i="13"/>
  <c r="I668" i="13"/>
  <c r="I2203" i="13"/>
  <c r="I2314" i="13"/>
  <c r="I985" i="13"/>
  <c r="I2443" i="13"/>
  <c r="I2063" i="13"/>
  <c r="I2204" i="13"/>
  <c r="I2064" i="13"/>
  <c r="I411" i="13"/>
  <c r="I1165" i="13"/>
  <c r="I1742" i="13"/>
  <c r="I817" i="13"/>
  <c r="I1636" i="13"/>
  <c r="I2065" i="13"/>
  <c r="I2066" i="13"/>
  <c r="I2067" i="13"/>
  <c r="I2269" i="13"/>
  <c r="I1409" i="13"/>
  <c r="I1429" i="13"/>
  <c r="I2289" i="13"/>
  <c r="I2068" i="13"/>
  <c r="I1531" i="13"/>
  <c r="I412" i="13"/>
  <c r="I1809" i="13"/>
  <c r="I167" i="13"/>
  <c r="I1319" i="13"/>
  <c r="I2290" i="13"/>
  <c r="I1458" i="13"/>
  <c r="I413" i="13"/>
  <c r="I1499" i="13"/>
  <c r="I1166" i="13"/>
  <c r="I631" i="13"/>
  <c r="I2241" i="13"/>
  <c r="I1665" i="13"/>
  <c r="I54" i="13"/>
  <c r="I2230" i="13"/>
  <c r="I2069" i="13"/>
  <c r="I2070" i="13"/>
  <c r="I1637" i="13"/>
  <c r="I2343" i="13"/>
  <c r="I1459" i="13"/>
  <c r="I712" i="13"/>
  <c r="I2444" i="13"/>
  <c r="I414" i="13"/>
  <c r="I632" i="13"/>
  <c r="I415" i="13"/>
  <c r="I416" i="13"/>
  <c r="I1026" i="13"/>
  <c r="I417" i="13"/>
  <c r="I952" i="13"/>
  <c r="I1666" i="13"/>
  <c r="I880" i="13"/>
  <c r="I2270" i="13"/>
  <c r="I2344" i="13"/>
  <c r="I247" i="13"/>
  <c r="I2345" i="13"/>
  <c r="I2071" i="13"/>
  <c r="I881" i="13"/>
  <c r="I1729" i="13"/>
  <c r="I418" i="13"/>
  <c r="I633" i="13"/>
  <c r="I1667" i="13"/>
  <c r="I419" i="13"/>
  <c r="I1004" i="13"/>
  <c r="I1860" i="13"/>
  <c r="I2346" i="13"/>
  <c r="I1668" i="13"/>
  <c r="I1387" i="13"/>
  <c r="I248" i="13"/>
  <c r="I818" i="13"/>
  <c r="I2072" i="13"/>
  <c r="I953" i="13"/>
  <c r="I1085" i="13"/>
  <c r="I1320" i="13"/>
  <c r="I1401" i="13"/>
  <c r="I2073" i="13"/>
  <c r="I2074" i="13"/>
  <c r="I108" i="13"/>
  <c r="I168" i="13"/>
  <c r="I1402" i="13"/>
  <c r="I713" i="13"/>
  <c r="I2315" i="13"/>
  <c r="I2075" i="13"/>
  <c r="I2445" i="13"/>
  <c r="I2374" i="13"/>
  <c r="I2158" i="13"/>
  <c r="I1777" i="13"/>
  <c r="I2076" i="13"/>
  <c r="I2347" i="13"/>
  <c r="I420" i="13"/>
  <c r="I2291" i="13"/>
  <c r="I1861" i="13"/>
  <c r="I24" i="13"/>
  <c r="I819" i="13"/>
  <c r="I763" i="13"/>
  <c r="I132" i="13"/>
  <c r="I2375" i="13"/>
  <c r="I2446" i="13"/>
  <c r="I1321" i="13"/>
  <c r="I954" i="13"/>
  <c r="I1322" i="13"/>
  <c r="I1027" i="13"/>
  <c r="I1323" i="13"/>
  <c r="I569" i="13"/>
  <c r="I920" i="13"/>
  <c r="I2376" i="13"/>
  <c r="I1862" i="13"/>
  <c r="I1584" i="13"/>
  <c r="I1800" i="13"/>
  <c r="I421" i="13"/>
  <c r="I249" i="13"/>
  <c r="I986" i="13"/>
  <c r="I422" i="13"/>
  <c r="I2077" i="13"/>
  <c r="I508" i="13"/>
  <c r="I169" i="13"/>
  <c r="I2159" i="13"/>
  <c r="I549" i="13"/>
  <c r="I2078" i="13"/>
  <c r="I714" i="13"/>
  <c r="I2079" i="13"/>
  <c r="I32" i="13"/>
  <c r="I1863" i="13"/>
  <c r="I1621" i="13"/>
  <c r="I1032" i="13"/>
  <c r="I1669" i="13"/>
  <c r="I1778" i="13"/>
  <c r="I423" i="13"/>
  <c r="I882" i="13"/>
  <c r="I784" i="13"/>
  <c r="I1069" i="13"/>
  <c r="I2447" i="13"/>
  <c r="I2295" i="13"/>
  <c r="I987" i="13"/>
  <c r="I2080" i="13"/>
  <c r="I2081" i="13"/>
  <c r="I1049" i="13"/>
  <c r="I1324" i="13"/>
  <c r="I2082" i="13"/>
  <c r="I2083" i="13"/>
  <c r="I170" i="13"/>
  <c r="I988" i="13"/>
  <c r="I1134" i="13"/>
  <c r="I2160" i="13"/>
  <c r="I509" i="13"/>
  <c r="I510" i="13"/>
  <c r="I2231" i="13"/>
  <c r="I511" i="13"/>
  <c r="I764" i="13"/>
  <c r="I2348" i="13"/>
  <c r="I2084" i="13"/>
  <c r="I1070" i="13"/>
  <c r="I883" i="13"/>
  <c r="I424" i="13"/>
  <c r="I2085" i="13"/>
  <c r="I2377" i="13"/>
  <c r="I1325" i="13"/>
  <c r="I570" i="13"/>
  <c r="I989" i="13"/>
  <c r="I634" i="13"/>
  <c r="I512" i="13"/>
  <c r="I2271" i="13"/>
  <c r="I2086" i="13"/>
  <c r="I1638" i="13"/>
  <c r="I2272" i="13"/>
  <c r="I171" i="13"/>
  <c r="I425" i="13"/>
  <c r="I191" i="13"/>
  <c r="I571" i="13"/>
  <c r="I426" i="13"/>
  <c r="I2161" i="13"/>
  <c r="I1388" i="13"/>
  <c r="I697" i="13"/>
  <c r="I1116" i="13"/>
  <c r="I1086" i="13"/>
  <c r="I1326" i="13"/>
  <c r="I1071" i="13"/>
  <c r="I513" i="13"/>
  <c r="I2087" i="13"/>
  <c r="I2242" i="13"/>
  <c r="I2088" i="13"/>
  <c r="I1730" i="13"/>
  <c r="I2378" i="13"/>
  <c r="I1327" i="13"/>
  <c r="I2089" i="13"/>
  <c r="I1328" i="13"/>
  <c r="I42" i="13"/>
  <c r="I1622" i="13"/>
  <c r="I427" i="13"/>
  <c r="I1329" i="13"/>
  <c r="I1623" i="13"/>
  <c r="I2379" i="13"/>
  <c r="I428" i="13"/>
  <c r="I2349" i="13"/>
  <c r="I2090" i="13"/>
  <c r="I2380" i="13"/>
  <c r="I1585" i="13"/>
  <c r="I1532" i="13"/>
  <c r="I2350" i="13"/>
  <c r="I550" i="13"/>
  <c r="I250" i="13"/>
  <c r="I1121" i="13"/>
  <c r="I1404" i="13"/>
  <c r="I1330" i="13"/>
  <c r="I251" i="13"/>
  <c r="I1864" i="13"/>
  <c r="I576" i="13"/>
  <c r="I1122" i="13"/>
  <c r="I1865" i="13"/>
  <c r="I172" i="13"/>
  <c r="I1586" i="13"/>
  <c r="I514" i="13"/>
  <c r="I133" i="13"/>
  <c r="I429" i="13"/>
  <c r="I820" i="13"/>
  <c r="I799" i="13"/>
  <c r="I2162" i="13"/>
  <c r="I2091" i="13"/>
  <c r="I1704" i="13"/>
  <c r="I551" i="13"/>
  <c r="I1072" i="13"/>
  <c r="I1331" i="13"/>
  <c r="I921" i="13"/>
  <c r="I2273" i="13"/>
  <c r="I430" i="13"/>
  <c r="I1167" i="13"/>
  <c r="I173" i="13"/>
  <c r="I884" i="13"/>
  <c r="I2316" i="13"/>
  <c r="I1028" i="13"/>
  <c r="I2351" i="13"/>
  <c r="I785" i="13"/>
  <c r="I1639" i="13"/>
  <c r="I252" i="13"/>
  <c r="I1108" i="13"/>
  <c r="I2448" i="13"/>
  <c r="I33" i="13"/>
  <c r="I1731" i="13"/>
  <c r="I1484" i="13"/>
  <c r="I1866" i="13"/>
  <c r="I1705" i="13"/>
  <c r="I1867" i="13"/>
  <c r="I253" i="13"/>
  <c r="I254" i="13"/>
  <c r="I431" i="13"/>
  <c r="I2449" i="13"/>
  <c r="I1332" i="13"/>
  <c r="I2465" i="13"/>
  <c r="I1460" i="13"/>
  <c r="I432" i="13"/>
  <c r="I2274" i="13"/>
  <c r="I635" i="13"/>
  <c r="I2092" i="13"/>
  <c r="I1109" i="13"/>
  <c r="I1587" i="13"/>
  <c r="I1430" i="13"/>
  <c r="I636" i="13"/>
  <c r="I1333" i="13"/>
  <c r="I669" i="13"/>
  <c r="I433" i="13"/>
  <c r="I2093" i="13"/>
  <c r="I800" i="13"/>
  <c r="I1504" i="13"/>
  <c r="I1091" i="13"/>
  <c r="I2094" i="13"/>
  <c r="I2352" i="13"/>
  <c r="I2163" i="13"/>
  <c r="I1334" i="13"/>
  <c r="I722" i="13"/>
  <c r="I2164" i="13"/>
  <c r="I2095" i="13"/>
  <c r="I97" i="13"/>
  <c r="I1739" i="13"/>
  <c r="I515" i="13"/>
  <c r="I2165" i="13"/>
  <c r="I1779" i="13"/>
  <c r="I2096" i="13"/>
  <c r="I885" i="13"/>
  <c r="I1670" i="13"/>
  <c r="I886" i="13"/>
  <c r="I1335" i="13"/>
  <c r="I1336" i="13"/>
  <c r="I1110" i="13"/>
  <c r="I1337" i="13"/>
  <c r="I1732" i="13"/>
  <c r="I2097" i="13"/>
  <c r="I670" i="13"/>
  <c r="I1505" i="13"/>
  <c r="I434" i="13"/>
  <c r="I1868" i="13"/>
  <c r="I1087" i="13"/>
  <c r="I2353" i="13"/>
  <c r="I1780" i="13"/>
  <c r="I2098" i="13"/>
  <c r="I637" i="13"/>
  <c r="I2099" i="13"/>
  <c r="I174" i="13"/>
  <c r="I747" i="13"/>
  <c r="I887" i="13"/>
  <c r="I765" i="13"/>
  <c r="I572" i="13"/>
  <c r="I109" i="13"/>
  <c r="I2100" i="13"/>
  <c r="I2166" i="13"/>
  <c r="I766" i="13"/>
  <c r="I1111" i="13"/>
  <c r="I1073" i="13"/>
  <c r="I1706" i="13"/>
  <c r="I748" i="13"/>
  <c r="I435" i="13"/>
  <c r="I34" i="13"/>
  <c r="I2101" i="13"/>
  <c r="I2102" i="13"/>
  <c r="I436" i="13"/>
  <c r="I1869" i="13"/>
  <c r="I1485" i="13"/>
  <c r="I1781" i="13"/>
  <c r="I2103" i="13"/>
  <c r="I2205" i="13"/>
  <c r="I2450" i="13"/>
  <c r="I255" i="13"/>
  <c r="I98" i="13"/>
  <c r="I1338" i="13"/>
  <c r="I2451" i="13"/>
  <c r="I1339" i="13"/>
  <c r="I2206" i="13"/>
  <c r="I1381" i="13"/>
  <c r="I2232" i="13"/>
  <c r="I14" i="13"/>
  <c r="I1533" i="13"/>
  <c r="I2104" i="13"/>
  <c r="I1340" i="13"/>
  <c r="I2207" i="13"/>
  <c r="I2105" i="13"/>
  <c r="I1341" i="13"/>
  <c r="I955" i="13"/>
  <c r="I1810" i="13"/>
  <c r="I437" i="13"/>
  <c r="I888" i="13"/>
  <c r="I1740" i="13"/>
  <c r="I1733" i="13"/>
  <c r="I1342" i="13"/>
  <c r="I671" i="13"/>
  <c r="I2354" i="13"/>
  <c r="I922" i="13"/>
  <c r="I2106" i="13"/>
  <c r="I1870" i="13"/>
  <c r="I2107" i="13"/>
  <c r="I1343" i="13"/>
  <c r="I573" i="13"/>
  <c r="I1344" i="13"/>
  <c r="I2108" i="13"/>
  <c r="I1871" i="13"/>
  <c r="I990" i="13"/>
  <c r="I1431" i="13"/>
  <c r="I1345" i="13"/>
  <c r="I2275" i="13"/>
  <c r="I1588" i="13"/>
  <c r="I256" i="13"/>
  <c r="I1589" i="13"/>
  <c r="I2208" i="13"/>
  <c r="I2292" i="13"/>
  <c r="I1405" i="13"/>
  <c r="I1346" i="13"/>
  <c r="I2109" i="13"/>
  <c r="I889" i="13"/>
  <c r="I1707" i="13"/>
  <c r="I1088" i="13"/>
  <c r="I1708" i="13"/>
  <c r="I1074" i="13"/>
  <c r="I1741" i="13"/>
  <c r="I1347" i="13"/>
  <c r="I1168" i="13"/>
  <c r="I1348" i="13"/>
  <c r="I257" i="13"/>
  <c r="I1349" i="13"/>
  <c r="I1709" i="13"/>
  <c r="I715" i="13"/>
  <c r="I638" i="13"/>
  <c r="I1075" i="13"/>
  <c r="I1135" i="13"/>
  <c r="I258" i="13"/>
  <c r="I134" i="13"/>
  <c r="I890" i="13"/>
  <c r="I438" i="13"/>
  <c r="I2110" i="13"/>
  <c r="I2276" i="13"/>
  <c r="I2111" i="13"/>
  <c r="I639" i="13"/>
  <c r="I1350" i="13"/>
  <c r="I2243" i="13"/>
  <c r="I1506" i="13"/>
  <c r="I99" i="13"/>
  <c r="I2112" i="13"/>
  <c r="I552" i="13"/>
  <c r="I1710" i="13"/>
  <c r="I730" i="13"/>
  <c r="I1123" i="13"/>
  <c r="I1351" i="13"/>
  <c r="I2452" i="13"/>
  <c r="I439" i="13"/>
  <c r="I2355" i="13"/>
  <c r="I2113" i="13"/>
  <c r="I1136" i="13"/>
  <c r="I1811" i="13"/>
  <c r="I100" i="13"/>
  <c r="I2114" i="13"/>
  <c r="I1461" i="13"/>
  <c r="I1352" i="13"/>
  <c r="I640" i="13"/>
  <c r="I1169" i="13"/>
  <c r="I516" i="13"/>
  <c r="I1711" i="13"/>
  <c r="I801" i="13"/>
  <c r="I2453" i="13"/>
  <c r="I1712" i="13"/>
  <c r="I440" i="13"/>
  <c r="I1782" i="13"/>
  <c r="I517" i="13"/>
  <c r="I1734" i="13"/>
  <c r="I553" i="13"/>
  <c r="I1534" i="13"/>
  <c r="I101" i="13"/>
  <c r="I956" i="13"/>
  <c r="I441" i="13"/>
  <c r="I1353" i="13"/>
  <c r="I1486" i="13"/>
  <c r="I2115" i="13"/>
  <c r="I923" i="13"/>
  <c r="I1170" i="13"/>
  <c r="I891" i="13"/>
  <c r="I1076" i="13"/>
  <c r="I1137" i="13"/>
  <c r="I1713" i="13"/>
  <c r="I2116" i="13"/>
  <c r="I1590" i="13"/>
  <c r="I518" i="13"/>
  <c r="I2167" i="13"/>
  <c r="I442" i="13"/>
  <c r="I2168" i="13"/>
  <c r="I1354" i="13"/>
  <c r="I443" i="13"/>
  <c r="I924" i="13"/>
  <c r="I2209" i="13"/>
  <c r="I1743" i="13"/>
  <c r="I925" i="13"/>
  <c r="I1355" i="13"/>
  <c r="I1801" i="13"/>
  <c r="I926" i="13"/>
  <c r="I554" i="13"/>
  <c r="I672" i="13"/>
  <c r="I641" i="13"/>
  <c r="I259" i="13"/>
  <c r="I892" i="13"/>
  <c r="I1356" i="13"/>
  <c r="I673" i="13"/>
  <c r="I1560" i="13"/>
  <c r="I555" i="13"/>
  <c r="I175" i="13"/>
  <c r="I1357" i="13"/>
  <c r="I1872" i="13"/>
  <c r="I2277" i="13"/>
  <c r="I1358" i="13"/>
  <c r="I1714" i="13"/>
  <c r="I102" i="13"/>
  <c r="I2210" i="13"/>
  <c r="I1171" i="13"/>
  <c r="I642" i="13"/>
  <c r="I444" i="13"/>
  <c r="I2117" i="13"/>
  <c r="I556" i="13"/>
  <c r="I643" i="13"/>
  <c r="I2118" i="13"/>
  <c r="I1735" i="13"/>
  <c r="I55" i="13"/>
  <c r="I2278" i="13"/>
  <c r="I674" i="13"/>
  <c r="I2454" i="13"/>
  <c r="I2455" i="13"/>
  <c r="I1462" i="13"/>
  <c r="I927" i="13"/>
  <c r="I2211" i="13"/>
  <c r="I698" i="13"/>
  <c r="I821" i="13"/>
  <c r="I675" i="13"/>
  <c r="I1463" i="13"/>
  <c r="I2244" i="13"/>
  <c r="I893" i="13"/>
  <c r="I445" i="13"/>
  <c r="I1715" i="13"/>
  <c r="I446" i="13"/>
  <c r="I894" i="13"/>
  <c r="I1359" i="13"/>
  <c r="I1812" i="13"/>
  <c r="I1716" i="13"/>
  <c r="I822" i="13"/>
  <c r="I991" i="13"/>
  <c r="I447" i="13"/>
  <c r="I448" i="13"/>
  <c r="I135" i="13"/>
  <c r="I699" i="13"/>
  <c r="I136" i="13"/>
  <c r="I767" i="13"/>
  <c r="I1382" i="13"/>
  <c r="I2119" i="13"/>
  <c r="I644" i="13"/>
  <c r="I2169" i="13"/>
  <c r="I35" i="13"/>
  <c r="I1717" i="13"/>
  <c r="I449" i="13"/>
  <c r="I450" i="13"/>
  <c r="I1671" i="13"/>
  <c r="I1050" i="13"/>
  <c r="I895" i="13"/>
  <c r="I2212" i="13"/>
  <c r="I2356" i="13"/>
  <c r="I1640" i="13"/>
  <c r="I1360" i="13"/>
  <c r="I1591" i="13"/>
  <c r="I1464" i="13"/>
  <c r="I2120" i="13"/>
  <c r="I2121" i="13"/>
  <c r="I1172" i="13"/>
  <c r="I104" i="13"/>
  <c r="I2296" i="13"/>
  <c r="I1361" i="13"/>
  <c r="I1802" i="13"/>
  <c r="I2122" i="13"/>
  <c r="I574" i="13"/>
  <c r="I2123" i="13"/>
  <c r="I2357" i="13"/>
  <c r="I645" i="13"/>
  <c r="I1362" i="13"/>
  <c r="I1363" i="13"/>
  <c r="I1173" i="13"/>
  <c r="I519" i="13"/>
  <c r="I451" i="13"/>
  <c r="I587" i="13"/>
  <c r="I2456" i="13"/>
  <c r="I137" i="13"/>
  <c r="I1873" i="13"/>
  <c r="I2124" i="13"/>
  <c r="I520" i="13"/>
  <c r="I2125" i="13"/>
  <c r="I1783" i="13"/>
  <c r="I176" i="13"/>
  <c r="I2126" i="13"/>
  <c r="I723" i="13"/>
  <c r="I1364" i="13"/>
  <c r="I768" i="13"/>
  <c r="I646" i="13"/>
  <c r="I260" i="13"/>
  <c r="I2213" i="13"/>
  <c r="I521" i="13"/>
  <c r="I896" i="13"/>
  <c r="I1365" i="13"/>
  <c r="I2457" i="13"/>
  <c r="I2127" i="13"/>
  <c r="I823" i="13"/>
  <c r="I1535" i="13"/>
  <c r="I2170" i="13"/>
  <c r="I957" i="13"/>
  <c r="I177" i="13"/>
  <c r="I261" i="13"/>
  <c r="I2128" i="13"/>
  <c r="I897" i="13"/>
  <c r="I1124" i="13"/>
  <c r="I2214" i="13"/>
  <c r="I1507" i="13"/>
  <c r="I2358" i="13"/>
  <c r="I898" i="13"/>
  <c r="I103" i="13"/>
  <c r="I178" i="13"/>
  <c r="I786" i="13"/>
  <c r="I1784" i="13"/>
  <c r="I2129" i="13"/>
  <c r="I2458" i="13"/>
  <c r="I1641" i="13"/>
  <c r="I647" i="13"/>
  <c r="I1125" i="13"/>
  <c r="I899" i="13"/>
  <c r="I1039" i="13"/>
  <c r="I900" i="13"/>
  <c r="I452" i="13"/>
  <c r="I2359" i="13"/>
  <c r="I2130" i="13"/>
  <c r="I453" i="13"/>
  <c r="I1366" i="13"/>
  <c r="I2459" i="13"/>
  <c r="I689" i="13"/>
  <c r="I2171" i="13"/>
  <c r="I1718" i="13"/>
  <c r="I1367" i="13"/>
  <c r="I1368" i="13"/>
  <c r="I2293" i="13"/>
  <c r="I769" i="13"/>
  <c r="I1369" i="13"/>
  <c r="I1487" i="13"/>
  <c r="I2381" i="13"/>
  <c r="I2298" i="13"/>
  <c r="I770" i="13"/>
  <c r="I1465" i="13"/>
  <c r="I454" i="13"/>
  <c r="I1370" i="13"/>
  <c r="I802" i="13"/>
  <c r="I1040" i="13"/>
  <c r="I522" i="13"/>
  <c r="I1719" i="13"/>
  <c r="I1371" i="13"/>
  <c r="I25" i="13"/>
  <c r="I2215" i="13"/>
  <c r="I1372" i="13"/>
  <c r="I2317" i="13"/>
  <c r="I1874" i="13"/>
  <c r="I2131" i="13"/>
  <c r="I1875" i="13"/>
  <c r="I992" i="13"/>
  <c r="I1373" i="13"/>
  <c r="I455" i="13"/>
  <c r="I1785" i="13"/>
  <c r="I2460" i="13"/>
  <c r="I1786" i="13"/>
  <c r="I1374" i="13"/>
  <c r="I2132" i="13"/>
  <c r="I1005" i="13"/>
  <c r="I2360" i="13"/>
  <c r="I36" i="13"/>
  <c r="I1138" i="13"/>
  <c r="I1876" i="13"/>
  <c r="I2361" i="13"/>
  <c r="I1029" i="13"/>
  <c r="I2304" i="13"/>
  <c r="I1414" i="13"/>
  <c r="I523" i="13"/>
  <c r="I524" i="13"/>
  <c r="I1488" i="13"/>
  <c r="I2461" i="13"/>
  <c r="I262" i="13"/>
  <c r="I263" i="13"/>
  <c r="I456" i="13"/>
  <c r="I676" i="13"/>
  <c r="I2382" i="13"/>
  <c r="I1877" i="13"/>
  <c r="I1466" i="13"/>
  <c r="I1878" i="13"/>
  <c r="I1174" i="13"/>
  <c r="I1375" i="13"/>
  <c r="I1376" i="13"/>
  <c r="I457" i="13"/>
  <c r="I901" i="13"/>
  <c r="I458" i="13"/>
  <c r="I716" i="13"/>
  <c r="I1377" i="13"/>
  <c r="I43" i="13"/>
  <c r="I2362" i="13"/>
  <c r="I264" i="13"/>
  <c r="I525" i="13"/>
  <c r="I1787" i="13"/>
  <c r="I1720" i="13"/>
  <c r="I2216" i="13"/>
  <c r="I2217" i="13"/>
  <c r="I459" i="13"/>
  <c r="I1432" i="13"/>
  <c r="I460" i="13"/>
  <c r="I37" i="13"/>
  <c r="AR42" i="13"/>
  <c r="AR86" i="13"/>
  <c r="AR50" i="13"/>
  <c r="AR96" i="13"/>
  <c r="AR100" i="13"/>
  <c r="AR64" i="13"/>
  <c r="AR60" i="13"/>
  <c r="AR76" i="13"/>
  <c r="AR83" i="13"/>
  <c r="AR52" i="13"/>
  <c r="AR62" i="13"/>
  <c r="AR91" i="13"/>
  <c r="AR49" i="13"/>
  <c r="AR66" i="13"/>
  <c r="AR45" i="13"/>
  <c r="AR69" i="13"/>
  <c r="AR97" i="13"/>
  <c r="AR101" i="13"/>
  <c r="AR65" i="13"/>
  <c r="AR55" i="13"/>
  <c r="AR43" i="13"/>
  <c r="AR71" i="13"/>
  <c r="AR84" i="13"/>
  <c r="AR85" i="13"/>
  <c r="AR72" i="13"/>
  <c r="AR53" i="13"/>
  <c r="AR79" i="13"/>
  <c r="AR87" i="13"/>
  <c r="AR70" i="13"/>
  <c r="AR73" i="13"/>
  <c r="AR59" i="13"/>
  <c r="AR68" i="13"/>
  <c r="AR51" i="13"/>
  <c r="AR77" i="13"/>
  <c r="AR48" i="13"/>
  <c r="AR75" i="13"/>
  <c r="AR57" i="13"/>
  <c r="AR58" i="13"/>
  <c r="AR80" i="13"/>
  <c r="AR88" i="13"/>
  <c r="AR92" i="13"/>
  <c r="AR98" i="13"/>
  <c r="AR102" i="13"/>
  <c r="AR94" i="13"/>
  <c r="AR56" i="13"/>
  <c r="AR99" i="13"/>
  <c r="AR74" i="13"/>
  <c r="AR90" i="13"/>
  <c r="AR67" i="13"/>
  <c r="AR78" i="13"/>
  <c r="AR81" i="13"/>
  <c r="AR89" i="13"/>
  <c r="AR93" i="13"/>
  <c r="AR54" i="13"/>
  <c r="AR103" i="13"/>
  <c r="AR82" i="13"/>
  <c r="AR46" i="13"/>
  <c r="AR47" i="13"/>
  <c r="AR61" i="13"/>
  <c r="AR95" i="13"/>
  <c r="AR104" i="13"/>
  <c r="AR44" i="13"/>
  <c r="AR63" i="13"/>
  <c r="AB82" i="13"/>
  <c r="AB88" i="13"/>
  <c r="AB159" i="13"/>
  <c r="AB166" i="13"/>
  <c r="AB161" i="13"/>
  <c r="AB99" i="13"/>
  <c r="AB100" i="13"/>
  <c r="AB93" i="13"/>
  <c r="AB94" i="13"/>
  <c r="AB154" i="13"/>
  <c r="AB87" i="13"/>
  <c r="AB83" i="13"/>
  <c r="AB89" i="13"/>
  <c r="AB96" i="13"/>
  <c r="AB167" i="13"/>
  <c r="AB157" i="13"/>
  <c r="AB162" i="13"/>
  <c r="AB149" i="13"/>
  <c r="AB90" i="13"/>
  <c r="AB160" i="13"/>
  <c r="AB101" i="13"/>
  <c r="AB91" i="13"/>
  <c r="AB151" i="13"/>
  <c r="AB163" i="13"/>
  <c r="AB95" i="13"/>
  <c r="AB84" i="13"/>
  <c r="AB155" i="13"/>
  <c r="AB97" i="13"/>
  <c r="AB150" i="13"/>
  <c r="AB92" i="13"/>
  <c r="AB86" i="13"/>
  <c r="AB164" i="13"/>
  <c r="AB158" i="13"/>
  <c r="AB85" i="13"/>
  <c r="AB156" i="13"/>
  <c r="AB98" i="13"/>
  <c r="AB152" i="13"/>
  <c r="AB153" i="13"/>
  <c r="AB165" i="13"/>
  <c r="AB42" i="13"/>
  <c r="AB128" i="13"/>
  <c r="AB52" i="13"/>
  <c r="AB57" i="13"/>
  <c r="AB135" i="13"/>
  <c r="AB139" i="13"/>
  <c r="AB73" i="13"/>
  <c r="AB80" i="13"/>
  <c r="AB55" i="13"/>
  <c r="AB103" i="13"/>
  <c r="AB56" i="13"/>
  <c r="AB70" i="13"/>
  <c r="AB134" i="13"/>
  <c r="AB104" i="13"/>
  <c r="AB66" i="13"/>
  <c r="AB138" i="13"/>
  <c r="AB79" i="13"/>
  <c r="AB43" i="13"/>
  <c r="AB47" i="13"/>
  <c r="AB110" i="13"/>
  <c r="AB58" i="13"/>
  <c r="AB120" i="13"/>
  <c r="AB140" i="13"/>
  <c r="AB144" i="13"/>
  <c r="AB148" i="13"/>
  <c r="AB121" i="13"/>
  <c r="AB64" i="13"/>
  <c r="AB124" i="13"/>
  <c r="AB137" i="13"/>
  <c r="AB131" i="13"/>
  <c r="AB51" i="13"/>
  <c r="AB77" i="13"/>
  <c r="AB105" i="13"/>
  <c r="AB115" i="13"/>
  <c r="AB102" i="13"/>
  <c r="AB129" i="13"/>
  <c r="AB111" i="13"/>
  <c r="AB59" i="13"/>
  <c r="AB136" i="13"/>
  <c r="AB141" i="13"/>
  <c r="AB145" i="13"/>
  <c r="AB81" i="13"/>
  <c r="AB49" i="13"/>
  <c r="AB112" i="13"/>
  <c r="AB130" i="13"/>
  <c r="AB122" i="13"/>
  <c r="AB118" i="13"/>
  <c r="AB114" i="13"/>
  <c r="AB127" i="13"/>
  <c r="AB44" i="13"/>
  <c r="AB106" i="13"/>
  <c r="AB53" i="13"/>
  <c r="AB116" i="13"/>
  <c r="AB62" i="13"/>
  <c r="AB142" i="13"/>
  <c r="AB74" i="13"/>
  <c r="AB126" i="13"/>
  <c r="AB60" i="13"/>
  <c r="AB69" i="13"/>
  <c r="AB117" i="13"/>
  <c r="AB46" i="13"/>
  <c r="AB76" i="13"/>
  <c r="AB65" i="13"/>
  <c r="AB71" i="13"/>
  <c r="AB61" i="13"/>
  <c r="AB72" i="13"/>
  <c r="AB109" i="13"/>
  <c r="AB125" i="13"/>
  <c r="AB48" i="13"/>
  <c r="AB54" i="13"/>
  <c r="AB132" i="13"/>
  <c r="AB63" i="13"/>
  <c r="AB67" i="13"/>
  <c r="AB75" i="13"/>
  <c r="AB133" i="13"/>
  <c r="AB68" i="13"/>
  <c r="AB146" i="13"/>
  <c r="AB107" i="13"/>
  <c r="AB45" i="13"/>
  <c r="AB147" i="13"/>
  <c r="AB50" i="13"/>
  <c r="AB143" i="13"/>
  <c r="AB113" i="13"/>
  <c r="AB108" i="13"/>
  <c r="AB78" i="13"/>
  <c r="AB119" i="13"/>
  <c r="AB123" i="13"/>
  <c r="L55" i="13"/>
  <c r="L72" i="13"/>
  <c r="L61" i="13"/>
  <c r="L84" i="13"/>
  <c r="L69" i="13"/>
  <c r="L66" i="13"/>
  <c r="L58" i="13"/>
  <c r="L59" i="13"/>
  <c r="L44" i="13"/>
  <c r="L70" i="13"/>
  <c r="L53" i="13"/>
  <c r="L68" i="13"/>
  <c r="L83" i="13"/>
  <c r="L56" i="13"/>
  <c r="L73" i="13"/>
  <c r="L78" i="13"/>
  <c r="L85" i="13"/>
  <c r="L79" i="13"/>
  <c r="L80" i="13"/>
  <c r="L75" i="13"/>
  <c r="L63" i="13"/>
  <c r="L88" i="13"/>
  <c r="L71" i="13"/>
  <c r="L64" i="13"/>
  <c r="L90" i="13"/>
  <c r="L42" i="13"/>
  <c r="L47" i="13"/>
  <c r="L62" i="13"/>
  <c r="L65" i="13"/>
  <c r="L48" i="13"/>
  <c r="L49" i="13"/>
  <c r="L81" i="13"/>
  <c r="L67" i="13"/>
  <c r="L51" i="13"/>
  <c r="L89" i="13"/>
  <c r="L77" i="13"/>
  <c r="L46" i="13"/>
  <c r="L57" i="13"/>
  <c r="L74" i="13"/>
  <c r="L52" i="13"/>
  <c r="L86" i="13"/>
  <c r="L43" i="13"/>
  <c r="L87" i="13"/>
  <c r="L54" i="13"/>
  <c r="L50" i="13"/>
  <c r="L82" i="13"/>
  <c r="L76" i="13"/>
  <c r="L45" i="13"/>
  <c r="L60" i="13"/>
  <c r="AO377" i="13"/>
  <c r="G316" i="3" l="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C316" i="3"/>
  <c r="C317" i="3"/>
  <c r="C318" i="3"/>
  <c r="C319" i="3"/>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G68" i="3"/>
  <c r="AO821" i="13"/>
  <c r="AO833" i="13"/>
  <c r="AO950" i="13"/>
  <c r="AO952" i="13"/>
  <c r="AO938" i="13"/>
  <c r="AO939" i="13"/>
  <c r="AO931" i="13"/>
  <c r="AO1034" i="13"/>
  <c r="AO942" i="13"/>
  <c r="AO366" i="13"/>
  <c r="AO937" i="13"/>
  <c r="AO1033" i="13"/>
  <c r="AO148" i="13"/>
  <c r="AO341" i="13"/>
  <c r="AO150" i="13"/>
  <c r="AO838" i="13"/>
  <c r="AO831" i="13"/>
  <c r="AO826" i="13"/>
  <c r="AO346" i="13"/>
  <c r="AO860" i="13"/>
  <c r="AO154" i="13"/>
  <c r="AO824" i="13"/>
  <c r="AO856" i="13"/>
  <c r="AO834" i="13"/>
  <c r="AO827" i="13"/>
  <c r="AO819" i="13"/>
  <c r="AO370" i="13"/>
  <c r="Y999" i="13"/>
  <c r="Y1560" i="13"/>
  <c r="Y11" i="13"/>
  <c r="Y117" i="13"/>
  <c r="Y131" i="13"/>
  <c r="Y1097" i="13"/>
  <c r="I1448" i="13"/>
  <c r="I1403" i="13"/>
  <c r="I1433" i="13"/>
  <c r="I1400" i="13"/>
  <c r="I13" i="13"/>
  <c r="I1759" i="13"/>
  <c r="I1767" i="13"/>
  <c r="I192" i="13"/>
  <c r="I9" i="13"/>
  <c r="S145" i="3" l="1"/>
  <c r="Q145" i="3"/>
  <c r="V131" i="3"/>
  <c r="Q131" i="3"/>
  <c r="S131" i="3"/>
  <c r="N131" i="3"/>
  <c r="M131" i="3"/>
  <c r="M130" i="3"/>
  <c r="L131" i="3"/>
  <c r="N86" i="3"/>
  <c r="M86" i="3"/>
  <c r="L86" i="3"/>
  <c r="L85" i="3"/>
  <c r="S43" i="3"/>
  <c r="Q43" i="3"/>
  <c r="P43" i="3"/>
  <c r="O43" i="3"/>
  <c r="N43" i="3"/>
  <c r="M43" i="3"/>
  <c r="L43" i="3"/>
  <c r="I194" i="13"/>
  <c r="S17" i="12" l="1"/>
  <c r="S29" i="12"/>
  <c r="S41" i="12"/>
  <c r="S53" i="12"/>
  <c r="S65" i="12"/>
  <c r="S77" i="12"/>
  <c r="S89" i="12"/>
  <c r="S101" i="12"/>
  <c r="S113" i="12"/>
  <c r="S125" i="12"/>
  <c r="S137" i="12"/>
  <c r="S149" i="12"/>
  <c r="S14" i="12"/>
  <c r="S62" i="12"/>
  <c r="S110" i="12"/>
  <c r="S15" i="12"/>
  <c r="S32" i="12"/>
  <c r="S63" i="12"/>
  <c r="S80" i="12"/>
  <c r="S111" i="12"/>
  <c r="S128" i="12"/>
  <c r="S16" i="12"/>
  <c r="S49" i="12"/>
  <c r="S64" i="12"/>
  <c r="S97" i="12"/>
  <c r="S112" i="12"/>
  <c r="S145" i="12"/>
  <c r="S160" i="12"/>
  <c r="S20" i="12"/>
  <c r="S51" i="12"/>
  <c r="S68" i="12"/>
  <c r="S99" i="12"/>
  <c r="S116" i="12"/>
  <c r="S147" i="12"/>
  <c r="S164" i="12"/>
  <c r="S50" i="12"/>
  <c r="S98" i="12"/>
  <c r="S146" i="12"/>
  <c r="S37" i="12"/>
  <c r="S52" i="12"/>
  <c r="S85" i="12"/>
  <c r="S100" i="12"/>
  <c r="S133" i="12"/>
  <c r="S148" i="12"/>
  <c r="S39" i="12"/>
  <c r="S104" i="12"/>
  <c r="S135" i="12"/>
  <c r="S40" i="12"/>
  <c r="S73" i="12"/>
  <c r="S106" i="12"/>
  <c r="S136" i="12"/>
  <c r="S74" i="12"/>
  <c r="S107" i="12"/>
  <c r="S56" i="12"/>
  <c r="S87" i="12"/>
  <c r="S152" i="12"/>
  <c r="S24" i="12"/>
  <c r="S120" i="12"/>
  <c r="S12" i="12"/>
  <c r="S44" i="12"/>
  <c r="S75" i="12"/>
  <c r="S108" i="12"/>
  <c r="S140" i="12"/>
  <c r="S13" i="12"/>
  <c r="S46" i="12"/>
  <c r="S76" i="12"/>
  <c r="S109" i="12"/>
  <c r="S142" i="12"/>
  <c r="S23" i="12"/>
  <c r="S86" i="12"/>
  <c r="S119" i="12"/>
  <c r="S25" i="12"/>
  <c r="S58" i="12"/>
  <c r="S88" i="12"/>
  <c r="S121" i="12"/>
  <c r="S154" i="12"/>
  <c r="S38" i="12"/>
  <c r="S71" i="12"/>
  <c r="S103" i="12"/>
  <c r="S134" i="12"/>
  <c r="S26" i="12"/>
  <c r="S59" i="12"/>
  <c r="S91" i="12"/>
  <c r="S122" i="12"/>
  <c r="S155" i="12"/>
  <c r="S27" i="12"/>
  <c r="S60" i="12"/>
  <c r="S92" i="12"/>
  <c r="S123" i="12"/>
  <c r="S156" i="12"/>
  <c r="S61" i="12"/>
  <c r="S94" i="12"/>
  <c r="S124" i="12"/>
  <c r="S157" i="12"/>
  <c r="S28" i="12"/>
  <c r="S129" i="12"/>
  <c r="S66" i="12"/>
  <c r="S42" i="12"/>
  <c r="S118" i="12"/>
  <c r="S96" i="12"/>
  <c r="S21" i="12"/>
  <c r="S48" i="12"/>
  <c r="S162" i="12"/>
  <c r="S151" i="12"/>
  <c r="S159" i="12"/>
  <c r="S36" i="12"/>
  <c r="S166" i="12"/>
  <c r="S18" i="12"/>
  <c r="S138" i="12"/>
  <c r="S141" i="12"/>
  <c r="S102" i="12"/>
  <c r="S30" i="12"/>
  <c r="S84" i="12"/>
  <c r="S90" i="12"/>
  <c r="S150" i="12"/>
  <c r="S139" i="12"/>
  <c r="S130" i="12"/>
  <c r="S165" i="12"/>
  <c r="S105" i="12"/>
  <c r="S55" i="12"/>
  <c r="S163" i="12"/>
  <c r="S31" i="12"/>
  <c r="S19" i="12"/>
  <c r="S45" i="12"/>
  <c r="S43" i="12"/>
  <c r="S127" i="12"/>
  <c r="S143" i="12"/>
  <c r="S82" i="12"/>
  <c r="S158" i="12"/>
  <c r="S117" i="12"/>
  <c r="S81" i="12"/>
  <c r="S54" i="12"/>
  <c r="S67" i="12"/>
  <c r="S22" i="12"/>
  <c r="S33" i="12"/>
  <c r="S83" i="12"/>
  <c r="S115" i="12"/>
  <c r="S144" i="12"/>
  <c r="S131" i="12"/>
  <c r="S70" i="12"/>
  <c r="S57" i="12"/>
  <c r="S72" i="12"/>
  <c r="S161" i="12"/>
  <c r="S69" i="12"/>
  <c r="S126" i="12"/>
  <c r="S47" i="12"/>
  <c r="S35" i="12"/>
  <c r="S153" i="12"/>
  <c r="S79" i="12"/>
  <c r="S132" i="12"/>
  <c r="S34" i="12"/>
  <c r="S93" i="12"/>
  <c r="S95" i="12"/>
  <c r="S78" i="12"/>
  <c r="S114" i="12"/>
  <c r="Q15" i="12"/>
  <c r="Q27" i="12"/>
  <c r="Q39" i="12"/>
  <c r="Q51" i="12"/>
  <c r="Q63" i="12"/>
  <c r="Q75" i="12"/>
  <c r="Q87" i="12"/>
  <c r="Q99" i="12"/>
  <c r="Q111" i="12"/>
  <c r="Q123" i="12"/>
  <c r="Q135" i="12"/>
  <c r="Q147" i="12"/>
  <c r="Q16" i="12"/>
  <c r="Q24" i="12"/>
  <c r="Q57" i="12"/>
  <c r="Q72" i="12"/>
  <c r="Q105" i="12"/>
  <c r="Q153" i="12"/>
  <c r="Q13" i="12"/>
  <c r="Q30" i="12"/>
  <c r="Q46" i="12"/>
  <c r="Q61" i="12"/>
  <c r="Q78" i="12"/>
  <c r="Q94" i="12"/>
  <c r="Q126" i="12"/>
  <c r="Q142" i="12"/>
  <c r="Q25" i="12"/>
  <c r="Q42" i="12"/>
  <c r="Q58" i="12"/>
  <c r="Q73" i="12"/>
  <c r="Q90" i="12"/>
  <c r="Q106" i="12"/>
  <c r="Q138" i="12"/>
  <c r="Q154" i="12"/>
  <c r="Q14" i="12"/>
  <c r="Q32" i="12"/>
  <c r="Q47" i="12"/>
  <c r="Q62" i="12"/>
  <c r="Q80" i="12"/>
  <c r="Q95" i="12"/>
  <c r="Q110" i="12"/>
  <c r="Q128" i="12"/>
  <c r="Q143" i="12"/>
  <c r="Q158" i="12"/>
  <c r="Q26" i="12"/>
  <c r="Q44" i="12"/>
  <c r="Q74" i="12"/>
  <c r="Q92" i="12"/>
  <c r="Q122" i="12"/>
  <c r="Q140" i="12"/>
  <c r="Q12" i="12"/>
  <c r="Q45" i="12"/>
  <c r="Q60" i="12"/>
  <c r="Q93" i="12"/>
  <c r="Q141" i="12"/>
  <c r="Q34" i="12"/>
  <c r="Q66" i="12"/>
  <c r="Q97" i="12"/>
  <c r="Q130" i="12"/>
  <c r="Q162" i="12"/>
  <c r="Q35" i="12"/>
  <c r="Q68" i="12"/>
  <c r="Q98" i="12"/>
  <c r="Q131" i="12"/>
  <c r="Q164" i="12"/>
  <c r="Q18" i="12"/>
  <c r="Q49" i="12"/>
  <c r="Q114" i="12"/>
  <c r="Q36" i="12"/>
  <c r="Q69" i="12"/>
  <c r="Q132" i="12"/>
  <c r="Q165" i="12"/>
  <c r="Q82" i="12"/>
  <c r="Q145" i="12"/>
  <c r="Q37" i="12"/>
  <c r="Q70" i="12"/>
  <c r="Q102" i="12"/>
  <c r="Q133" i="12"/>
  <c r="Q166" i="12"/>
  <c r="Q38" i="12"/>
  <c r="Q71" i="12"/>
  <c r="Q104" i="12"/>
  <c r="Q134" i="12"/>
  <c r="Q17" i="12"/>
  <c r="Q48" i="12"/>
  <c r="Q81" i="12"/>
  <c r="Q113" i="12"/>
  <c r="Q144" i="12"/>
  <c r="Q20" i="12"/>
  <c r="Q50" i="12"/>
  <c r="Q83" i="12"/>
  <c r="Q116" i="12"/>
  <c r="Q146" i="12"/>
  <c r="Q33" i="12"/>
  <c r="Q65" i="12"/>
  <c r="Q96" i="12"/>
  <c r="Q129" i="12"/>
  <c r="Q161" i="12"/>
  <c r="Q21" i="12"/>
  <c r="Q53" i="12"/>
  <c r="Q84" i="12"/>
  <c r="Q117" i="12"/>
  <c r="Q149" i="12"/>
  <c r="Q22" i="12"/>
  <c r="Q54" i="12"/>
  <c r="Q85" i="12"/>
  <c r="Q118" i="12"/>
  <c r="Q150" i="12"/>
  <c r="Q23" i="12"/>
  <c r="Q86" i="12"/>
  <c r="Q56" i="12"/>
  <c r="Q119" i="12"/>
  <c r="Q152" i="12"/>
  <c r="Q88" i="12"/>
  <c r="Q100" i="12"/>
  <c r="Q125" i="12"/>
  <c r="Q115" i="12"/>
  <c r="Q103" i="12"/>
  <c r="Q121" i="12"/>
  <c r="Q67" i="12"/>
  <c r="Q157" i="12"/>
  <c r="Q101" i="12"/>
  <c r="Q151" i="12"/>
  <c r="Q112" i="12"/>
  <c r="Q64" i="12"/>
  <c r="Q76" i="12"/>
  <c r="Q89" i="12"/>
  <c r="Q91" i="12"/>
  <c r="Q77" i="12"/>
  <c r="Q163" i="12"/>
  <c r="Q52" i="12"/>
  <c r="Q40" i="12"/>
  <c r="Q79" i="12"/>
  <c r="Q28" i="12"/>
  <c r="Q160" i="12"/>
  <c r="Q148" i="12"/>
  <c r="Q41" i="12"/>
  <c r="Q109" i="12"/>
  <c r="Q55" i="12"/>
  <c r="Q19" i="12"/>
  <c r="Q127" i="12"/>
  <c r="Q29" i="12"/>
  <c r="Q156" i="12"/>
  <c r="Q43" i="12"/>
  <c r="Q107" i="12"/>
  <c r="Q137" i="12"/>
  <c r="Q155" i="12"/>
  <c r="Q31" i="12"/>
  <c r="Q120" i="12"/>
  <c r="Q108" i="12"/>
  <c r="Q136" i="12"/>
  <c r="Q159" i="12"/>
  <c r="Q124" i="12"/>
  <c r="Q59" i="12"/>
  <c r="Q139" i="12"/>
  <c r="O13" i="12"/>
  <c r="O25" i="12"/>
  <c r="O37" i="12"/>
  <c r="O49" i="12"/>
  <c r="O61" i="12"/>
  <c r="O73" i="12"/>
  <c r="O85" i="12"/>
  <c r="O97" i="12"/>
  <c r="O109" i="12"/>
  <c r="O121" i="12"/>
  <c r="O133" i="12"/>
  <c r="O145" i="12"/>
  <c r="O14" i="12"/>
  <c r="O26" i="12"/>
  <c r="O38" i="12"/>
  <c r="O12" i="12"/>
  <c r="O24" i="12"/>
  <c r="O36" i="12"/>
  <c r="O48" i="12"/>
  <c r="O60" i="12"/>
  <c r="O72" i="12"/>
  <c r="O84" i="12"/>
  <c r="O96" i="12"/>
  <c r="O108" i="12"/>
  <c r="O120" i="12"/>
  <c r="O132" i="12"/>
  <c r="O144" i="12"/>
  <c r="O156" i="12"/>
  <c r="O28" i="12"/>
  <c r="O52" i="12"/>
  <c r="O76" i="12"/>
  <c r="O100" i="12"/>
  <c r="O124" i="12"/>
  <c r="O148" i="12"/>
  <c r="O23" i="12"/>
  <c r="O47" i="12"/>
  <c r="O71" i="12"/>
  <c r="O95" i="12"/>
  <c r="O119" i="12"/>
  <c r="O143" i="12"/>
  <c r="O81" i="12"/>
  <c r="O136" i="12"/>
  <c r="O83" i="12"/>
  <c r="O107" i="12"/>
  <c r="O33" i="12"/>
  <c r="O88" i="12"/>
  <c r="O35" i="12"/>
  <c r="O153" i="12"/>
  <c r="O40" i="12"/>
  <c r="O155" i="12"/>
  <c r="O105" i="12"/>
  <c r="O160" i="12"/>
  <c r="O57" i="12"/>
  <c r="O112" i="12"/>
  <c r="O16" i="12"/>
  <c r="O131" i="12"/>
  <c r="O59" i="12"/>
  <c r="O127" i="12"/>
  <c r="O64" i="12"/>
  <c r="O129" i="12"/>
  <c r="O79" i="12"/>
  <c r="O164" i="12"/>
  <c r="O141" i="12"/>
  <c r="O55" i="12"/>
  <c r="O66" i="12"/>
  <c r="O135" i="12"/>
  <c r="O77" i="12"/>
  <c r="O154" i="12"/>
  <c r="O92" i="12"/>
  <c r="O99" i="12"/>
  <c r="O134" i="12"/>
  <c r="O165" i="12"/>
  <c r="O102" i="12"/>
  <c r="O147" i="12"/>
  <c r="O152" i="12"/>
  <c r="O117" i="12"/>
  <c r="O18" i="12"/>
  <c r="O103" i="12"/>
  <c r="O19" i="12"/>
  <c r="O42" i="12"/>
  <c r="O115" i="12"/>
  <c r="O123" i="12"/>
  <c r="O158" i="12"/>
  <c r="O65" i="12"/>
  <c r="O69" i="12"/>
  <c r="O44" i="12"/>
  <c r="O39" i="12"/>
  <c r="O34" i="12"/>
  <c r="O15" i="12"/>
  <c r="O140" i="12"/>
  <c r="O93" i="12"/>
  <c r="O104" i="12"/>
  <c r="O111" i="12"/>
  <c r="O146" i="12"/>
  <c r="O157" i="12"/>
  <c r="O53" i="12"/>
  <c r="O41" i="12"/>
  <c r="O151" i="12"/>
  <c r="O74" i="12"/>
  <c r="O22" i="12"/>
  <c r="O114" i="12"/>
  <c r="O126" i="12"/>
  <c r="O68" i="12"/>
  <c r="O50" i="12"/>
  <c r="O54" i="12"/>
  <c r="O163" i="12"/>
  <c r="O45" i="12"/>
  <c r="O139" i="12"/>
  <c r="O87" i="12"/>
  <c r="O122" i="12"/>
  <c r="O29" i="12"/>
  <c r="O149" i="12"/>
  <c r="O58" i="12"/>
  <c r="O162" i="12"/>
  <c r="O51" i="12"/>
  <c r="O70" i="12"/>
  <c r="O20" i="12"/>
  <c r="O125" i="12"/>
  <c r="O56" i="12"/>
  <c r="O30" i="12"/>
  <c r="O113" i="12"/>
  <c r="O101" i="12"/>
  <c r="O78" i="12"/>
  <c r="O142" i="12"/>
  <c r="O32" i="12"/>
  <c r="O166" i="12"/>
  <c r="O94" i="12"/>
  <c r="O21" i="12"/>
  <c r="O67" i="12"/>
  <c r="O150" i="12"/>
  <c r="O75" i="12"/>
  <c r="O110" i="12"/>
  <c r="O161" i="12"/>
  <c r="O17" i="12"/>
  <c r="O63" i="12"/>
  <c r="O130" i="12"/>
  <c r="O106" i="12"/>
  <c r="O43" i="12"/>
  <c r="O137" i="12"/>
  <c r="O46" i="12"/>
  <c r="O62" i="12"/>
  <c r="O89" i="12"/>
  <c r="O118" i="12"/>
  <c r="O80" i="12"/>
  <c r="O91" i="12"/>
  <c r="O31" i="12"/>
  <c r="O98" i="12"/>
  <c r="O82" i="12"/>
  <c r="O90" i="12"/>
  <c r="O86" i="12"/>
  <c r="O138" i="12"/>
  <c r="O27" i="12"/>
  <c r="O128" i="12"/>
  <c r="O116" i="12"/>
  <c r="O159" i="12"/>
  <c r="J10" i="15"/>
  <c r="J9" i="15"/>
  <c r="J8" i="15"/>
  <c r="U37" i="12" l="1"/>
  <c r="U51" i="12"/>
  <c r="U73" i="12"/>
  <c r="U24" i="12"/>
  <c r="U52" i="12"/>
  <c r="U25" i="12"/>
  <c r="U53" i="12"/>
  <c r="U87" i="12"/>
  <c r="U144" i="12"/>
  <c r="U26" i="12"/>
  <c r="U85" i="12"/>
  <c r="U113" i="12"/>
  <c r="U86" i="12"/>
  <c r="U38" i="12"/>
  <c r="U145" i="12"/>
  <c r="U14" i="12"/>
  <c r="U72" i="12"/>
  <c r="U100" i="12"/>
  <c r="U156" i="12"/>
  <c r="U39" i="12"/>
  <c r="U97" i="12"/>
  <c r="U125" i="12"/>
  <c r="U12" i="12"/>
  <c r="U40" i="12"/>
  <c r="U98" i="12"/>
  <c r="U13" i="12"/>
  <c r="U41" i="12"/>
  <c r="U99" i="12"/>
  <c r="U128" i="12"/>
  <c r="U153" i="12"/>
  <c r="U149" i="12"/>
  <c r="U157" i="12"/>
  <c r="U15" i="12"/>
  <c r="U76" i="12"/>
  <c r="U45" i="12"/>
  <c r="U23" i="12"/>
  <c r="U55" i="12"/>
  <c r="U127" i="12"/>
  <c r="U92" i="12"/>
  <c r="U59" i="12"/>
  <c r="U111" i="12"/>
  <c r="U101" i="12"/>
  <c r="U110" i="12"/>
  <c r="U50" i="12"/>
  <c r="U134" i="12"/>
  <c r="U83" i="12"/>
  <c r="U147" i="12"/>
  <c r="U112" i="12"/>
  <c r="U27" i="12"/>
  <c r="U62" i="12"/>
  <c r="U47" i="12"/>
  <c r="U141" i="12"/>
  <c r="U65" i="12"/>
  <c r="U96" i="12"/>
  <c r="U33" i="12"/>
  <c r="U133" i="12"/>
  <c r="U155" i="12"/>
  <c r="U107" i="12"/>
  <c r="U61" i="12"/>
  <c r="U104" i="12"/>
  <c r="U109" i="12"/>
  <c r="U123" i="12"/>
  <c r="U80" i="12"/>
  <c r="U135" i="12"/>
  <c r="U16" i="12"/>
  <c r="U64" i="12"/>
  <c r="U88" i="12"/>
  <c r="U137" i="12"/>
  <c r="U121" i="12"/>
  <c r="U56" i="12"/>
  <c r="U108" i="12"/>
  <c r="U17" i="12"/>
  <c r="U143" i="12"/>
  <c r="U48" i="12"/>
  <c r="U75" i="12"/>
  <c r="U49" i="12"/>
  <c r="U161" i="12"/>
  <c r="U60" i="12"/>
  <c r="U28" i="12"/>
  <c r="U122" i="12"/>
  <c r="U79" i="12"/>
  <c r="U95" i="12"/>
  <c r="U63" i="12"/>
  <c r="U139" i="12"/>
  <c r="U120" i="12"/>
  <c r="U31" i="12"/>
  <c r="U81" i="12"/>
  <c r="U146" i="12"/>
  <c r="U32" i="12"/>
  <c r="U29" i="12"/>
  <c r="U93" i="12"/>
  <c r="U165" i="12"/>
  <c r="U119" i="12"/>
  <c r="U132" i="12"/>
  <c r="U151" i="12"/>
  <c r="U74" i="12"/>
  <c r="U131" i="12"/>
  <c r="U71" i="12"/>
  <c r="U126" i="12"/>
  <c r="U116" i="12"/>
  <c r="U70" i="12"/>
  <c r="U89" i="12"/>
  <c r="U160" i="12"/>
  <c r="U34" i="12"/>
  <c r="U30" i="12"/>
  <c r="U35" i="12"/>
  <c r="U154" i="12"/>
  <c r="U159" i="12"/>
  <c r="U20" i="12"/>
  <c r="U138" i="12"/>
  <c r="U150" i="12"/>
  <c r="U66" i="12"/>
  <c r="U163" i="12"/>
  <c r="U57" i="12"/>
  <c r="U22" i="12"/>
  <c r="U67" i="12"/>
  <c r="U136" i="12"/>
  <c r="U42" i="12"/>
  <c r="U90" i="12"/>
  <c r="U117" i="12"/>
  <c r="U94" i="12"/>
  <c r="U84" i="12"/>
  <c r="U19" i="12"/>
  <c r="U162" i="12"/>
  <c r="U91" i="12"/>
  <c r="U166" i="12"/>
  <c r="U114" i="12"/>
  <c r="U152" i="12"/>
  <c r="U43" i="12"/>
  <c r="U103" i="12"/>
  <c r="U46" i="12"/>
  <c r="U36" i="12"/>
  <c r="U140" i="12"/>
  <c r="U105" i="12"/>
  <c r="U106" i="12"/>
  <c r="U21" i="12"/>
  <c r="U82" i="12"/>
  <c r="U77" i="12"/>
  <c r="U130" i="12"/>
  <c r="U44" i="12"/>
  <c r="U124" i="12"/>
  <c r="U115" i="12"/>
  <c r="U142" i="12"/>
  <c r="U58" i="12"/>
  <c r="U148" i="12"/>
  <c r="U18" i="12"/>
  <c r="U118" i="12"/>
  <c r="U129" i="12"/>
  <c r="U78" i="12"/>
  <c r="U54" i="12"/>
  <c r="U164" i="12"/>
  <c r="U158" i="12"/>
  <c r="U102" i="12"/>
  <c r="U69" i="12"/>
  <c r="U68" i="12"/>
  <c r="AG8" i="13"/>
  <c r="AW8" i="13"/>
  <c r="EP7" i="9" l="1"/>
  <c r="GH7" i="9"/>
  <c r="AS8" i="13" l="1"/>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2" i="15"/>
  <c r="E127" i="15"/>
  <c r="E138" i="15"/>
  <c r="E135" i="15"/>
  <c r="E126" i="15"/>
  <c r="E128" i="15"/>
  <c r="E133" i="15"/>
  <c r="E139" i="15"/>
  <c r="E131" i="15"/>
  <c r="E134" i="15"/>
  <c r="E130" i="15"/>
  <c r="E125" i="15"/>
  <c r="E129" i="15"/>
  <c r="E123" i="15"/>
  <c r="E124" i="15"/>
  <c r="AU19" i="13" l="1"/>
  <c r="AG19" i="13" s="1"/>
  <c r="AW18" i="13"/>
  <c r="AQ24" i="13"/>
  <c r="AS23" i="13"/>
  <c r="O20" i="13"/>
  <c r="Q19" i="13"/>
  <c r="AU41" i="13"/>
  <c r="E87" i="14"/>
  <c r="E88" i="16"/>
  <c r="E116" i="15"/>
  <c r="E101" i="8"/>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8" i="15" s="1"/>
  <c r="EE7" i="9"/>
  <c r="EE16" i="9" s="1"/>
  <c r="AQ29" i="13" l="1"/>
  <c r="AS28" i="13"/>
  <c r="AU24" i="13"/>
  <c r="AG24" i="13" s="1"/>
  <c r="AW23" i="13"/>
  <c r="O25" i="13"/>
  <c r="Q24" i="13"/>
  <c r="EH9" i="9"/>
  <c r="EE13" i="9"/>
  <c r="EE14" i="9"/>
  <c r="EE15" i="9"/>
  <c r="EH7" i="9"/>
  <c r="CB11" i="9"/>
  <c r="CE11" i="9" s="1"/>
  <c r="F139"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2"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27"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5" i="15" s="1"/>
  <c r="DT9" i="9"/>
  <c r="DT8" i="9"/>
  <c r="DT7" i="9"/>
  <c r="DI11" i="9"/>
  <c r="DL11" i="9" s="1"/>
  <c r="F126" i="15" s="1"/>
  <c r="DI9" i="9"/>
  <c r="DI8" i="9"/>
  <c r="DI7" i="9"/>
  <c r="AA11" i="13" l="1"/>
  <c r="DT14" i="9"/>
  <c r="DT13" i="9"/>
  <c r="DW9" i="9"/>
  <c r="DI14" i="9"/>
  <c r="DI13" i="9"/>
  <c r="DL9" i="9"/>
  <c r="DT15" i="9"/>
  <c r="DT16" i="9"/>
  <c r="AB10" i="13"/>
  <c r="AC10" i="13" s="1"/>
  <c r="DI15" i="9"/>
  <c r="DI16" i="9"/>
  <c r="DW7" i="9"/>
  <c r="DL7" i="9"/>
  <c r="CX11" i="9"/>
  <c r="DA11" i="9" s="1"/>
  <c r="F128"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3" i="15" s="1"/>
  <c r="AA14" i="13" l="1"/>
  <c r="AB13" i="13"/>
  <c r="AC13" i="13" s="1"/>
  <c r="CP7" i="9"/>
  <c r="L79" i="3"/>
  <c r="N79" i="3" s="1"/>
  <c r="BQ11" i="9"/>
  <c r="BT11" i="9" s="1"/>
  <c r="F131" i="15" s="1"/>
  <c r="BF11" i="9"/>
  <c r="BI11" i="9" s="1"/>
  <c r="F134" i="15" s="1"/>
  <c r="AU11" i="9"/>
  <c r="AX11" i="9" s="1"/>
  <c r="F130" i="15" s="1"/>
  <c r="AJ11" i="9"/>
  <c r="AM11" i="9" s="1"/>
  <c r="F125"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C68" i="3"/>
  <c r="E68"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69" i="3"/>
  <c r="E69" i="3" s="1"/>
  <c r="G69"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70" i="3"/>
  <c r="C71" i="3" s="1"/>
  <c r="K20" i="15"/>
  <c r="J30" i="15"/>
  <c r="K19" i="15"/>
  <c r="AB15" i="13"/>
  <c r="AC15" i="13" s="1"/>
  <c r="K13" i="13"/>
  <c r="M13" i="13" s="1"/>
  <c r="N33" i="3"/>
  <c r="P33" i="3" s="1"/>
  <c r="S34" i="3"/>
  <c r="Q33" i="3"/>
  <c r="S33" i="3"/>
  <c r="S39" i="3"/>
  <c r="N42" i="3"/>
  <c r="P42" i="3" s="1"/>
  <c r="Q34" i="3"/>
  <c r="AA17" i="13" l="1"/>
  <c r="E70" i="3"/>
  <c r="G70" i="3" s="1"/>
  <c r="E71" i="3"/>
  <c r="C72" i="3"/>
  <c r="Y6" i="9"/>
  <c r="AB16" i="13"/>
  <c r="AC16" i="13" s="1"/>
  <c r="K14" i="13"/>
  <c r="M14" i="13" s="1"/>
  <c r="AA18" i="13" l="1"/>
  <c r="G71" i="3"/>
  <c r="E72" i="3"/>
  <c r="G72" i="3" s="1"/>
  <c r="C73" i="3"/>
  <c r="AB6" i="9"/>
  <c r="E10" i="8"/>
  <c r="F11" i="8" s="1"/>
  <c r="AU6" i="9"/>
  <c r="AB17" i="13"/>
  <c r="AC17" i="13" s="1"/>
  <c r="K15" i="13"/>
  <c r="M15" i="13" s="1"/>
  <c r="AA19" i="13" l="1"/>
  <c r="E73" i="3"/>
  <c r="G73" i="3" s="1"/>
  <c r="C74" i="3"/>
  <c r="AB18" i="13"/>
  <c r="AC18" i="13" s="1"/>
  <c r="K16" i="13"/>
  <c r="M16" i="13" s="1"/>
  <c r="AA20" i="13" l="1"/>
  <c r="E74" i="3"/>
  <c r="G74" i="3" s="1"/>
  <c r="C75" i="3"/>
  <c r="AB19" i="13"/>
  <c r="AC19" i="13" s="1"/>
  <c r="K17" i="13"/>
  <c r="M17" i="13" s="1"/>
  <c r="AA21" i="13" l="1"/>
  <c r="E75" i="3"/>
  <c r="G75" i="3" s="1"/>
  <c r="C76" i="3"/>
  <c r="AB20" i="13"/>
  <c r="AC20" i="13" s="1"/>
  <c r="K18" i="13"/>
  <c r="M18" i="13" s="1"/>
  <c r="AA22" i="13" l="1"/>
  <c r="E76" i="3"/>
  <c r="G76" i="3" s="1"/>
  <c r="C77" i="3"/>
  <c r="AB21" i="13"/>
  <c r="AC21" i="13" s="1"/>
  <c r="K19" i="13"/>
  <c r="M19" i="13" s="1"/>
  <c r="AA23" i="13" l="1"/>
  <c r="E77" i="3"/>
  <c r="G77" i="3" s="1"/>
  <c r="C78" i="3"/>
  <c r="AB22" i="13"/>
  <c r="AC22" i="13" s="1"/>
  <c r="K20" i="13"/>
  <c r="M20" i="13" s="1"/>
  <c r="AA24" i="13" l="1"/>
  <c r="E78" i="3"/>
  <c r="G78" i="3" s="1"/>
  <c r="C79" i="3"/>
  <c r="DT6" i="9"/>
  <c r="E11" i="14" s="1"/>
  <c r="DI6" i="9"/>
  <c r="CX6" i="9"/>
  <c r="CM6" i="9"/>
  <c r="AB23" i="13"/>
  <c r="AC23" i="13" s="1"/>
  <c r="K21" i="13"/>
  <c r="M21" i="13" s="1"/>
  <c r="AA25" i="13" l="1"/>
  <c r="E9" i="15"/>
  <c r="L9" i="15" s="1"/>
  <c r="E79" i="3"/>
  <c r="G79" i="3" s="1"/>
  <c r="C80" i="3"/>
  <c r="DL6" i="9"/>
  <c r="F11" i="16"/>
  <c r="DA6" i="9"/>
  <c r="F10" i="16"/>
  <c r="E8" i="14"/>
  <c r="F9" i="14" s="1"/>
  <c r="F9" i="16"/>
  <c r="DW6" i="9"/>
  <c r="E10" i="14"/>
  <c r="F11" i="14" s="1"/>
  <c r="E9" i="14"/>
  <c r="F10" i="14" s="1"/>
  <c r="CP6" i="9"/>
  <c r="AB24" i="13"/>
  <c r="AC24" i="13" s="1"/>
  <c r="K22" i="13"/>
  <c r="M22" i="13" s="1"/>
  <c r="AA26" i="13" l="1"/>
  <c r="K9" i="15"/>
  <c r="E80" i="3"/>
  <c r="G80" i="3" s="1"/>
  <c r="C81" i="3"/>
  <c r="AB25" i="13"/>
  <c r="AC25" i="13" s="1"/>
  <c r="K23" i="13"/>
  <c r="M23" i="13" s="1"/>
  <c r="AA27" i="13" l="1"/>
  <c r="E81" i="3"/>
  <c r="G81" i="3" s="1"/>
  <c r="C82" i="3"/>
  <c r="AB26" i="13"/>
  <c r="AC26" i="13" s="1"/>
  <c r="K24" i="13"/>
  <c r="M24" i="13" s="1"/>
  <c r="AA28" i="13" l="1"/>
  <c r="E82" i="3"/>
  <c r="G82" i="3" s="1"/>
  <c r="C83" i="3"/>
  <c r="AB27" i="13"/>
  <c r="AC27" i="13" s="1"/>
  <c r="K25" i="13"/>
  <c r="M25" i="13" s="1"/>
  <c r="AA29" i="13" l="1"/>
  <c r="E83" i="3"/>
  <c r="G83" i="3" s="1"/>
  <c r="C84" i="3"/>
  <c r="N6" i="9"/>
  <c r="AJ6" i="9"/>
  <c r="E12" i="8" s="1"/>
  <c r="BI6" i="9"/>
  <c r="E14" i="8"/>
  <c r="AB28" i="13"/>
  <c r="AC28" i="13" s="1"/>
  <c r="K26" i="13"/>
  <c r="M26" i="13" s="1"/>
  <c r="AA30" i="13" l="1"/>
  <c r="E8" i="15"/>
  <c r="J17" i="15" s="1"/>
  <c r="Q6" i="9"/>
  <c r="E84" i="3"/>
  <c r="G84" i="3" s="1"/>
  <c r="C85" i="3"/>
  <c r="AX6" i="9"/>
  <c r="E13" i="8"/>
  <c r="F14" i="8" s="1"/>
  <c r="AM6" i="9"/>
  <c r="F13" i="8"/>
  <c r="E8" i="8"/>
  <c r="F9" i="8" s="1"/>
  <c r="E9" i="8"/>
  <c r="F10" i="8" s="1"/>
  <c r="F6" i="9"/>
  <c r="E11" i="8"/>
  <c r="F12" i="8" s="1"/>
  <c r="BT6" i="9"/>
  <c r="AB29" i="13"/>
  <c r="AC29" i="13" s="1"/>
  <c r="K27" i="13"/>
  <c r="M27" i="13" s="1"/>
  <c r="AA31" i="13" l="1"/>
  <c r="L8" i="15"/>
  <c r="K8" i="15"/>
  <c r="E85" i="3"/>
  <c r="G85" i="3" s="1"/>
  <c r="C86" i="3"/>
  <c r="AB30" i="13"/>
  <c r="AC30" i="13" s="1"/>
  <c r="K28" i="13"/>
  <c r="M28" i="13" s="1"/>
  <c r="AA32" i="13" l="1"/>
  <c r="E86" i="3"/>
  <c r="G86" i="3" s="1"/>
  <c r="C87" i="3"/>
  <c r="AB31" i="13"/>
  <c r="AC31" i="13" s="1"/>
  <c r="K29" i="13"/>
  <c r="M29" i="13" s="1"/>
  <c r="AA33" i="13" l="1"/>
  <c r="E87" i="3"/>
  <c r="G87" i="3" s="1"/>
  <c r="C88" i="3"/>
  <c r="AB32" i="13"/>
  <c r="AC32" i="13" s="1"/>
  <c r="K30" i="13"/>
  <c r="M30" i="13" s="1"/>
  <c r="AA34" i="13" l="1"/>
  <c r="C89" i="3"/>
  <c r="E88" i="3"/>
  <c r="G88" i="3" s="1"/>
  <c r="AB33" i="13"/>
  <c r="AC33" i="13" s="1"/>
  <c r="K31" i="13"/>
  <c r="M31" i="13" s="1"/>
  <c r="AA35" i="13" l="1"/>
  <c r="E89" i="3"/>
  <c r="G89" i="3" s="1"/>
  <c r="C90" i="3"/>
  <c r="AB34" i="13"/>
  <c r="AC34" i="13" s="1"/>
  <c r="K32" i="13"/>
  <c r="M32" i="13" s="1"/>
  <c r="AA36" i="13" l="1"/>
  <c r="E90" i="3"/>
  <c r="G90" i="3" s="1"/>
  <c r="C91" i="3"/>
  <c r="AB35" i="13"/>
  <c r="AC35" i="13" s="1"/>
  <c r="K33" i="13"/>
  <c r="M33" i="13" s="1"/>
  <c r="AA37" i="13" l="1"/>
  <c r="C92" i="3"/>
  <c r="E91" i="3"/>
  <c r="G91" i="3" s="1"/>
  <c r="AB36" i="13"/>
  <c r="AC36" i="13" s="1"/>
  <c r="K34" i="13"/>
  <c r="M34" i="13" s="1"/>
  <c r="AA38" i="13" l="1"/>
  <c r="E92" i="3"/>
  <c r="G92" i="3" s="1"/>
  <c r="C93" i="3"/>
  <c r="AB37" i="13"/>
  <c r="AC37" i="13" s="1"/>
  <c r="K35" i="13"/>
  <c r="M35" i="13" s="1"/>
  <c r="E93" i="3" l="1"/>
  <c r="G93" i="3" s="1"/>
  <c r="C94" i="3"/>
  <c r="AB38" i="13"/>
  <c r="AC38" i="13" s="1"/>
  <c r="K36" i="13"/>
  <c r="M36" i="13" s="1"/>
  <c r="E94" i="3" l="1"/>
  <c r="G94" i="3" s="1"/>
  <c r="C95" i="3"/>
  <c r="K37" i="13"/>
  <c r="M37" i="13" s="1"/>
  <c r="C96" i="3" l="1"/>
  <c r="E95" i="3"/>
  <c r="G95" i="3" s="1"/>
  <c r="K38" i="13"/>
  <c r="M38" i="13" s="1"/>
  <c r="E96" i="3" l="1"/>
  <c r="G96" i="3" s="1"/>
  <c r="C97" i="3"/>
  <c r="E97" i="3" l="1"/>
  <c r="G97" i="3" s="1"/>
  <c r="C98" i="3"/>
  <c r="E98" i="3" l="1"/>
  <c r="G98" i="3" s="1"/>
  <c r="C99" i="3"/>
  <c r="C100" i="3" l="1"/>
  <c r="E99" i="3"/>
  <c r="G99" i="3" s="1"/>
  <c r="E100" i="3" l="1"/>
  <c r="G100" i="3" s="1"/>
  <c r="C101" i="3"/>
  <c r="E101" i="3" l="1"/>
  <c r="G101" i="3" s="1"/>
  <c r="C102" i="3"/>
  <c r="E102" i="3" l="1"/>
  <c r="G102" i="3" s="1"/>
  <c r="C103" i="3"/>
  <c r="E103" i="3" l="1"/>
  <c r="G103" i="3" s="1"/>
  <c r="C104" i="3"/>
  <c r="E104" i="3" l="1"/>
  <c r="G104" i="3" s="1"/>
  <c r="C105" i="3"/>
  <c r="E105" i="3" l="1"/>
  <c r="G105" i="3" s="1"/>
  <c r="C106" i="3"/>
  <c r="C107" i="3" l="1"/>
  <c r="E106" i="3"/>
  <c r="G106" i="3" s="1"/>
  <c r="E107" i="3" l="1"/>
  <c r="G107" i="3" s="1"/>
  <c r="C108" i="3"/>
  <c r="E108" i="3" l="1"/>
  <c r="G108" i="3" s="1"/>
  <c r="C109" i="3"/>
  <c r="E109" i="3" l="1"/>
  <c r="G109" i="3" s="1"/>
  <c r="C110" i="3"/>
  <c r="E110" i="3" l="1"/>
  <c r="G110" i="3" s="1"/>
  <c r="C111" i="3"/>
  <c r="E111" i="3" l="1"/>
  <c r="G111" i="3" s="1"/>
  <c r="C112" i="3"/>
  <c r="E112" i="3" l="1"/>
  <c r="G112" i="3" s="1"/>
  <c r="C113" i="3"/>
  <c r="E113" i="3" l="1"/>
  <c r="G113" i="3" s="1"/>
  <c r="C114" i="3"/>
  <c r="E114" i="3" l="1"/>
  <c r="G114" i="3" s="1"/>
  <c r="C115" i="3"/>
  <c r="E115" i="3" l="1"/>
  <c r="G115" i="3" s="1"/>
  <c r="C116" i="3"/>
  <c r="E116" i="3" l="1"/>
  <c r="G116" i="3" s="1"/>
  <c r="C117" i="3"/>
  <c r="C118" i="3" l="1"/>
  <c r="E117" i="3"/>
  <c r="G117" i="3" s="1"/>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C135" i="3" l="1"/>
  <c r="E134" i="3"/>
  <c r="G134" i="3" s="1"/>
  <c r="E135" i="3" l="1"/>
  <c r="G135" i="3" s="1"/>
  <c r="C136" i="3"/>
  <c r="E136" i="3" l="1"/>
  <c r="G136" i="3" s="1"/>
  <c r="C137" i="3"/>
  <c r="E137" i="3" l="1"/>
  <c r="G137" i="3" s="1"/>
  <c r="C138" i="3"/>
  <c r="E138" i="3" l="1"/>
  <c r="G138" i="3" s="1"/>
  <c r="C139" i="3"/>
  <c r="E139" i="3" l="1"/>
  <c r="G139" i="3" s="1"/>
  <c r="C140" i="3"/>
  <c r="E140" i="3" l="1"/>
  <c r="G140" i="3" s="1"/>
  <c r="C141" i="3"/>
  <c r="E141" i="3" l="1"/>
  <c r="G141" i="3" s="1"/>
  <c r="C142" i="3"/>
  <c r="C143" i="3" l="1"/>
  <c r="E142" i="3"/>
  <c r="G142" i="3" s="1"/>
  <c r="E143" i="3" l="1"/>
  <c r="G143" i="3" s="1"/>
  <c r="C144" i="3"/>
  <c r="E144" i="3" l="1"/>
  <c r="G144" i="3" s="1"/>
  <c r="C145" i="3"/>
  <c r="C146" i="3" l="1"/>
  <c r="E145" i="3"/>
  <c r="G145" i="3" s="1"/>
  <c r="E146" i="3" l="1"/>
  <c r="G146" i="3" s="1"/>
  <c r="C147" i="3"/>
  <c r="E147" i="3" l="1"/>
  <c r="G147" i="3" s="1"/>
  <c r="C148" i="3"/>
  <c r="E148" i="3" l="1"/>
  <c r="G148" i="3" s="1"/>
  <c r="C149" i="3"/>
  <c r="C150" i="3" l="1"/>
  <c r="E149" i="3"/>
  <c r="G149" i="3" s="1"/>
  <c r="E150" i="3" l="1"/>
  <c r="G150" i="3" s="1"/>
  <c r="C151" i="3"/>
  <c r="E151" i="3" l="1"/>
  <c r="G151" i="3" s="1"/>
  <c r="C152" i="3"/>
  <c r="E152" i="3" l="1"/>
  <c r="G152" i="3" s="1"/>
  <c r="C153" i="3"/>
  <c r="C154" i="3" l="1"/>
  <c r="E153" i="3"/>
  <c r="G153" i="3" s="1"/>
  <c r="E154" i="3" l="1"/>
  <c r="G154" i="3" s="1"/>
  <c r="C155" i="3"/>
  <c r="E155" i="3" l="1"/>
  <c r="G155" i="3" s="1"/>
  <c r="C156" i="3"/>
  <c r="E156" i="3" l="1"/>
  <c r="G156" i="3" s="1"/>
  <c r="C157" i="3"/>
  <c r="E157" i="3" l="1"/>
  <c r="G157" i="3" s="1"/>
  <c r="C158" i="3"/>
  <c r="E158" i="3" l="1"/>
  <c r="G158" i="3" s="1"/>
  <c r="C159" i="3"/>
  <c r="E159" i="3" l="1"/>
  <c r="G159" i="3" s="1"/>
  <c r="C160" i="3"/>
  <c r="C161" i="3" l="1"/>
  <c r="E160" i="3"/>
  <c r="G160" i="3" s="1"/>
  <c r="E161" i="3" l="1"/>
  <c r="G161" i="3" s="1"/>
  <c r="C162" i="3"/>
  <c r="E162" i="3" l="1"/>
  <c r="G162" i="3" s="1"/>
  <c r="C163" i="3"/>
  <c r="E163" i="3" l="1"/>
  <c r="G163" i="3" s="1"/>
  <c r="C164" i="3"/>
  <c r="E164" i="3" l="1"/>
  <c r="G164" i="3" s="1"/>
  <c r="C165" i="3"/>
  <c r="E165" i="3" l="1"/>
  <c r="G165" i="3" s="1"/>
  <c r="C166" i="3"/>
  <c r="E166" i="3" l="1"/>
  <c r="G166" i="3" s="1"/>
  <c r="C167" i="3"/>
  <c r="E167" i="3" l="1"/>
  <c r="G167" i="3" s="1"/>
  <c r="C168" i="3"/>
  <c r="E168" i="3" l="1"/>
  <c r="G168" i="3" s="1"/>
  <c r="C169" i="3"/>
  <c r="E169" i="3" l="1"/>
  <c r="G169" i="3" s="1"/>
  <c r="C170" i="3"/>
  <c r="E170" i="3" l="1"/>
  <c r="G170" i="3" s="1"/>
  <c r="C171" i="3"/>
  <c r="E171" i="3" l="1"/>
  <c r="G171" i="3" s="1"/>
  <c r="C172" i="3"/>
  <c r="E172" i="3" l="1"/>
  <c r="G172" i="3" s="1"/>
  <c r="C173" i="3"/>
  <c r="E173" i="3" l="1"/>
  <c r="G173" i="3" s="1"/>
  <c r="C174" i="3"/>
  <c r="E174" i="3" l="1"/>
  <c r="G174" i="3" s="1"/>
  <c r="C175" i="3"/>
  <c r="E175" i="3" l="1"/>
  <c r="G175" i="3" s="1"/>
  <c r="C176" i="3"/>
  <c r="E176" i="3" l="1"/>
  <c r="G176" i="3" s="1"/>
  <c r="C177" i="3"/>
  <c r="E177" i="3" l="1"/>
  <c r="G177" i="3" s="1"/>
  <c r="C178" i="3"/>
  <c r="E178" i="3" l="1"/>
  <c r="G178" i="3" s="1"/>
  <c r="C179" i="3"/>
  <c r="E179" i="3" l="1"/>
  <c r="G179" i="3" s="1"/>
  <c r="C180" i="3"/>
  <c r="E180" i="3" l="1"/>
  <c r="G180" i="3" s="1"/>
  <c r="C181" i="3"/>
  <c r="E181" i="3" l="1"/>
  <c r="G181" i="3" s="1"/>
  <c r="C182" i="3"/>
  <c r="E182" i="3" l="1"/>
  <c r="G182" i="3" s="1"/>
  <c r="C183" i="3"/>
  <c r="E183" i="3" l="1"/>
  <c r="G183" i="3" s="1"/>
  <c r="C184" i="3"/>
  <c r="E184" i="3" l="1"/>
  <c r="G184" i="3" s="1"/>
  <c r="C185" i="3"/>
  <c r="E185" i="3" l="1"/>
  <c r="G185" i="3" s="1"/>
  <c r="C186" i="3"/>
  <c r="E186" i="3" l="1"/>
  <c r="G186" i="3" s="1"/>
  <c r="C187" i="3"/>
  <c r="E187" i="3" l="1"/>
  <c r="G187" i="3" s="1"/>
  <c r="C188" i="3"/>
  <c r="C189" i="3" l="1"/>
  <c r="E188" i="3"/>
  <c r="G188" i="3" s="1"/>
  <c r="E189" i="3" l="1"/>
  <c r="G189" i="3" s="1"/>
  <c r="C190" i="3"/>
  <c r="E190" i="3" l="1"/>
  <c r="G190" i="3" s="1"/>
  <c r="C191" i="3"/>
  <c r="E191" i="3" l="1"/>
  <c r="G191" i="3" s="1"/>
  <c r="C192" i="3"/>
  <c r="E192" i="3" l="1"/>
  <c r="G192" i="3" s="1"/>
  <c r="C193" i="3"/>
  <c r="E193" i="3" l="1"/>
  <c r="G193" i="3" s="1"/>
  <c r="C194" i="3"/>
  <c r="E194" i="3" l="1"/>
  <c r="G194" i="3" s="1"/>
  <c r="C195" i="3"/>
  <c r="E195" i="3" l="1"/>
  <c r="G195" i="3" s="1"/>
  <c r="C196" i="3"/>
  <c r="C197" i="3" l="1"/>
  <c r="E196" i="3"/>
  <c r="G196" i="3" s="1"/>
  <c r="E197" i="3" l="1"/>
  <c r="G197" i="3" s="1"/>
  <c r="C198" i="3"/>
  <c r="E198" i="3" l="1"/>
  <c r="G198" i="3" s="1"/>
  <c r="C199" i="3"/>
  <c r="C200" i="3" l="1"/>
  <c r="E199" i="3"/>
  <c r="G199" i="3" s="1"/>
  <c r="E200" i="3" l="1"/>
  <c r="G200" i="3" s="1"/>
  <c r="C201" i="3"/>
  <c r="E201" i="3" l="1"/>
  <c r="G201" i="3" s="1"/>
  <c r="C202" i="3"/>
  <c r="E202" i="3" l="1"/>
  <c r="G202" i="3" s="1"/>
  <c r="C203" i="3"/>
  <c r="C204" i="3" l="1"/>
  <c r="E203" i="3"/>
  <c r="G203" i="3" s="1"/>
  <c r="E204" i="3" l="1"/>
  <c r="G204" i="3" s="1"/>
  <c r="C205" i="3"/>
  <c r="E205" i="3" l="1"/>
  <c r="G205" i="3" s="1"/>
  <c r="C206" i="3"/>
  <c r="E206" i="3" l="1"/>
  <c r="G206" i="3" s="1"/>
  <c r="C207" i="3"/>
  <c r="C208" i="3" l="1"/>
  <c r="E207" i="3"/>
  <c r="G207" i="3" s="1"/>
  <c r="E208" i="3" l="1"/>
  <c r="G208" i="3" s="1"/>
  <c r="C209" i="3"/>
  <c r="E209" i="3" l="1"/>
  <c r="G209" i="3" s="1"/>
  <c r="C210" i="3"/>
  <c r="E210" i="3" l="1"/>
  <c r="G210" i="3" s="1"/>
  <c r="C211" i="3"/>
  <c r="E211" i="3" l="1"/>
  <c r="G211" i="3" s="1"/>
  <c r="C212" i="3"/>
  <c r="E212" i="3" l="1"/>
  <c r="G212" i="3" s="1"/>
  <c r="C213" i="3"/>
  <c r="E213" i="3" l="1"/>
  <c r="G213" i="3" s="1"/>
  <c r="C214" i="3"/>
  <c r="C215" i="3" l="1"/>
  <c r="E214" i="3"/>
  <c r="G214" i="3" s="1"/>
  <c r="E215" i="3" l="1"/>
  <c r="G215" i="3" s="1"/>
  <c r="C216" i="3"/>
  <c r="E216" i="3" l="1"/>
  <c r="G216" i="3" s="1"/>
  <c r="C217" i="3"/>
  <c r="E217" i="3" l="1"/>
  <c r="C218" i="3"/>
  <c r="G217" i="3"/>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69" i="3"/>
  <c r="G269" i="3" s="1"/>
  <c r="C271" i="3" l="1"/>
  <c r="E270" i="3"/>
  <c r="G270" i="3" s="1"/>
  <c r="C272" i="3" l="1"/>
  <c r="E271" i="3"/>
  <c r="G271" i="3" s="1"/>
  <c r="C273" i="3" l="1"/>
  <c r="E272" i="3"/>
  <c r="G272" i="3" s="1"/>
  <c r="C274" i="3" l="1"/>
  <c r="E273" i="3"/>
  <c r="G273" i="3" s="1"/>
  <c r="C275" i="3" l="1"/>
  <c r="E274" i="3"/>
  <c r="G274" i="3" s="1"/>
  <c r="C276" i="3" l="1"/>
  <c r="E275" i="3"/>
  <c r="G275" i="3" s="1"/>
  <c r="C277" i="3" l="1"/>
  <c r="E276" i="3"/>
  <c r="G276" i="3" s="1"/>
  <c r="C278" i="3" l="1"/>
  <c r="E277" i="3"/>
  <c r="G277" i="3" s="1"/>
  <c r="C279" i="3" l="1"/>
  <c r="E278" i="3"/>
  <c r="G278" i="3" s="1"/>
  <c r="C280" i="3" l="1"/>
  <c r="E279" i="3"/>
  <c r="G279" i="3" s="1"/>
  <c r="C281" i="3" l="1"/>
  <c r="E280" i="3"/>
  <c r="G280" i="3" s="1"/>
  <c r="C282" i="3" l="1"/>
  <c r="E281" i="3"/>
  <c r="G281" i="3" s="1"/>
  <c r="C283" i="3" l="1"/>
  <c r="E282" i="3"/>
  <c r="G282" i="3" s="1"/>
  <c r="C284" i="3" l="1"/>
  <c r="E283" i="3"/>
  <c r="G283" i="3" s="1"/>
  <c r="C285" i="3" l="1"/>
  <c r="E284" i="3"/>
  <c r="G284" i="3" s="1"/>
  <c r="C286" i="3" l="1"/>
  <c r="E285" i="3"/>
  <c r="G285" i="3" s="1"/>
  <c r="C287" i="3" l="1"/>
  <c r="E286" i="3"/>
  <c r="G286" i="3" s="1"/>
  <c r="C288" i="3" l="1"/>
  <c r="E287" i="3"/>
  <c r="G287" i="3" s="1"/>
  <c r="C289" i="3" l="1"/>
  <c r="E288" i="3"/>
  <c r="G288" i="3" s="1"/>
  <c r="C290" i="3" l="1"/>
  <c r="E289" i="3"/>
  <c r="G289" i="3" s="1"/>
  <c r="C291" i="3" l="1"/>
  <c r="E290" i="3"/>
  <c r="G290" i="3" s="1"/>
  <c r="C292" i="3" l="1"/>
  <c r="E291" i="3"/>
  <c r="G291" i="3" s="1"/>
  <c r="C293" i="3" l="1"/>
  <c r="E292" i="3"/>
  <c r="G292" i="3" s="1"/>
  <c r="C294" i="3" l="1"/>
  <c r="E293" i="3"/>
  <c r="G293" i="3" s="1"/>
  <c r="C295" i="3" l="1"/>
  <c r="E294" i="3"/>
  <c r="G294" i="3" s="1"/>
  <c r="C296" i="3" l="1"/>
  <c r="E295" i="3"/>
  <c r="G295" i="3" s="1"/>
  <c r="C297" i="3" l="1"/>
  <c r="E296" i="3"/>
  <c r="G296" i="3" s="1"/>
  <c r="C298" i="3" l="1"/>
  <c r="E297" i="3"/>
  <c r="G297" i="3" s="1"/>
  <c r="C299" i="3" l="1"/>
  <c r="E298" i="3"/>
  <c r="G298" i="3" s="1"/>
  <c r="C300" i="3" l="1"/>
  <c r="E299" i="3"/>
  <c r="G299" i="3" s="1"/>
  <c r="C301" i="3" l="1"/>
  <c r="E300" i="3"/>
  <c r="G300" i="3" s="1"/>
  <c r="C302" i="3" l="1"/>
  <c r="E301" i="3"/>
  <c r="G301" i="3" s="1"/>
  <c r="C303" i="3" l="1"/>
  <c r="E302" i="3"/>
  <c r="G302" i="3" s="1"/>
  <c r="C304" i="3" l="1"/>
  <c r="E303" i="3"/>
  <c r="G303" i="3" s="1"/>
  <c r="C305" i="3" l="1"/>
  <c r="E304" i="3"/>
  <c r="G304" i="3" s="1"/>
  <c r="C306" i="3" l="1"/>
  <c r="E305" i="3"/>
  <c r="G305" i="3" s="1"/>
  <c r="C307" i="3" l="1"/>
  <c r="E306" i="3"/>
  <c r="G306" i="3" s="1"/>
  <c r="C308" i="3" l="1"/>
  <c r="E307" i="3"/>
  <c r="G307" i="3" s="1"/>
  <c r="C309" i="3" l="1"/>
  <c r="E308" i="3"/>
  <c r="G308" i="3" s="1"/>
  <c r="C310" i="3" l="1"/>
  <c r="E309" i="3"/>
  <c r="G309" i="3" s="1"/>
  <c r="C311" i="3" l="1"/>
  <c r="E310" i="3"/>
  <c r="G310" i="3" s="1"/>
  <c r="C312" i="3" l="1"/>
  <c r="E311" i="3"/>
  <c r="G311" i="3" s="1"/>
  <c r="C313" i="3" l="1"/>
  <c r="E312" i="3"/>
  <c r="G312" i="3" s="1"/>
  <c r="C314" i="3" l="1"/>
  <c r="E313" i="3"/>
  <c r="G313" i="3" s="1"/>
  <c r="C315" i="3" l="1"/>
  <c r="E315" i="3" s="1"/>
  <c r="E314" i="3"/>
  <c r="G314" i="3" s="1"/>
  <c r="G315" i="3" l="1"/>
  <c r="E5" i="3" s="1"/>
  <c r="E9" i="3" s="1"/>
  <c r="F5" i="3" l="1"/>
  <c r="F6" i="3"/>
  <c r="F9" i="3"/>
  <c r="F10" i="3"/>
  <c r="F7" i="3" l="1"/>
  <c r="F11" i="3"/>
</calcChain>
</file>

<file path=xl/sharedStrings.xml><?xml version="1.0" encoding="utf-8"?>
<sst xmlns="http://schemas.openxmlformats.org/spreadsheetml/2006/main" count="37240" uniqueCount="8044">
  <si>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</si>
  <si>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</si>
  <si>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</si>
  <si>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</si>
  <si>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</si>
  <si>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</si>
  <si>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</si>
  <si>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</si>
  <si>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</si>
  <si>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</si>
  <si>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</si>
  <si>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</si>
  <si>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</si>
  <si>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</si>
  <si>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</si>
  <si>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</si>
  <si>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</si>
  <si>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</si>
  <si>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</si>
  <si>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</si>
  <si>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</si>
  <si>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</si>
  <si>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</si>
  <si>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</si>
  <si>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</si>
  <si>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</si>
  <si>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</si>
  <si>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</si>
  <si>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</si>
  <si>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</si>
  <si>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</si>
  <si>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</si>
  <si>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</si>
  <si>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</si>
  <si>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</si>
  <si>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</si>
  <si>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</si>
  <si>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</si>
  <si>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</si>
  <si>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</si>
  <si>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</si>
  <si>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</si>
  <si>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</si>
  <si>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</si>
  <si>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</si>
  <si>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</si>
  <si>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</si>
  <si>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</si>
  <si>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</si>
  <si>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</si>
  <si>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</si>
  <si>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</si>
  <si>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</si>
  <si>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</si>
  <si>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</si>
  <si>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</si>
  <si>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</si>
  <si>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</si>
  <si>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</si>
  <si>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</si>
  <si>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</si>
  <si>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</si>
  <si>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</si>
  <si>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</si>
  <si>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</si>
  <si>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</si>
  <si>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</si>
  <si>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</si>
  <si>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</si>
  <si>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</si>
  <si>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</si>
  <si>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</si>
  <si>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</si>
  <si>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</si>
  <si>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</si>
  <si>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</si>
  <si>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</si>
  <si>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</si>
  <si>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</si>
  <si>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</si>
  <si>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</si>
  <si>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</si>
  <si>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</si>
  <si>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</si>
  <si>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</si>
  <si>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</si>
  <si>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</si>
  <si>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</si>
  <si>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</si>
  <si>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</si>
  <si>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</si>
  <si>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</si>
  <si>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</si>
  <si>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</si>
  <si>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</si>
  <si>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</si>
  <si>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</si>
  <si>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</si>
  <si>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</si>
  <si>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</si>
  <si>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</si>
  <si>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</si>
  <si>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</si>
  <si>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</si>
  <si>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</si>
  <si>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</si>
  <si>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</si>
  <si>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</si>
  <si>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</si>
  <si>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</si>
  <si>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</si>
  <si>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</si>
  <si>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</si>
  <si>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</si>
  <si>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</si>
  <si>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</si>
  <si>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</si>
  <si>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</si>
  <si>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</si>
  <si>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</si>
  <si>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</si>
  <si>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</si>
  <si>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</si>
  <si>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</si>
  <si>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</si>
  <si>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</si>
  <si>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</si>
  <si>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</si>
  <si>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</si>
  <si>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</si>
  <si>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</si>
  <si>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</si>
  <si>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</si>
  <si>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</si>
  <si>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</si>
  <si>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</si>
  <si>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</si>
  <si>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</si>
  <si>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</si>
  <si>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</si>
  <si>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</si>
  <si>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</si>
  <si>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</si>
  <si>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</si>
  <si>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</si>
  <si>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</si>
  <si>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</si>
  <si>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</si>
  <si>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</si>
  <si>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</si>
  <si>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</si>
  <si>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</si>
  <si>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</si>
  <si>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</si>
  <si>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</si>
  <si>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</si>
  <si>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</si>
  <si>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</si>
  <si>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</si>
  <si>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</si>
  <si>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</si>
  <si>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</si>
  <si>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</si>
  <si>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</si>
  <si>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</si>
  <si>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</si>
  <si>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</si>
  <si>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</si>
  <si>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</si>
  <si>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</si>
  <si>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</si>
  <si>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</si>
  <si>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</si>
  <si>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</si>
  <si>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</si>
  <si>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</si>
  <si>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</si>
  <si>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</si>
  <si>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</si>
  <si>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</si>
  <si>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</si>
  <si>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</si>
  <si>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</si>
  <si>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</si>
  <si>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</si>
  <si>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</si>
  <si>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</si>
  <si>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</si>
  <si>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</si>
  <si>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</si>
  <si>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</si>
  <si>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</si>
  <si>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</si>
  <si>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</si>
  <si>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</si>
  <si>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</si>
  <si>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</si>
  <si>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</si>
  <si>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</si>
  <si>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</si>
  <si>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</si>
  <si>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</si>
  <si>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</si>
  <si>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</si>
  <si>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</si>
  <si>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</si>
  <si>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</si>
  <si>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</si>
  <si>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</si>
  <si>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</si>
  <si>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</si>
  <si>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</si>
  <si>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</si>
  <si>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</si>
  <si>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</si>
  <si>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</si>
  <si>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</si>
  <si>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</si>
  <si>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</si>
  <si>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</si>
  <si>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</si>
  <si>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</si>
  <si>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</si>
  <si>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</si>
  <si>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</si>
  <si>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</si>
  <si>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</si>
  <si>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</si>
  <si>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</si>
  <si>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</si>
  <si>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</si>
  <si>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</si>
  <si>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</si>
  <si>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</si>
  <si>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</si>
  <si>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</si>
  <si>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</si>
  <si>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</si>
  <si>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</si>
  <si>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</si>
  <si>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</si>
  <si>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</si>
  <si>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</si>
  <si>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</si>
  <si>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</si>
  <si>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</si>
  <si>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</si>
  <si>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</si>
  <si>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</si>
  <si>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</si>
  <si>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</si>
  <si>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</si>
  <si>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</si>
  <si>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</si>
  <si>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</si>
  <si>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</si>
  <si>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</si>
  <si>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</si>
  <si>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</si>
  <si>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</si>
  <si>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</si>
  <si>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</si>
  <si>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</si>
  <si>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</si>
  <si>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</si>
  <si>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</si>
  <si>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</si>
  <si>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</si>
  <si>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</si>
  <si>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</si>
  <si>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</si>
  <si>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</si>
  <si>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</si>
  <si>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</si>
  <si>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</si>
  <si>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</si>
  <si>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</si>
  <si>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</si>
  <si>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</si>
  <si>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</si>
  <si>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</si>
  <si>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</si>
  <si>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</si>
  <si>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</si>
  <si>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</si>
  <si>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</si>
  <si>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</si>
  <si>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</si>
  <si>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</si>
  <si>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</si>
  <si>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</si>
  <si>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</si>
  <si>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</si>
  <si>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</si>
  <si>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</si>
  <si>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</si>
  <si>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</si>
  <si>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</si>
  <si>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</si>
  <si>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</si>
  <si>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</si>
  <si>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</si>
  <si>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</si>
  <si>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</si>
  <si>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</si>
  <si>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</si>
  <si>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</si>
  <si>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</si>
  <si>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</si>
  <si>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</si>
  <si>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</si>
  <si>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</si>
  <si>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</si>
  <si>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</si>
  <si>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</si>
  <si>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</si>
  <si>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</si>
  <si>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</si>
  <si>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</si>
  <si>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</si>
  <si>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</si>
  <si>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</si>
  <si>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</si>
  <si>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</si>
  <si>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</si>
  <si>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</si>
  <si>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</si>
  <si>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</si>
  <si>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</si>
  <si>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</si>
  <si>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</si>
  <si>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</si>
  <si>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</si>
  <si>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</si>
  <si>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</si>
  <si>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</si>
  <si>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</si>
  <si>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</si>
  <si>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</si>
  <si>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</si>
  <si>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</si>
  <si>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</si>
  <si>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</si>
  <si>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</si>
  <si>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</si>
  <si>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</si>
  <si>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</si>
  <si>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</si>
  <si>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</si>
  <si>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</si>
  <si>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</si>
  <si>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</si>
  <si>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</si>
  <si>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</si>
  <si>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</si>
  <si>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</si>
  <si>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</si>
  <si>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</si>
  <si>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</si>
  <si>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</si>
  <si>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</si>
  <si>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</si>
  <si>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</si>
  <si>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</si>
  <si>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</si>
  <si>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</si>
  <si>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</si>
  <si>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</si>
  <si>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</si>
  <si>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</si>
  <si>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</si>
  <si>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</si>
  <si>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</si>
  <si>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</si>
  <si>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</si>
  <si>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</si>
  <si>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</si>
  <si>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</si>
  <si>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</si>
  <si>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</si>
  <si>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</si>
  <si>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</si>
  <si>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</si>
  <si>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</si>
  <si>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</si>
  <si>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</si>
  <si>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</si>
  <si>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</si>
  <si>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</si>
  <si>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</si>
  <si>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</si>
  <si>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</si>
  <si>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</si>
  <si>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</si>
  <si>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</si>
  <si>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</si>
  <si>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</si>
  <si>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</si>
  <si>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</si>
  <si>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</si>
  <si>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</si>
  <si>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</si>
  <si>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</si>
  <si>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</si>
  <si>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</si>
  <si>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</si>
  <si>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</si>
  <si>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</si>
  <si>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</si>
  <si>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</si>
  <si>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</si>
  <si>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</si>
  <si>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</si>
  <si>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</si>
  <si>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</si>
  <si>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</si>
  <si>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</si>
  <si>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</si>
  <si>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</si>
  <si>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</si>
  <si>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</si>
  <si>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</si>
  <si>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</si>
  <si>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</si>
  <si>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</si>
  <si>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</si>
  <si>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</si>
  <si>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</si>
  <si>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</si>
  <si>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</si>
  <si>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</si>
  <si>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</si>
  <si>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</si>
  <si>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</si>
  <si>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</si>
  <si>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</si>
  <si>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</si>
  <si>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</si>
  <si>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</si>
  <si>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</si>
  <si>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</si>
  <si>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</si>
  <si>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</si>
  <si>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</si>
  <si>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</si>
  <si>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</si>
  <si>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</si>
  <si>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</si>
  <si>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</si>
  <si>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</si>
  <si>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</si>
  <si>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</si>
  <si>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</si>
  <si>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</si>
  <si>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</si>
  <si>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</si>
  <si>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</si>
  <si>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</si>
  <si>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</si>
  <si>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</si>
  <si>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</si>
  <si>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</si>
  <si>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</si>
  <si>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</si>
  <si>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</si>
  <si>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</si>
  <si>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</si>
  <si>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</si>
  <si>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</si>
  <si>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</si>
  <si>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</si>
  <si>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</si>
  <si>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</si>
  <si>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</si>
  <si>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</si>
  <si>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</si>
  <si>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</si>
  <si>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</si>
  <si>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</si>
  <si>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</si>
  <si>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</si>
  <si>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</si>
  <si>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</si>
  <si>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</si>
  <si>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</si>
  <si>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</si>
  <si>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</si>
  <si>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</si>
  <si>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</si>
  <si>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</si>
  <si>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</si>
  <si>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</si>
  <si>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</si>
  <si>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</si>
  <si>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</si>
  <si>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</si>
  <si>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</si>
  <si>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</si>
  <si>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</si>
  <si>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</si>
  <si>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</si>
  <si>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</si>
  <si>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</si>
  <si>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</si>
  <si>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</si>
  <si>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</si>
  <si>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</si>
  <si>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</si>
  <si>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</si>
  <si>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</si>
  <si>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</si>
  <si>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</si>
  <si>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</si>
  <si>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</si>
  <si>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</si>
  <si>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</si>
  <si>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</si>
  <si>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</si>
  <si>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</si>
  <si>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</si>
  <si>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</si>
  <si>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</si>
  <si>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</si>
  <si>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</si>
  <si>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</si>
  <si>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</si>
  <si>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</si>
  <si>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</si>
  <si>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</si>
  <si>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</si>
  <si>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</si>
  <si>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</si>
  <si>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</si>
  <si>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</si>
  <si>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</si>
  <si>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</si>
  <si>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</si>
  <si>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</si>
  <si>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</si>
  <si>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</si>
  <si>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</si>
  <si>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</si>
  <si>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</si>
  <si>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</si>
  <si>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</si>
  <si>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</si>
  <si>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</si>
  <si>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</si>
  <si>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</si>
  <si>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</si>
  <si>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</si>
  <si>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</si>
  <si>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</si>
  <si>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</si>
  <si>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</si>
  <si>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</si>
  <si>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</si>
  <si>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</si>
  <si>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</si>
  <si>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</si>
  <si>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</si>
  <si>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</si>
  <si>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</si>
  <si>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</si>
  <si>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</si>
  <si>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</si>
  <si>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</si>
  <si>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</si>
  <si>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</si>
  <si>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</si>
  <si>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</si>
  <si>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</si>
  <si>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</si>
  <si>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</si>
  <si>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</si>
  <si>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</si>
  <si>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</si>
  <si>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</si>
  <si>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</si>
  <si>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</si>
  <si>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</si>
  <si>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</si>
  <si>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</si>
  <si>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</si>
  <si>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</si>
  <si>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</si>
  <si>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</si>
  <si>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</si>
  <si>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</si>
  <si>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</si>
  <si>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</si>
  <si>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</si>
  <si>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</si>
  <si>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</si>
  <si>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</si>
  <si>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</si>
  <si>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</si>
  <si>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</si>
  <si>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</si>
  <si>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</si>
  <si>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</si>
  <si>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</si>
  <si>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</si>
  <si>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</si>
  <si>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</si>
  <si>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</si>
  <si>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</si>
  <si>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</si>
  <si>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</si>
  <si>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</si>
  <si>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</si>
  <si>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</si>
  <si>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</si>
  <si>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</si>
  <si>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</si>
  <si>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</si>
  <si>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</si>
  <si>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</si>
  <si>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</si>
  <si>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</si>
  <si>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</si>
  <si>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</si>
  <si>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</si>
  <si>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</si>
  <si>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</si>
  <si>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</si>
  <si>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</si>
  <si>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</si>
  <si>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</si>
  <si>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</si>
  <si>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</si>
  <si>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</si>
  <si>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</si>
  <si>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</si>
  <si>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</si>
  <si>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</si>
  <si>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</si>
  <si>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</si>
  <si>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</si>
  <si>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</si>
  <si>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</si>
  <si>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</si>
  <si>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</si>
  <si>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</si>
  <si>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</si>
  <si>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</si>
  <si>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</si>
  <si>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</si>
  <si>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</si>
  <si>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</si>
  <si>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</si>
  <si>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</si>
  <si>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</si>
  <si>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</si>
  <si>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</si>
  <si>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</si>
  <si>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</si>
  <si>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</si>
  <si>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</si>
  <si>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</si>
  <si>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</si>
  <si>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</si>
  <si>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</si>
  <si>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</si>
  <si>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</si>
  <si>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</si>
  <si>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</si>
  <si>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</si>
  <si>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</si>
  <si>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</si>
  <si>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</si>
  <si>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</si>
  <si>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</si>
  <si>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</si>
  <si>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</si>
  <si>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</si>
  <si>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</si>
  <si>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</si>
  <si>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</si>
  <si>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</si>
  <si>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</si>
  <si>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</si>
  <si>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</si>
  <si>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</si>
  <si>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</si>
  <si>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</si>
  <si>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</si>
  <si>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</si>
  <si>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</si>
  <si>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</si>
  <si>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</si>
  <si>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</si>
  <si>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</si>
  <si>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</si>
  <si>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</si>
  <si>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</si>
  <si>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</si>
  <si>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</si>
  <si>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</si>
  <si>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</si>
  <si>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</si>
  <si>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</si>
  <si>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</si>
  <si>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</si>
  <si>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</si>
  <si>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</si>
  <si>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</si>
  <si>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</si>
  <si>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</si>
  <si>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</si>
  <si>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</si>
  <si>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</si>
  <si>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</si>
  <si>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</si>
  <si>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</si>
  <si>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</si>
  <si>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</si>
  <si>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</si>
  <si>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</si>
  <si>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</si>
  <si>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</si>
  <si>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</si>
  <si>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</si>
  <si>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</si>
  <si>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</si>
  <si>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</si>
  <si>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</si>
  <si>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</si>
  <si>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</si>
  <si>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</si>
  <si>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</si>
  <si>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</si>
  <si>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</si>
  <si>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</si>
  <si>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</si>
  <si>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</si>
  <si>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</si>
  <si>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</si>
  <si>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</si>
  <si>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</si>
  <si>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</si>
  <si>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</si>
  <si>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</si>
  <si>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</si>
  <si>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</si>
  <si>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</si>
  <si>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</si>
  <si>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</si>
  <si>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</si>
  <si>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</si>
  <si>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</si>
  <si>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</si>
  <si>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</si>
  <si>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</si>
  <si>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</si>
  <si>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</si>
  <si>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</si>
  <si>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</si>
  <si>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</si>
  <si>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</si>
  <si>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</si>
  <si>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</si>
  <si>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</si>
  <si>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</si>
  <si>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</si>
  <si>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</si>
  <si>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</si>
  <si>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</si>
  <si>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</si>
  <si>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</si>
  <si>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</si>
  <si>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</si>
  <si>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</si>
  <si>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</si>
  <si>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</si>
  <si>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</si>
  <si>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</si>
  <si>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</si>
  <si>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</si>
  <si>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</si>
  <si>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</si>
  <si>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</si>
  <si>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</si>
  <si>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</si>
  <si>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</si>
  <si>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</si>
  <si>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</si>
  <si>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</si>
  <si>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</si>
  <si>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</si>
  <si>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</si>
  <si>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</si>
  <si>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</si>
  <si>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</si>
  <si>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</si>
  <si>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</si>
  <si>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</si>
  <si>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</si>
  <si>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</si>
  <si>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</si>
  <si>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</si>
  <si>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</si>
  <si>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</si>
  <si>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</si>
  <si>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</si>
  <si>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</si>
  <si>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</si>
  <si>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</si>
  <si>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</si>
  <si>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</si>
  <si>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</si>
  <si>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</si>
  <si>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</si>
  <si>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</si>
  <si>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</si>
  <si>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</si>
  <si>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</si>
  <si>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</si>
  <si>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</si>
  <si>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</si>
  <si>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</si>
  <si>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</si>
  <si>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</si>
  <si>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</si>
  <si>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</si>
  <si>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</si>
  <si>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</si>
  <si>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</si>
  <si>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</si>
  <si>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</si>
  <si>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</si>
  <si>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</si>
  <si>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</si>
  <si>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</si>
  <si>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</si>
  <si>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</si>
  <si>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</si>
  <si>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</si>
  <si>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</si>
  <si>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</si>
  <si>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</si>
  <si>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</si>
  <si>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</si>
  <si>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</si>
  <si>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</si>
  <si>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</si>
  <si>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</si>
  <si>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</si>
  <si>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</si>
  <si>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</si>
  <si>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</si>
  <si>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</si>
  <si>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</si>
  <si>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</si>
  <si>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</si>
  <si>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</si>
  <si>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</si>
  <si>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</si>
  <si>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</si>
  <si>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</si>
  <si>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</si>
  <si>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</si>
  <si>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</si>
  <si>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</si>
  <si>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</si>
  <si>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</si>
  <si>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</si>
  <si>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</si>
  <si>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</si>
  <si>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</si>
  <si>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</si>
  <si>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</si>
  <si>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</si>
  <si>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</si>
  <si>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</si>
  <si>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</si>
  <si>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</si>
  <si>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</si>
  <si>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</si>
  <si>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</si>
  <si>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</si>
  <si>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</si>
  <si>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</si>
  <si>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</si>
  <si>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</si>
  <si>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</si>
  <si>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</si>
  <si>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</si>
  <si>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</si>
  <si>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</si>
  <si>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</si>
  <si>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</si>
  <si>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</si>
  <si>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</si>
  <si>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</si>
  <si>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</si>
  <si>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</si>
  <si>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</si>
  <si>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</si>
  <si>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</si>
  <si>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</si>
  <si>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</si>
  <si>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</si>
  <si>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</si>
  <si>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</si>
  <si>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</si>
  <si>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</si>
  <si>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</si>
  <si>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</si>
  <si>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</si>
  <si>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</si>
  <si>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</si>
  <si>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</si>
  <si>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</si>
  <si>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</si>
  <si>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</si>
  <si>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</si>
  <si>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</si>
  <si>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</si>
  <si>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</si>
  <si>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</si>
  <si>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</si>
  <si>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</si>
  <si>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</si>
  <si>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</si>
  <si>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</si>
  <si>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</si>
  <si>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</si>
  <si>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</si>
  <si>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</si>
  <si>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</si>
  <si>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</si>
  <si>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</si>
  <si>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</si>
  <si>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</si>
  <si>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</si>
  <si>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</si>
  <si>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</si>
  <si>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</si>
  <si>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</si>
  <si>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</si>
  <si>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</si>
  <si>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</si>
  <si>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</si>
  <si>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</si>
  <si>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</si>
  <si>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</si>
  <si>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</si>
  <si>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</si>
  <si>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</si>
  <si>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</si>
  <si>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</si>
  <si>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</si>
  <si>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</si>
  <si>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</si>
  <si>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</si>
  <si>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</si>
  <si>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</si>
  <si>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</si>
  <si>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</si>
  <si>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</si>
  <si>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</si>
  <si>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</si>
  <si>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</si>
  <si>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</si>
  <si>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</si>
  <si>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</si>
  <si>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</si>
  <si>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</si>
  <si>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</si>
  <si>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</si>
  <si>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</si>
  <si>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</si>
  <si>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</si>
  <si>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</si>
  <si>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</si>
  <si>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</si>
  <si>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</si>
  <si>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</si>
  <si>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</si>
  <si>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</si>
  <si>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</si>
  <si>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</si>
  <si>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</si>
  <si>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</si>
  <si>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</si>
  <si>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</si>
  <si>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</si>
  <si>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</si>
  <si>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</si>
  <si>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</si>
  <si>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</si>
  <si>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</si>
  <si>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</si>
  <si>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</si>
  <si>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</si>
  <si>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</si>
  <si>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</si>
  <si>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</si>
  <si>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</si>
  <si>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</si>
  <si>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</si>
  <si>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</si>
  <si>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</si>
  <si>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</si>
  <si>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</si>
  <si>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</si>
  <si>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</si>
  <si>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</si>
  <si>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</si>
  <si>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</si>
  <si>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</si>
  <si>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</si>
  <si>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</si>
  <si>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</si>
  <si>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</si>
  <si>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</si>
  <si>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</si>
  <si>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</si>
  <si>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</si>
  <si>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</si>
  <si>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</si>
  <si>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</si>
  <si>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</si>
  <si>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</si>
  <si>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</si>
  <si>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</si>
  <si>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</si>
  <si>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</si>
  <si>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</si>
  <si>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</si>
  <si>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</si>
  <si>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</si>
  <si>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</si>
  <si>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</si>
  <si>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</si>
  <si>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</si>
  <si>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</si>
  <si>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</si>
  <si>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</si>
  <si>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</si>
  <si>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</si>
  <si>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</si>
  <si>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</si>
  <si>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</si>
  <si>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</si>
  <si>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</si>
  <si>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</si>
  <si>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</si>
  <si>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</si>
  <si>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</si>
  <si>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</si>
  <si>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</si>
  <si>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</si>
  <si>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</si>
  <si>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</si>
  <si>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</si>
  <si>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</si>
  <si>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</si>
  <si>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</si>
  <si>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</si>
  <si>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</si>
  <si>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</si>
  <si>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</si>
  <si>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</si>
  <si>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</si>
  <si>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</si>
  <si>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</si>
  <si>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</si>
  <si>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</si>
  <si>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</si>
  <si>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</si>
  <si>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</si>
  <si>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</si>
  <si>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</si>
  <si>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</si>
  <si>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</si>
  <si>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</si>
  <si>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</si>
  <si>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</si>
  <si>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</si>
  <si>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</si>
  <si>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</si>
  <si>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</si>
  <si>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</si>
  <si>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</si>
  <si>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</si>
  <si>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</si>
  <si>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</si>
  <si>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</si>
  <si>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</si>
  <si>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</si>
  <si>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</si>
  <si>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</si>
  <si>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</si>
  <si>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</si>
  <si>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</si>
  <si>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</si>
  <si>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</si>
  <si>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</si>
  <si>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</si>
  <si>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</si>
  <si>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</si>
  <si>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</si>
  <si>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</si>
  <si>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</si>
  <si>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</si>
  <si>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</si>
  <si>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</si>
  <si>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</si>
  <si>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</si>
  <si>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</si>
  <si>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</si>
  <si>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</si>
  <si>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</si>
  <si>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</si>
  <si>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</si>
  <si>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</si>
  <si>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</si>
  <si>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</si>
  <si>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</si>
  <si>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</si>
  <si>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</si>
  <si>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</si>
  <si>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</si>
  <si>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</si>
  <si>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</si>
  <si>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</si>
  <si>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</si>
  <si>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</si>
  <si>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</si>
  <si>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</si>
  <si>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</si>
  <si>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</si>
  <si>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</si>
  <si>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</si>
  <si>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</si>
  <si>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</si>
  <si>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</si>
  <si>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</si>
  <si>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</si>
  <si>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</si>
  <si>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</si>
  <si>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</si>
  <si>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</si>
  <si>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</si>
  <si>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</si>
  <si>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</si>
  <si>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</si>
  <si>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</si>
  <si>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</si>
  <si>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</si>
  <si>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</si>
  <si>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</si>
  <si>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</si>
  <si>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</si>
  <si>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</si>
  <si>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</si>
  <si>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</si>
  <si>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</si>
  <si>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</si>
  <si>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</si>
  <si>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</si>
  <si>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</si>
  <si>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</si>
  <si>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</si>
  <si>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</si>
  <si>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</si>
  <si>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</si>
  <si>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</si>
  <si>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</si>
  <si>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</si>
  <si>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</si>
  <si>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</si>
  <si>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</si>
  <si>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</si>
  <si>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</si>
  <si>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</si>
  <si>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</si>
  <si>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</si>
  <si>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</si>
  <si>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</si>
  <si>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</si>
  <si>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</si>
  <si>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</si>
  <si>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</si>
  <si>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</si>
  <si>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</si>
  <si>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</si>
  <si>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</si>
  <si>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</si>
  <si>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</si>
  <si>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</si>
  <si>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</si>
  <si>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</si>
  <si>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</si>
  <si>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</si>
  <si>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</si>
  <si>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</si>
  <si>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</si>
  <si>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</si>
  <si>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</si>
  <si>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</si>
  <si>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</si>
  <si>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</si>
  <si>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</si>
  <si>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</si>
  <si>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</si>
  <si>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</si>
  <si>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</si>
  <si>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</si>
  <si>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</si>
  <si>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</si>
  <si>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</si>
  <si>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</si>
  <si>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</si>
  <si>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</si>
  <si>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</si>
  <si>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</si>
  <si>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</si>
  <si>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</si>
  <si>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</si>
  <si>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</si>
  <si>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</si>
  <si>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</si>
  <si>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</si>
  <si>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</si>
  <si>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</si>
  <si>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</si>
  <si>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</si>
  <si>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</si>
  <si>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</si>
  <si>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</si>
  <si>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</si>
  <si>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</si>
  <si>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</si>
  <si>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</si>
  <si>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</si>
  <si>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</si>
  <si>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</si>
  <si>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</si>
  <si>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</si>
  <si>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</si>
  <si>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</si>
  <si>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</si>
  <si>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</si>
  <si>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</si>
  <si>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</si>
  <si>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</si>
  <si>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</si>
  <si>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</si>
  <si>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</si>
  <si>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</si>
  <si>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</si>
  <si>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</si>
  <si>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</si>
  <si>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</si>
  <si>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</si>
  <si>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</si>
  <si>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</si>
  <si>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</si>
  <si>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</si>
  <si>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</si>
  <si>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</si>
  <si>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</si>
  <si>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</si>
  <si>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</si>
  <si>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</si>
  <si>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</si>
  <si>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</si>
  <si>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</si>
  <si>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</si>
  <si>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</si>
  <si>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</si>
  <si>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</si>
  <si>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</si>
  <si>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</si>
  <si>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</si>
  <si>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</si>
  <si>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</si>
  <si>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</si>
  <si>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</si>
  <si>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</si>
  <si>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</si>
  <si>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</si>
  <si>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</si>
  <si>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</si>
  <si>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</si>
  <si>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</si>
  <si>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</si>
  <si>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</si>
  <si>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</si>
  <si>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</si>
  <si>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</si>
  <si>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</si>
  <si>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</si>
  <si>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</si>
  <si>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</si>
  <si>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</si>
  <si>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</si>
  <si>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</si>
  <si>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</si>
  <si>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</si>
  <si>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</si>
  <si>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</si>
  <si>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</si>
  <si>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</si>
  <si>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</si>
  <si>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</si>
  <si>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</si>
  <si>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</si>
  <si>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</si>
  <si>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</si>
  <si>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</si>
  <si>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</si>
  <si>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</si>
  <si>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</si>
  <si>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</si>
  <si>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</si>
  <si>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</si>
  <si>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</si>
  <si>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</si>
  <si>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</si>
  <si>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</si>
  <si>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</si>
  <si>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</si>
  <si>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</si>
  <si>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</si>
  <si>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</si>
  <si>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</si>
  <si>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</si>
  <si>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</si>
  <si>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</si>
  <si>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</si>
  <si>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</si>
  <si>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</si>
  <si>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</si>
  <si>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</si>
  <si>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</si>
  <si>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</si>
  <si>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</si>
  <si>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</si>
  <si>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</si>
  <si>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</si>
  <si>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</si>
  <si>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</si>
  <si>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</si>
  <si>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</si>
  <si>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</si>
  <si>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</si>
  <si>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</si>
  <si>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</si>
  <si>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</si>
  <si>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</si>
  <si>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</si>
  <si>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</si>
  <si>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</si>
  <si>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</si>
  <si>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</si>
  <si>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</si>
  <si>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</si>
  <si>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</si>
  <si>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</si>
  <si>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</si>
  <si>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</si>
  <si>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</si>
  <si>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</si>
  <si>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</si>
  <si>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</si>
  <si>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</si>
  <si>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</si>
  <si>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</si>
  <si>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</si>
  <si>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</si>
  <si>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</si>
  <si>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</si>
  <si>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</si>
  <si>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</si>
  <si>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</si>
  <si>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</si>
  <si>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</si>
  <si>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</si>
  <si>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</si>
  <si>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</si>
  <si>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</si>
  <si>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</si>
  <si>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</si>
  <si>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</si>
  <si>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</si>
  <si>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</si>
  <si>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</si>
  <si>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</si>
  <si>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</si>
  <si>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</si>
  <si>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</si>
  <si>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</si>
  <si>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</si>
  <si>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</si>
  <si>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</si>
  <si>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</si>
  <si>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</si>
  <si>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</si>
  <si>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</si>
  <si>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</si>
  <si>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</si>
  <si>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</si>
  <si>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</si>
  <si>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</si>
  <si>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</si>
  <si>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</si>
  <si>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</si>
  <si>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</si>
  <si>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</si>
  <si>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</si>
  <si>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</si>
  <si>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</si>
  <si>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</si>
  <si>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</si>
  <si>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</si>
  <si>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</si>
  <si>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</si>
  <si>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</si>
  <si>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</si>
  <si>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</si>
  <si>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</si>
  <si>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</si>
  <si>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</si>
  <si>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</si>
  <si>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</si>
  <si>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</si>
  <si>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</si>
  <si>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</si>
  <si>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</si>
  <si>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</si>
  <si>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</si>
  <si>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</si>
  <si>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</si>
  <si>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</si>
  <si>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</si>
  <si>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</si>
  <si>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</si>
  <si>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</si>
  <si>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</si>
  <si>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</si>
  <si>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</si>
  <si>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</si>
  <si>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</si>
  <si>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</si>
  <si>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</si>
  <si>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</si>
  <si>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</si>
  <si>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</si>
  <si>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</si>
  <si>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</si>
  <si>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</si>
  <si>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</si>
  <si>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</si>
  <si>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</si>
  <si>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</si>
  <si>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</si>
  <si>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</si>
  <si>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</si>
  <si>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</si>
  <si>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</si>
  <si>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</si>
  <si>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</si>
  <si>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</si>
  <si>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</si>
  <si>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</si>
  <si>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</si>
  <si>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</si>
  <si>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</si>
  <si>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</si>
  <si>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</si>
  <si>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</si>
  <si>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</si>
  <si>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</si>
  <si>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</si>
  <si>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</si>
  <si>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</si>
  <si>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</si>
  <si>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</si>
  <si>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</si>
  <si>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</si>
  <si>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</si>
  <si>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</si>
  <si>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</si>
  <si>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</si>
  <si>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</si>
  <si>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</si>
  <si>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</si>
  <si>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</si>
  <si>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</si>
  <si>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</si>
  <si>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</si>
  <si>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</si>
  <si>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</si>
  <si>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</si>
  <si>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</si>
  <si>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</si>
  <si>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</si>
  <si>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</si>
  <si>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</si>
  <si>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</si>
  <si>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</si>
  <si>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</si>
  <si>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</si>
  <si>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</si>
  <si>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</si>
  <si>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</si>
  <si>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</si>
  <si>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</si>
  <si>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</si>
  <si>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</si>
  <si>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</si>
  <si>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</si>
  <si>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</si>
  <si>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</si>
  <si>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</si>
  <si>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</si>
  <si>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</si>
  <si>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</si>
  <si>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</si>
  <si>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</si>
  <si>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</si>
  <si>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</si>
  <si>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</si>
  <si>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</si>
  <si>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</si>
  <si>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</si>
  <si>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</si>
  <si>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</si>
  <si>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</si>
  <si>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</si>
  <si>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</si>
  <si>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</si>
  <si>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</si>
  <si>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</si>
  <si>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</si>
  <si>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</si>
  <si>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</si>
  <si>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</si>
  <si>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</si>
  <si>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</si>
  <si>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</si>
  <si>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</si>
  <si>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</si>
  <si>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</si>
  <si>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</si>
  <si>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</si>
  <si>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</si>
  <si>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</si>
  <si>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</si>
  <si>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</si>
  <si>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</si>
  <si>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</si>
  <si>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</si>
  <si>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</si>
  <si>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</si>
  <si>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</si>
  <si>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</si>
  <si>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</si>
  <si>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</si>
  <si>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</si>
  <si>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</si>
  <si>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</si>
  <si>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</si>
  <si>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</si>
  <si>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</si>
  <si>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</si>
  <si>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</si>
  <si>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</si>
  <si>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</si>
  <si>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</si>
  <si>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</si>
  <si>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</si>
  <si>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</si>
  <si>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</si>
  <si>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</si>
  <si>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</si>
  <si>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</si>
  <si>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</si>
  <si>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</si>
  <si>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</si>
  <si>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</si>
  <si>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</si>
  <si>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</si>
  <si>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</si>
  <si>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</si>
  <si>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</si>
  <si>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</si>
  <si>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</si>
  <si>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</si>
  <si>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</si>
  <si>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</si>
  <si>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</si>
  <si>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</si>
  <si>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</si>
  <si>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</si>
  <si>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</si>
  <si>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</si>
  <si>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</si>
  <si>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</si>
  <si>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</si>
  <si>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</si>
  <si>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</si>
  <si>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</si>
  <si>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</si>
  <si>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</si>
  <si>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</si>
  <si>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</si>
  <si>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</si>
  <si>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</si>
  <si>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</si>
  <si>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</si>
  <si>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</si>
  <si>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</si>
  <si>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</si>
  <si>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</si>
  <si>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</si>
  <si>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</si>
  <si>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</si>
  <si>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</si>
  <si>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</si>
  <si>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</si>
  <si>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</si>
  <si>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</si>
  <si>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</si>
  <si>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</si>
  <si>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</si>
  <si>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</si>
  <si>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</si>
  <si>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</si>
  <si>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</si>
  <si>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</si>
  <si>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</si>
  <si>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</si>
  <si>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</si>
  <si>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</si>
  <si>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</si>
  <si>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</si>
  <si>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</si>
  <si>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</si>
  <si>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</si>
  <si>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</si>
  <si>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</si>
  <si>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</si>
  <si>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</si>
  <si>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</si>
  <si>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</si>
  <si>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</si>
  <si>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</si>
  <si>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</si>
  <si>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</si>
  <si>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</si>
  <si>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</si>
  <si>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</si>
  <si>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</si>
  <si>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</si>
  <si>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</si>
  <si>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</si>
  <si>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</si>
  <si>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</si>
  <si>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</si>
  <si>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</si>
  <si>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</si>
  <si>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</si>
  <si>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</si>
  <si>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</si>
  <si>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</si>
  <si>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</si>
  <si>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</si>
  <si>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</si>
  <si>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</si>
  <si>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</si>
  <si>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</si>
  <si>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</si>
  <si>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</si>
  <si>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</si>
  <si>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</si>
  <si>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</si>
  <si>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</si>
  <si>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</si>
  <si>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</si>
  <si>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</si>
  <si>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</si>
  <si>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</si>
  <si>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</si>
  <si>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</si>
  <si>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</si>
  <si>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</si>
  <si>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</si>
  <si>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</si>
  <si>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</si>
  <si>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</si>
  <si>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</si>
  <si>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</si>
  <si>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</si>
  <si>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</si>
  <si>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</si>
  <si>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</si>
  <si>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</si>
  <si>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</si>
  <si>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</si>
  <si>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</si>
  <si>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</si>
  <si>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</si>
  <si>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</si>
  <si>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</si>
  <si>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</si>
  <si>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</si>
  <si>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</si>
  <si>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</si>
  <si>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</si>
  <si>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</si>
  <si>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</si>
  <si>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</si>
  <si>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</si>
  <si>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</si>
  <si>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</si>
  <si>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</si>
  <si>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</si>
  <si>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</si>
  <si>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</si>
  <si>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</si>
  <si>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</si>
  <si>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</si>
  <si>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</si>
  <si>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</si>
  <si>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</si>
  <si>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</si>
  <si>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</si>
  <si>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</si>
  <si>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</si>
  <si>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</si>
  <si>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</si>
  <si>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</si>
  <si>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</si>
  <si>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</si>
  <si>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</si>
  <si>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</si>
  <si>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</si>
  <si>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</si>
  <si>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</si>
  <si>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</si>
  <si>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</si>
  <si>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</si>
  <si>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</si>
  <si>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</si>
  <si>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</si>
  <si>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</si>
  <si>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</si>
  <si>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</si>
  <si>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</si>
  <si>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</si>
  <si>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</si>
  <si>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</si>
  <si>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</si>
  <si>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</si>
  <si>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</si>
  <si>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</si>
  <si>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</si>
  <si>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</si>
  <si>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</si>
  <si>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</si>
  <si>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</si>
  <si>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</si>
  <si>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</si>
  <si>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</si>
  <si>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</si>
  <si>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</si>
  <si>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</si>
  <si>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</si>
  <si>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</si>
  <si>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</si>
  <si>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</si>
  <si>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</si>
  <si>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</si>
  <si>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</si>
  <si>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</si>
  <si>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</si>
  <si>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</si>
  <si>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</si>
  <si>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</si>
  <si>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</si>
  <si>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</si>
  <si>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</si>
  <si>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</si>
  <si>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</si>
  <si>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</si>
  <si>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</si>
  <si>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</si>
  <si>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</si>
  <si>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</si>
  <si>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</si>
  <si>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</si>
  <si>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</si>
  <si>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</si>
  <si>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</si>
  <si>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</si>
  <si>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</si>
  <si>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</si>
  <si>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</si>
  <si>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</si>
  <si>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</si>
  <si>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</si>
  <si>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</si>
  <si>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</si>
  <si>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</si>
  <si>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</si>
  <si>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</si>
  <si>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</si>
  <si>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</si>
  <si>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</si>
  <si>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</si>
  <si>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</si>
  <si>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</si>
  <si>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</si>
  <si>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</si>
  <si>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</si>
  <si>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</si>
  <si>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</si>
  <si>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</si>
  <si>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</si>
  <si>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</si>
  <si>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</si>
  <si>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</si>
  <si>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</si>
  <si>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</si>
  <si>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</si>
  <si>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</si>
  <si>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</si>
  <si>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</si>
  <si>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</si>
  <si>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</si>
  <si>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</si>
  <si>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</si>
  <si>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</si>
  <si>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</si>
  <si>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</si>
  <si>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</si>
  <si>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</si>
  <si>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</si>
  <si>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</si>
  <si>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</si>
  <si>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</si>
  <si>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</si>
  <si>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</si>
  <si>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</si>
  <si>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</si>
  <si>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</si>
  <si>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</si>
  <si>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</si>
  <si>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</si>
  <si>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</si>
  <si>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</si>
  <si>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</si>
  <si>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</si>
  <si>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</si>
  <si>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</si>
  <si>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</si>
  <si>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</si>
  <si>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</si>
  <si>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</si>
  <si>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</si>
  <si>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</si>
  <si>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</si>
  <si>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</si>
  <si>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</si>
  <si>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</si>
  <si>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</si>
  <si>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</si>
  <si>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</si>
  <si>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</si>
  <si>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</si>
  <si>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</si>
  <si>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</si>
  <si>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</si>
  <si>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</si>
  <si>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</si>
  <si>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</si>
  <si>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</si>
  <si>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</si>
  <si>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</si>
  <si>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</si>
  <si>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</si>
  <si>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</si>
  <si>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</si>
  <si>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</si>
  <si>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</si>
  <si>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</si>
  <si>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</si>
  <si>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</si>
  <si>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</si>
  <si>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</si>
  <si>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</si>
  <si>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</si>
  <si>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</si>
  <si>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</si>
  <si>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</si>
  <si>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</si>
  <si>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</si>
  <si>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</si>
  <si>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</si>
  <si>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</si>
  <si>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</si>
  <si>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</si>
  <si>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</si>
  <si>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</si>
  <si>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</si>
  <si>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</si>
  <si>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</si>
  <si>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</si>
  <si>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</si>
  <si>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</si>
  <si>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</si>
  <si>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</si>
  <si>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</si>
  <si>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</si>
  <si>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</si>
  <si>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</si>
  <si>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</si>
  <si>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</si>
  <si>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</si>
  <si>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</si>
  <si>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</si>
  <si>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</si>
  <si>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</si>
  <si>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</si>
  <si>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</si>
  <si>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</si>
  <si>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</si>
  <si>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</si>
  <si>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</si>
  <si>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</si>
  <si>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</si>
  <si>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</si>
  <si>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</si>
  <si>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</si>
  <si>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</si>
  <si>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</si>
  <si>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</si>
  <si>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</si>
  <si>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</si>
  <si>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</si>
  <si>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</si>
  <si>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</si>
  <si>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</si>
  <si>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</si>
  <si>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</si>
  <si>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</si>
  <si>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</si>
  <si>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</si>
  <si>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</si>
  <si>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</si>
  <si>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</si>
  <si>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</si>
  <si>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</si>
  <si>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</si>
  <si>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</si>
  <si>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</si>
  <si>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</si>
  <si>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</si>
  <si>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</si>
  <si>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</si>
  <si>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</si>
  <si>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</si>
  <si>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</si>
  <si>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</si>
  <si>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</si>
  <si>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</si>
  <si>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</si>
  <si>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</si>
  <si>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</si>
  <si>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</si>
  <si>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</si>
  <si>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</si>
  <si>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</si>
  <si>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</si>
  <si>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</si>
  <si>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</si>
  <si>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</si>
  <si>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</si>
  <si>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</si>
  <si>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</si>
  <si>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</si>
  <si>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</si>
  <si>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</si>
  <si>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</si>
  <si>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</si>
  <si>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</si>
  <si>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</si>
  <si>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</si>
  <si>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</si>
  <si>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</si>
  <si>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</si>
  <si>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</si>
  <si>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</si>
  <si>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</si>
  <si>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</si>
  <si>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</si>
  <si>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</si>
  <si>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</si>
  <si>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</si>
  <si>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</si>
  <si>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</si>
  <si>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</si>
  <si>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</si>
  <si>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</si>
  <si>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</si>
  <si>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</si>
  <si>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</si>
  <si>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</si>
  <si>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</si>
  <si>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</si>
  <si>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</si>
  <si>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</si>
  <si>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</si>
  <si>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</si>
  <si>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</si>
  <si>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</si>
  <si>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</si>
  <si>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</si>
  <si>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</si>
  <si>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</si>
  <si>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</si>
  <si>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</si>
  <si>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</si>
  <si>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</si>
  <si>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</si>
  <si>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</si>
  <si>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</si>
  <si>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</si>
  <si>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</si>
  <si>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</si>
  <si>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</si>
  <si>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</si>
  <si>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</si>
  <si>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</si>
  <si>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</si>
  <si>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</si>
  <si>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</si>
  <si>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</si>
  <si>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</si>
  <si>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</si>
  <si>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</si>
  <si>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</si>
  <si>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</si>
  <si>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</si>
  <si>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</si>
  <si>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</si>
  <si>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</si>
  <si>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</si>
  <si>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</si>
  <si>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</si>
  <si>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</si>
  <si>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</si>
  <si>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</si>
  <si>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</si>
  <si>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</si>
  <si>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</si>
  <si>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</si>
  <si>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</si>
  <si>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</si>
  <si>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</si>
  <si>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</si>
  <si>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</si>
  <si>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</si>
  <si>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</si>
  <si>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</si>
  <si>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</si>
  <si>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</si>
  <si>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</si>
  <si>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</si>
  <si>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</si>
  <si>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</si>
  <si>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</si>
  <si>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</si>
  <si>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</si>
  <si>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</si>
  <si>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</si>
  <si>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</si>
  <si>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</si>
  <si>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</si>
  <si>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</si>
  <si>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</si>
  <si>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</si>
  <si>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</si>
  <si>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</si>
  <si>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</si>
  <si>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</si>
  <si>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</si>
  <si>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</si>
  <si>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</si>
  <si>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</si>
  <si>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</si>
  <si>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</si>
  <si>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</si>
  <si>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</si>
  <si>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</si>
  <si>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</si>
  <si>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</si>
  <si>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</si>
  <si>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</si>
  <si>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</si>
  <si>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</si>
  <si>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</si>
  <si>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</si>
  <si>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</si>
  <si>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</si>
  <si>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</si>
  <si>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</si>
  <si>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</si>
  <si>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</si>
  <si>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</si>
  <si>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</si>
  <si>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</si>
  <si>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</si>
  <si>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</si>
  <si>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</si>
  <si>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</si>
  <si>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</si>
  <si>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</si>
  <si>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</si>
  <si>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</si>
  <si>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</si>
  <si>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</si>
  <si>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</si>
  <si>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</si>
  <si>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</si>
  <si>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</si>
  <si>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</si>
  <si>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</si>
  <si>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</si>
  <si>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</si>
  <si>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</si>
  <si>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</si>
  <si>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</si>
  <si>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</si>
  <si>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</si>
  <si>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</si>
  <si>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</si>
  <si>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</si>
  <si>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</si>
  <si>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</si>
  <si>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</si>
  <si>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</si>
  <si>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</si>
  <si>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</si>
  <si>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</si>
  <si>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</si>
  <si>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</si>
  <si>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</si>
  <si>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</si>
  <si>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</si>
  <si>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</si>
  <si>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</si>
  <si>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</si>
  <si>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</si>
  <si>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</si>
  <si>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</si>
  <si>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</si>
  <si>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</si>
  <si>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</si>
  <si>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</si>
  <si>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</si>
  <si>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</si>
  <si>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</si>
  <si>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</si>
  <si>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</si>
  <si>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</si>
  <si>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</si>
  <si>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</si>
  <si>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</si>
  <si>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</si>
  <si>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</si>
  <si>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</si>
  <si>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</si>
  <si>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</si>
  <si>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</si>
  <si>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</si>
  <si>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</si>
  <si>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</si>
  <si>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</si>
  <si>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</si>
  <si>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</si>
  <si>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</si>
  <si>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</si>
  <si>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</si>
  <si>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</si>
  <si>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</si>
  <si>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</si>
  <si>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</si>
  <si>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</si>
  <si>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</si>
  <si>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</si>
  <si>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</si>
  <si>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</si>
  <si>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</si>
  <si>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</si>
  <si>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</si>
  <si>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</si>
  <si>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</si>
  <si>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</si>
  <si>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</si>
  <si>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</si>
  <si>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</si>
  <si>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</si>
  <si>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</si>
  <si>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</si>
  <si>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</si>
  <si>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</si>
  <si>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</si>
  <si>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</si>
  <si>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</si>
  <si>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</si>
  <si>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</si>
  <si>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</si>
  <si>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</si>
  <si>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</si>
  <si>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</si>
  <si>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</si>
  <si>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</si>
  <si>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</si>
  <si>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</si>
  <si>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</si>
  <si>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</si>
  <si>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</si>
  <si>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</si>
  <si>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</si>
  <si>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</si>
  <si>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</si>
  <si>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</si>
  <si>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</si>
  <si>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</si>
  <si>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</si>
  <si>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</si>
  <si>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</si>
  <si>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</si>
  <si>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</si>
  <si>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</si>
  <si>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</si>
  <si>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</si>
  <si>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</si>
  <si>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</si>
  <si>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</si>
  <si>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</si>
  <si>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</si>
  <si>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</si>
  <si>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</si>
  <si>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</si>
  <si>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</si>
  <si>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</si>
  <si>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</si>
  <si>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</si>
  <si>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</si>
  <si>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</si>
  <si>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</si>
  <si>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</si>
  <si>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</si>
  <si>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</si>
  <si>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</si>
  <si>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</si>
  <si>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</si>
  <si>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</si>
  <si>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</si>
  <si>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</si>
  <si>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</si>
  <si>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</si>
  <si>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</si>
  <si>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</si>
  <si>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</si>
  <si>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</si>
  <si>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</si>
  <si>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</si>
  <si>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</si>
  <si>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</si>
  <si>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</si>
  <si>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</si>
  <si>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</si>
  <si>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</si>
  <si>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</si>
  <si>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</si>
  <si>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</si>
  <si>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</si>
  <si>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</si>
  <si>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</si>
  <si>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</si>
  <si>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</si>
  <si>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</si>
  <si>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</si>
  <si>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</si>
  <si>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</si>
  <si>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</si>
  <si>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</si>
  <si>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</si>
  <si>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</si>
  <si>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</si>
  <si>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</si>
  <si>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</si>
  <si>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</si>
  <si>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</si>
  <si>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</si>
  <si>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</si>
  <si>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</si>
  <si>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</si>
  <si>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</si>
  <si>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</si>
  <si>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</si>
  <si>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</si>
  <si>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</si>
  <si>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</si>
  <si>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</si>
  <si>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</si>
  <si>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</si>
  <si>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</si>
  <si>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</si>
  <si>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</si>
  <si>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</si>
  <si>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</si>
  <si>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</si>
  <si>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</si>
  <si>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</si>
  <si>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</si>
  <si>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</si>
  <si>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</si>
  <si>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</si>
  <si>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</si>
  <si>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</si>
  <si>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</si>
  <si>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</si>
  <si>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</si>
  <si>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</si>
  <si>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</si>
  <si>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</si>
  <si>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</si>
  <si>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</si>
  <si>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</si>
  <si>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</si>
  <si>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</si>
  <si>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</si>
  <si>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</si>
  <si>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</si>
  <si>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</si>
  <si>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</si>
  <si>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</si>
  <si>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</si>
  <si>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</si>
  <si>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</si>
  <si>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</si>
  <si>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</si>
  <si>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</si>
  <si>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</si>
  <si>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</si>
  <si>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</si>
  <si>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</si>
  <si>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</si>
  <si>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</si>
  <si>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</si>
  <si>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</si>
  <si>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</si>
  <si>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</si>
  <si>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</si>
  <si>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</si>
  <si>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</si>
  <si>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</si>
  <si>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</si>
  <si>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</si>
  <si>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</si>
  <si>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</si>
  <si>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</si>
  <si>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</si>
  <si>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</si>
  <si>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</si>
  <si>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</si>
  <si>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</si>
  <si>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</si>
  <si>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</si>
  <si>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</si>
  <si>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</si>
  <si>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</si>
  <si>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</si>
  <si>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</si>
  <si>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</si>
  <si>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</si>
  <si>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</si>
  <si>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</si>
  <si>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</si>
  <si>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</si>
  <si>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</si>
  <si>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</si>
  <si>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</si>
  <si>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</si>
  <si>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</si>
  <si>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</si>
  <si>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</si>
  <si>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</si>
  <si>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</si>
  <si>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</si>
  <si>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</si>
  <si>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</si>
  <si>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</si>
  <si>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</si>
  <si>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</si>
  <si>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</si>
  <si>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</si>
  <si>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</si>
  <si>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</si>
  <si>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</si>
  <si>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</si>
  <si>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</si>
  <si>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</si>
  <si>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</si>
  <si>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</si>
  <si>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</si>
  <si>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</si>
  <si>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</si>
  <si>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</si>
  <si>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</si>
  <si>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</si>
  <si>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</si>
  <si>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</si>
  <si>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</si>
  <si>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</si>
  <si>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</si>
  <si>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</si>
  <si>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</si>
  <si>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</si>
  <si>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</si>
  <si>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</si>
  <si>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</si>
  <si>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</si>
  <si>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</si>
  <si>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</si>
  <si>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</si>
  <si>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</si>
  <si>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</si>
  <si>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</si>
  <si>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</si>
  <si>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</si>
  <si>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</si>
  <si>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</si>
  <si>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</si>
  <si>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</si>
  <si>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</si>
  <si>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</si>
  <si>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</si>
  <si>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</si>
  <si>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</si>
  <si>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</si>
  <si>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</si>
  <si>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</si>
  <si>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</si>
  <si>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</si>
  <si>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</si>
  <si>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</si>
  <si>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</si>
  <si>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</si>
  <si>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</si>
  <si>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</si>
  <si>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</si>
  <si>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</si>
  <si>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</si>
  <si>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</si>
  <si>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</si>
  <si>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</si>
  <si>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</si>
  <si>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</si>
  <si>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</si>
  <si>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</si>
  <si>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</si>
  <si>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</si>
  <si>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</si>
  <si>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</si>
  <si>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</si>
  <si>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</si>
  <si>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</si>
  <si>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</si>
  <si>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</si>
  <si>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</si>
  <si>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</si>
  <si>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</si>
  <si>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</si>
  <si>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</si>
  <si>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</si>
  <si>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</si>
  <si>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</si>
  <si>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</si>
  <si>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</si>
  <si>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</si>
  <si>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</si>
  <si>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</si>
  <si>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</si>
  <si>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</si>
  <si>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</si>
  <si>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</si>
  <si>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</si>
  <si>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</si>
  <si>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</si>
  <si>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</si>
  <si>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</si>
  <si>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</si>
  <si>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</si>
  <si>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</si>
  <si>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</si>
  <si>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</si>
  <si>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</si>
  <si>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</si>
  <si>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</si>
  <si>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</si>
  <si>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</si>
  <si>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</si>
  <si>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</si>
  <si>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</si>
  <si>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</si>
  <si>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</si>
  <si>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</si>
  <si>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</si>
  <si>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</si>
  <si>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</si>
  <si>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</si>
  <si>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</si>
  <si>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</si>
  <si>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</si>
  <si>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</si>
  <si>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</si>
  <si>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</si>
  <si>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</si>
  <si>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</si>
  <si>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</si>
  <si>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</si>
  <si>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</si>
  <si>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</si>
  <si>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</si>
  <si>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</si>
  <si>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</si>
  <si>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</si>
  <si>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</si>
  <si>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</si>
  <si>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</si>
  <si>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</si>
  <si>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</si>
  <si>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</si>
  <si>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</si>
  <si>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</si>
  <si>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</si>
  <si>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</si>
  <si>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</si>
  <si>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</si>
  <si>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</si>
  <si>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</si>
  <si>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</si>
  <si>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</si>
  <si>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</si>
  <si>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</si>
  <si>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</si>
  <si>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</si>
  <si>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</si>
  <si>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</si>
  <si>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</si>
  <si>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</si>
  <si>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</si>
  <si>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</si>
  <si>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</si>
  <si>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</si>
  <si>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</si>
  <si>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</si>
  <si>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</si>
  <si>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</si>
  <si>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</si>
  <si>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</si>
  <si>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</si>
  <si>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</si>
  <si>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</si>
  <si>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</si>
  <si>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</si>
  <si>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</si>
  <si>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</si>
  <si>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</si>
  <si>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</si>
  <si>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</si>
  <si>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</si>
  <si>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</si>
  <si>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</si>
  <si>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</si>
  <si>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</si>
  <si>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</si>
  <si>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</si>
  <si>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</si>
  <si>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</si>
  <si>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</si>
  <si>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</si>
  <si>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</si>
  <si>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</si>
  <si>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</si>
  <si>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</si>
  <si>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</si>
  <si>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</si>
  <si>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</si>
  <si>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</si>
  <si>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</si>
  <si>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</si>
  <si>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</si>
  <si>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</si>
  <si>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</si>
  <si>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</si>
  <si>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</si>
  <si>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</si>
  <si>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</si>
  <si>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</si>
  <si>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</si>
  <si>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</si>
  <si>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</si>
  <si>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</si>
  <si>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</si>
  <si>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</si>
  <si>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</si>
  <si>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</si>
  <si>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</si>
  <si>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</si>
  <si>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</si>
  <si>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</si>
  <si>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</si>
  <si>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</si>
  <si>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</si>
  <si>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</si>
  <si>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</si>
  <si>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</si>
  <si>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</si>
  <si>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</si>
  <si>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</si>
  <si>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</si>
  <si>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</si>
  <si>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</si>
  <si>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</si>
  <si>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</si>
  <si>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</si>
  <si>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</si>
  <si>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</si>
  <si>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</si>
  <si>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</si>
  <si>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</si>
  <si>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</si>
  <si>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</si>
  <si>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</si>
  <si>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</si>
  <si>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</si>
  <si>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</si>
  <si>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</si>
  <si>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</si>
  <si>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</si>
  <si>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</si>
  <si>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</si>
  <si>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</si>
  <si>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</si>
  <si>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</si>
  <si>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</si>
  <si>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</si>
  <si>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</si>
  <si>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</si>
  <si>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</si>
  <si>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</si>
  <si>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</si>
  <si>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</si>
  <si>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</si>
  <si>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</si>
  <si>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</si>
  <si>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</si>
  <si>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</si>
  <si>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</si>
  <si>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</si>
  <si>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</si>
  <si>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</si>
  <si>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</si>
  <si>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</si>
  <si>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</si>
  <si>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</si>
  <si>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</si>
  <si>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</si>
  <si>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</si>
  <si>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</si>
  <si>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</si>
  <si>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</si>
  <si>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</si>
  <si>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</si>
  <si>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</si>
  <si>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</si>
  <si>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</si>
  <si>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</si>
  <si>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</si>
  <si>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</si>
  <si>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</si>
  <si>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</si>
  <si>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</si>
  <si>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</si>
  <si>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</si>
  <si>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</si>
  <si>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</si>
  <si>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</si>
  <si>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</si>
  <si>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</si>
  <si>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</si>
  <si>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</si>
  <si>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</si>
  <si>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</si>
  <si>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</si>
  <si>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</si>
  <si>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</si>
  <si>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</si>
  <si>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</si>
  <si>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</si>
  <si>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</si>
  <si>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</si>
  <si>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</si>
  <si>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</si>
  <si>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</si>
  <si>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</si>
  <si>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</si>
  <si>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</si>
  <si>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</si>
  <si>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</si>
  <si>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</si>
  <si>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</si>
  <si>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</si>
  <si>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</si>
  <si>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</si>
  <si>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</si>
  <si>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</si>
  <si>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</si>
  <si>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</si>
  <si>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</si>
  <si>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</si>
  <si>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</si>
  <si>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</si>
  <si>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</si>
  <si>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</si>
  <si>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</si>
  <si>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</si>
  <si>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</si>
  <si>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</si>
  <si>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</si>
  <si>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</si>
  <si>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</si>
  <si>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</si>
  <si>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</si>
  <si>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</si>
  <si>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</si>
  <si>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</si>
  <si>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</si>
  <si>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</si>
  <si>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</si>
  <si>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</si>
  <si>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</si>
  <si>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</si>
  <si>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</si>
  <si>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</si>
  <si>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</si>
  <si>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</si>
  <si>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</si>
  <si>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</si>
  <si>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</si>
  <si>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</si>
  <si>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</si>
  <si>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</si>
  <si>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</si>
  <si>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</si>
  <si>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</si>
  <si>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</si>
  <si>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</si>
  <si>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</si>
  <si>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</si>
  <si>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</si>
  <si>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</si>
  <si>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</si>
  <si>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</si>
  <si>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</si>
  <si>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</si>
  <si>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</si>
  <si>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</si>
  <si>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</si>
  <si>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</si>
  <si>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</si>
  <si>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</si>
  <si>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</si>
  <si>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</si>
  <si>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</si>
  <si>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</si>
  <si>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</si>
  <si>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</si>
  <si>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</si>
  <si>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</si>
  <si>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</si>
  <si>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</si>
  <si>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</si>
  <si>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</si>
  <si>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</si>
  <si>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</si>
  <si>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</si>
  <si>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</si>
  <si>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</si>
  <si>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</si>
  <si>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</si>
  <si>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</si>
  <si>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</si>
  <si>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</si>
  <si>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</si>
  <si>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</si>
  <si>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</si>
  <si>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</si>
  <si>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</si>
  <si>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</si>
  <si>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</si>
  <si>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</si>
  <si>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</si>
  <si>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</si>
  <si>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</si>
  <si>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</si>
  <si>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</si>
  <si>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</si>
  <si>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</si>
  <si>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</si>
  <si>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</si>
  <si>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</si>
  <si>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</si>
  <si>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</si>
  <si>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</si>
  <si>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</si>
  <si>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</si>
  <si>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</si>
  <si>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</si>
  <si>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</si>
  <si>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</si>
  <si>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</si>
  <si>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</si>
  <si>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</si>
  <si>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</si>
  <si>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</si>
  <si>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</si>
  <si>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</si>
  <si>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</si>
  <si>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</si>
  <si>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</si>
  <si>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</si>
  <si>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</si>
  <si>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</si>
  <si>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</si>
  <si>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</si>
  <si>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</si>
  <si>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</si>
  <si>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</si>
  <si>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</si>
  <si>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</si>
  <si>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</si>
  <si>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</si>
  <si>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</si>
  <si>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</si>
  <si>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</si>
  <si>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</si>
  <si>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</si>
  <si>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</si>
  <si>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</si>
  <si>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</si>
  <si>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</si>
  <si>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</si>
  <si>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</si>
  <si>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</si>
  <si>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</si>
  <si>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</si>
  <si>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</si>
  <si>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</si>
  <si>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</si>
  <si>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</si>
  <si>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</si>
  <si>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</si>
  <si>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</si>
  <si>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</si>
  <si>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</si>
  <si>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</si>
  <si>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</si>
  <si>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</si>
  <si>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</si>
  <si>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</si>
  <si>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</si>
  <si>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</si>
  <si>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</si>
  <si>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</si>
  <si>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</si>
  <si>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</si>
  <si>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</si>
  <si>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</si>
  <si>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</si>
  <si>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</si>
  <si>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</si>
  <si>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</si>
  <si>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</si>
  <si>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</si>
  <si>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</si>
  <si>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</si>
  <si>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</si>
  <si>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</si>
  <si>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</si>
  <si>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</si>
  <si>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</si>
  <si>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</si>
  <si>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</si>
  <si>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</si>
  <si>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</si>
  <si>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</si>
  <si>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</si>
  <si>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</si>
  <si>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</si>
  <si>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</si>
  <si>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</si>
  <si>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</si>
  <si>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</si>
  <si>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</si>
  <si>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</si>
  <si>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</si>
  <si>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</si>
  <si>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</si>
  <si>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</si>
  <si>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</si>
  <si>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</si>
  <si>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</si>
  <si>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</si>
  <si>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</si>
  <si>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</si>
  <si>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</si>
  <si>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</si>
  <si>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</si>
  <si>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</si>
  <si>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</si>
  <si>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</si>
  <si>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</si>
  <si>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</si>
  <si>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</si>
  <si>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</si>
  <si>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</si>
  <si>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</si>
  <si>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</si>
  <si>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</si>
  <si>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</si>
  <si>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</si>
  <si>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</si>
  <si>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</si>
  <si>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</si>
  <si>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</si>
  <si>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</si>
  <si>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</si>
  <si>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</si>
  <si>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</si>
  <si>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</si>
  <si>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</si>
  <si>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</si>
  <si>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</si>
  <si>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</si>
  <si>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</si>
  <si>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</si>
  <si>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</si>
  <si>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</si>
  <si>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</si>
  <si>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</si>
  <si>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</si>
  <si>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</si>
  <si>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</si>
  <si>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</si>
  <si>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</si>
  <si>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</si>
  <si>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</si>
  <si>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</si>
  <si>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</si>
  <si>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</si>
  <si>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</si>
  <si>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</si>
  <si>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</si>
  <si>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</si>
  <si>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</si>
  <si>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</si>
  <si>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</si>
  <si>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</si>
  <si>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</si>
  <si>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</si>
  <si>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</si>
  <si>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</si>
  <si>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</si>
  <si>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</si>
  <si>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</si>
  <si>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</si>
  <si>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</si>
  <si>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</si>
  <si>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</si>
  <si>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</si>
  <si>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</si>
  <si>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</si>
  <si>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</si>
  <si>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</si>
  <si>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</si>
  <si>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</si>
  <si>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</si>
  <si>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</si>
  <si>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</si>
  <si>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</si>
  <si>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</si>
  <si>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</si>
  <si>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</si>
  <si>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</si>
  <si>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</si>
  <si>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</si>
  <si>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</si>
  <si>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</si>
  <si>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</si>
  <si>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</si>
  <si>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</si>
  <si>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</si>
  <si>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</si>
  <si>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</si>
  <si>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</si>
  <si>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</si>
  <si>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</si>
  <si>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</si>
  <si>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</si>
  <si>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</si>
  <si>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</si>
  <si>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</si>
  <si>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</si>
  <si>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</si>
  <si>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</si>
  <si>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</si>
  <si>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</si>
  <si>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</si>
  <si>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</si>
  <si>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</si>
  <si>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</si>
  <si>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</si>
  <si>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</si>
  <si>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</si>
  <si>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</si>
  <si>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</si>
  <si>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</si>
  <si>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</si>
  <si>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</si>
  <si>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</si>
  <si>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</si>
  <si>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</si>
  <si>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</si>
  <si>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</si>
  <si>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</si>
  <si>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</si>
  <si>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</si>
  <si>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</si>
  <si>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</si>
  <si>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</si>
  <si>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</si>
  <si>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</si>
  <si>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</si>
  <si>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</si>
  <si>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</si>
  <si>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</si>
  <si>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</si>
  <si>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</si>
  <si>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</si>
  <si>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</si>
  <si>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</si>
  <si>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</si>
  <si>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</si>
  <si>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</si>
  <si>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</si>
  <si>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</si>
  <si>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</si>
  <si>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</si>
  <si>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</si>
  <si>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</si>
  <si>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</si>
  <si>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</si>
  <si>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</si>
  <si>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</si>
  <si>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</si>
  <si>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</si>
  <si>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</si>
  <si>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</si>
  <si>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</si>
  <si>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</si>
  <si>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</si>
  <si>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</si>
  <si>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</si>
  <si>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</si>
  <si>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</si>
  <si>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</si>
  <si>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</si>
  <si>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</si>
  <si>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</si>
  <si>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</si>
  <si>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</si>
  <si>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</si>
  <si>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</si>
  <si>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</si>
  <si>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</si>
  <si>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</si>
  <si>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</si>
  <si>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</si>
  <si>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</si>
  <si>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</si>
  <si>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</si>
  <si>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</si>
  <si>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</si>
  <si>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</si>
  <si>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</si>
  <si>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</si>
  <si>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</si>
  <si>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</si>
  <si>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</si>
  <si>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</si>
  <si>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</si>
  <si>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</si>
  <si>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</si>
  <si>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</si>
  <si>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</si>
  <si>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</si>
  <si>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</si>
  <si>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</si>
  <si>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</si>
  <si>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</si>
  <si>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</si>
  <si>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</si>
  <si>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</si>
  <si>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</si>
  <si>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</si>
  <si>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</si>
  <si>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</si>
  <si>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</si>
  <si>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</si>
  <si>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</si>
  <si>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</si>
  <si>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</si>
  <si>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</si>
  <si>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</si>
  <si>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</si>
  <si>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</si>
  <si>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</si>
  <si>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</si>
  <si>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</si>
  <si>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</si>
  <si>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</si>
  <si>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</si>
  <si>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</si>
  <si>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</si>
  <si>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</si>
  <si>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</si>
  <si>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</si>
  <si>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</si>
  <si>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</si>
  <si>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</si>
  <si>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</si>
  <si>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</si>
  <si>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</si>
  <si>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</si>
  <si>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</si>
  <si>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</si>
  <si>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</si>
  <si>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</si>
  <si>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</si>
  <si>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</si>
  <si>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</si>
  <si>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</si>
  <si>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</si>
  <si>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</si>
  <si>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</si>
  <si>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</si>
  <si>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</si>
  <si>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</si>
  <si>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</si>
  <si>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</si>
  <si>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</si>
  <si>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</si>
  <si>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</si>
  <si>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</si>
  <si>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</si>
  <si>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</si>
  <si>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</si>
  <si>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</si>
  <si>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</si>
  <si>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</si>
  <si>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</si>
  <si>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</si>
  <si>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</si>
  <si>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</si>
  <si>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</si>
  <si>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</si>
  <si>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</si>
  <si>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</si>
  <si>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</si>
  <si>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</si>
  <si>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</si>
  <si>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</si>
  <si>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</si>
  <si>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</si>
  <si>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</si>
  <si>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</si>
  <si>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</si>
  <si>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</si>
  <si>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</si>
  <si>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</si>
  <si>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</si>
  <si>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</si>
  <si>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</si>
  <si>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</si>
  <si>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</si>
  <si>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</si>
  <si>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</si>
  <si>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</si>
  <si>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</si>
  <si>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</si>
  <si>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</si>
  <si>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</si>
  <si>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</si>
  <si>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</si>
  <si>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</si>
  <si>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</si>
  <si>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</si>
  <si>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</si>
  <si>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</si>
  <si>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</si>
  <si>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</si>
  <si>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</si>
  <si>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</si>
  <si>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</si>
  <si>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</si>
  <si>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</si>
  <si>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</si>
  <si>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</si>
  <si>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</si>
  <si>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</si>
  <si>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</si>
  <si>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</si>
  <si>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</si>
  <si>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</si>
  <si>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</si>
  <si>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</si>
  <si>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</si>
  <si>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</si>
  <si>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</si>
  <si>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</si>
  <si>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</si>
  <si>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</si>
  <si>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</si>
  <si>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</si>
  <si>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</si>
  <si>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</si>
  <si>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</si>
  <si>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</si>
  <si>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</si>
  <si>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</si>
  <si>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</si>
  <si>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</si>
  <si>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</si>
  <si>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</si>
  <si>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</si>
  <si>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</si>
  <si>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</si>
  <si>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</si>
  <si>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</si>
  <si>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</si>
  <si>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</si>
  <si>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</si>
  <si>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</si>
  <si>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</si>
  <si>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</si>
  <si>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</si>
  <si>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</si>
  <si>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</si>
  <si>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</si>
  <si>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</si>
  <si>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</si>
  <si>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</si>
  <si>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</si>
  <si>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</si>
  <si>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</si>
  <si>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</si>
  <si>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</si>
  <si>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</si>
  <si>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</si>
  <si>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</si>
  <si>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</si>
  <si>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</si>
  <si>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</si>
  <si>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</si>
  <si>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</si>
  <si>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</si>
  <si>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</si>
  <si>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</si>
  <si>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</si>
  <si>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</si>
  <si>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</si>
  <si>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</si>
  <si>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</si>
  <si>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</si>
  <si>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</si>
  <si>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</si>
  <si>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</si>
  <si>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</si>
  <si>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</si>
  <si>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</si>
  <si>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</si>
  <si>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</si>
  <si>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</si>
  <si>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</si>
  <si>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</si>
  <si>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</si>
  <si>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</si>
  <si>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</si>
  <si>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</si>
  <si>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</si>
  <si>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</si>
  <si>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</si>
  <si>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</si>
  <si>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</si>
  <si>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</si>
  <si>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</si>
  <si>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</si>
  <si>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</si>
  <si>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</si>
  <si>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</si>
  <si>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</si>
  <si>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</si>
  <si>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</si>
  <si>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</si>
  <si>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</si>
  <si>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</si>
  <si>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</si>
  <si>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</si>
  <si>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</si>
  <si>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</si>
  <si>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</si>
  <si>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</si>
  <si>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</si>
  <si>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</si>
  <si>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</si>
  <si>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</si>
  <si>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</si>
  <si>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</si>
  <si>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</si>
  <si>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</si>
  <si>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</si>
  <si>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</si>
  <si>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</si>
  <si>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</si>
  <si>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</si>
  <si>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</si>
  <si>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</si>
  <si>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</si>
  <si>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</si>
  <si>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</si>
  <si>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</si>
  <si>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</si>
  <si>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</si>
  <si>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</si>
  <si>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</si>
  <si>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</si>
  <si>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</si>
  <si>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</si>
  <si>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</si>
  <si>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</si>
  <si>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</si>
  <si>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</si>
  <si>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</si>
  <si>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</si>
  <si>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</si>
  <si>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</si>
  <si>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</si>
  <si>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</si>
  <si>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</si>
  <si>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</si>
  <si>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</si>
  <si>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</si>
  <si>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</si>
  <si>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</si>
  <si>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</si>
  <si>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</si>
  <si>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</si>
  <si>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</si>
  <si>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</si>
  <si>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</si>
  <si>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</si>
  <si>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</si>
  <si>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</si>
  <si>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</si>
  <si>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</si>
  <si>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</si>
  <si>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</si>
  <si>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</si>
  <si>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</si>
  <si>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</si>
  <si>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</si>
  <si>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</si>
  <si>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</si>
  <si>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</si>
  <si>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</si>
  <si>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</si>
  <si>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</si>
  <si>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</si>
  <si>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</si>
  <si>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</si>
  <si>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</si>
  <si>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</si>
  <si>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</si>
  <si>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</si>
  <si>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</si>
  <si>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</si>
  <si>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</si>
  <si>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</si>
  <si>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</si>
  <si>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</si>
  <si>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</si>
  <si>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</si>
  <si>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</si>
  <si>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</si>
  <si>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</si>
  <si>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</si>
  <si>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</si>
  <si>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</si>
  <si>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</si>
  <si>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</si>
  <si>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</si>
  <si>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</si>
  <si>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</si>
  <si>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</si>
  <si>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</si>
  <si>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</si>
  <si>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</si>
  <si>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</si>
  <si>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</si>
  <si>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</si>
  <si>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</si>
  <si>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</si>
  <si>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</si>
  <si>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</si>
  <si>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</si>
  <si>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</si>
  <si>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</si>
  <si>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</si>
  <si>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</si>
  <si>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</si>
  <si>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</si>
  <si>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</si>
  <si>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</si>
  <si>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</si>
  <si>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</si>
  <si>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</si>
  <si>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</si>
  <si>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</si>
  <si>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</si>
  <si>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</si>
  <si>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</si>
  <si>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</si>
  <si>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</si>
  <si>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</si>
  <si>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</si>
  <si>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</si>
  <si>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</si>
  <si>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</si>
  <si>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</si>
  <si>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</si>
  <si>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</si>
  <si>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</si>
  <si>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</si>
  <si>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</si>
  <si>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</si>
  <si>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</si>
  <si>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</si>
  <si>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</si>
  <si>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</si>
  <si>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</si>
  <si>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</si>
  <si>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</si>
  <si>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</si>
  <si>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</si>
  <si>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</si>
  <si>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</si>
  <si>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</si>
  <si>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</si>
  <si>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</si>
  <si>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</si>
  <si>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</si>
  <si>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</si>
  <si>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</si>
  <si>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</si>
  <si>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</si>
  <si>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</si>
  <si>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</si>
  <si>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</si>
  <si>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</si>
  <si>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</si>
  <si>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</si>
  <si>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</si>
  <si>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</si>
  <si>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</si>
  <si>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</si>
  <si>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</si>
  <si>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</si>
  <si>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</si>
  <si>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</si>
  <si>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</si>
  <si>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</si>
  <si>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</si>
  <si>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</si>
  <si>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</si>
  <si>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</si>
  <si>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</si>
  <si>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</si>
  <si>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</si>
  <si>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</si>
  <si>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</si>
  <si>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</si>
  <si>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</si>
  <si>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</si>
  <si>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</si>
  <si>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</si>
  <si>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</si>
  <si>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</si>
  <si>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</si>
  <si>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</si>
  <si>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</si>
  <si>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</si>
  <si>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</si>
  <si>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</si>
  <si>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</si>
  <si>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</si>
  <si>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</si>
  <si>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</si>
  <si>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</si>
  <si>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</si>
  <si>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</si>
  <si>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</si>
  <si>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</si>
  <si>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</si>
  <si>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</si>
  <si>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</si>
  <si>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</si>
  <si>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</si>
  <si>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</si>
  <si>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</si>
  <si>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</si>
  <si>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</si>
  <si>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</si>
  <si>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</si>
  <si>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</si>
  <si>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</si>
  <si>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</si>
  <si>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</si>
  <si>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</si>
  <si>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</si>
  <si>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</si>
  <si>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</si>
  <si>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</si>
  <si>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</si>
  <si>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</si>
  <si>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</si>
  <si>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</si>
  <si>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</si>
  <si>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</si>
  <si>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</si>
  <si>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</si>
  <si>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</si>
  <si>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</si>
  <si>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</si>
  <si>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</si>
  <si>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</si>
  <si>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</si>
  <si>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</si>
  <si>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</si>
  <si>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</si>
  <si>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</si>
  <si>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</si>
  <si>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</si>
  <si>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</si>
  <si>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</si>
  <si>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</si>
  <si>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</si>
  <si>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</si>
  <si>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</si>
  <si>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</si>
  <si>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</si>
  <si>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</si>
  <si>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</si>
  <si>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</si>
  <si>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</si>
  <si>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</si>
  <si>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</si>
  <si>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</si>
  <si>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</si>
  <si>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</si>
  <si>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</si>
  <si>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</si>
  <si>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</si>
  <si>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</si>
  <si>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</si>
  <si>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</si>
  <si>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</si>
  <si>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</si>
  <si>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</si>
  <si>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</si>
  <si>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</si>
  <si>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</si>
  <si>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</si>
  <si>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</si>
  <si>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</si>
  <si>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</si>
  <si>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</si>
  <si>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</si>
  <si>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</si>
  <si>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</si>
  <si>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</si>
  <si>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</si>
  <si>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</si>
  <si>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</si>
  <si>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</si>
  <si>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</si>
  <si>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</si>
  <si>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</si>
  <si>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</si>
  <si>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</si>
  <si>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</si>
  <si>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</si>
  <si>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</si>
  <si>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</si>
  <si>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</si>
  <si>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</si>
  <si>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</si>
  <si>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</si>
  <si>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</si>
  <si>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</si>
  <si>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</si>
  <si>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</si>
  <si>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</si>
  <si>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</si>
  <si>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</si>
  <si>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</si>
  <si>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</si>
  <si>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</si>
  <si>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</si>
  <si>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</si>
  <si>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</si>
  <si>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</si>
  <si>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</si>
  <si>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</si>
  <si>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</si>
  <si>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</si>
  <si>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</si>
  <si>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</si>
  <si>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</si>
  <si>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</si>
  <si>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</si>
  <si>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</si>
  <si>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</si>
  <si>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</si>
  <si>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</si>
  <si>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</si>
  <si>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</si>
  <si>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</si>
  <si>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</si>
  <si>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</si>
  <si>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</si>
  <si>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</si>
  <si>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</si>
  <si>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</si>
  <si>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</si>
  <si>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</si>
  <si>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</si>
  <si>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</si>
  <si>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</si>
  <si>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</si>
  <si>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</si>
  <si>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</si>
  <si>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</si>
  <si>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</si>
  <si>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</si>
  <si>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</si>
  <si>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</si>
  <si>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</si>
  <si>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</si>
  <si>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</si>
  <si>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</si>
  <si>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</si>
  <si>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</si>
  <si>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</si>
  <si>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</si>
  <si>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</si>
  <si>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</si>
  <si>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</si>
  <si>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</si>
  <si>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</si>
  <si>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</si>
  <si>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</si>
  <si>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</si>
  <si>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</si>
  <si>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</si>
  <si>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</si>
  <si>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</si>
  <si>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</si>
  <si>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</si>
  <si>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</si>
  <si>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</si>
  <si>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</si>
  <si>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</si>
  <si>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</si>
  <si>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</si>
  <si>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</si>
  <si>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</si>
  <si>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</si>
  <si>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</si>
  <si>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</si>
  <si>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</si>
  <si>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</si>
  <si>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</si>
  <si>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</si>
  <si>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</si>
  <si>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</si>
  <si>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</si>
  <si>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</si>
  <si>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</si>
  <si>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</si>
  <si>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</si>
  <si>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</si>
  <si>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</si>
  <si>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</si>
  <si>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</si>
  <si>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</si>
  <si>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</si>
  <si>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</si>
  <si>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</si>
  <si>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</si>
  <si>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</si>
  <si>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</si>
  <si>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</si>
  <si>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</si>
  <si>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</si>
  <si>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</si>
  <si>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</si>
  <si>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</si>
  <si>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</si>
  <si>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</si>
  <si>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</si>
  <si>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</si>
  <si>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</si>
  <si>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</si>
  <si>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</si>
  <si>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</si>
  <si>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</si>
  <si>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</si>
  <si>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</si>
  <si>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</si>
  <si>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</si>
  <si>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</si>
  <si>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</si>
  <si>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</si>
  <si>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</si>
  <si>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</si>
  <si>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</si>
  <si>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</si>
  <si>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</si>
  <si>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</si>
  <si>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</si>
  <si>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</si>
  <si>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</si>
  <si>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</si>
  <si>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</si>
  <si>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</si>
  <si>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</si>
  <si>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</si>
  <si>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</si>
  <si>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</si>
  <si>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</si>
  <si>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</si>
  <si>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</si>
  <si>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</si>
  <si>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</si>
  <si>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</si>
  <si>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</si>
  <si>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</si>
  <si>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</si>
  <si>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</si>
  <si>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</si>
  <si>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</si>
  <si>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</si>
  <si>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</si>
  <si>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</si>
  <si>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</si>
  <si>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</si>
  <si>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</si>
  <si>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</si>
  <si>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</si>
  <si>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</si>
  <si>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</si>
  <si>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</si>
  <si>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</si>
  <si>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</si>
  <si>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</si>
  <si>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</si>
  <si>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</si>
  <si>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</si>
  <si>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</si>
  <si>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</si>
  <si>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</si>
  <si>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</si>
  <si>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</si>
  <si>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</si>
  <si>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</si>
  <si>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</si>
  <si>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</si>
  <si>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</si>
  <si>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</si>
  <si>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</si>
  <si>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</si>
  <si>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</si>
  <si>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</si>
  <si>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</si>
  <si>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</si>
  <si>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</si>
  <si>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</si>
  <si>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</si>
  <si>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</si>
  <si>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</si>
  <si>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</si>
  <si>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</si>
  <si>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</si>
  <si>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</si>
  <si>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</si>
  <si>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</si>
  <si>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</si>
  <si>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</si>
  <si>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</si>
  <si>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</si>
  <si>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</si>
  <si>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</si>
  <si>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</si>
  <si>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</si>
  <si>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</si>
  <si>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</si>
  <si>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</si>
  <si>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</si>
  <si>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</si>
  <si>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</si>
  <si>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</si>
  <si>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</si>
  <si>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</si>
  <si>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</si>
  <si>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</si>
  <si>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</si>
  <si>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</si>
  <si>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</si>
  <si>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</si>
  <si>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</si>
  <si>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</si>
  <si>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</si>
  <si>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</si>
  <si>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</si>
  <si>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</si>
  <si>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</si>
  <si>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</si>
  <si>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</si>
  <si>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</si>
  <si>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</si>
  <si>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</si>
  <si>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</si>
  <si>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</si>
  <si>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</si>
  <si>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</si>
  <si>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</si>
  <si>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</si>
  <si>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</si>
  <si>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</si>
  <si>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</si>
  <si>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</si>
  <si>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</si>
  <si>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</si>
  <si>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</si>
  <si>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</si>
  <si>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</si>
  <si>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</si>
  <si>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</si>
  <si>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</si>
  <si>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</si>
  <si>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</si>
  <si>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</si>
  <si>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</si>
  <si>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</si>
  <si>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</si>
  <si>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</si>
  <si>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</si>
  <si>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</si>
  <si>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</si>
  <si>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</si>
  <si>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</si>
  <si>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</si>
  <si>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</si>
  <si>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</si>
  <si>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</si>
  <si>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</si>
  <si>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</si>
  <si>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</si>
  <si>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</si>
  <si>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</si>
  <si>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</si>
  <si>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</si>
  <si>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</si>
  <si>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</si>
  <si>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</si>
  <si>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</si>
  <si>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</si>
  <si>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</si>
  <si>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</si>
  <si>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</si>
  <si>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</si>
  <si>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</si>
  <si>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</si>
  <si>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</si>
  <si>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</si>
  <si>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</si>
  <si>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</si>
  <si>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</si>
  <si>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</si>
  <si>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</si>
  <si>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</si>
  <si>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</si>
  <si>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</si>
  <si>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</si>
  <si>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</si>
  <si>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</si>
  <si>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</si>
  <si>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</si>
  <si>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</si>
  <si>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</si>
  <si>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</si>
  <si>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</si>
  <si>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</si>
  <si>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</si>
  <si>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</si>
  <si>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</si>
  <si>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</si>
  <si>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</si>
  <si>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</si>
  <si>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</si>
  <si>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</si>
  <si>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</si>
  <si>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</si>
  <si>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</si>
  <si>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</si>
  <si>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</si>
  <si>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</si>
  <si>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</si>
  <si>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</si>
  <si>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</si>
  <si>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</si>
  <si>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</si>
  <si>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</si>
  <si>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</si>
  <si>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</si>
  <si>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</si>
  <si>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</si>
  <si>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</si>
  <si>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</si>
  <si>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</si>
  <si>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</si>
  <si>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</si>
  <si>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</si>
  <si>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</si>
  <si>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</si>
  <si>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</si>
  <si>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</si>
  <si>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</si>
  <si>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</si>
  <si>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</si>
  <si>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</si>
  <si>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</si>
  <si>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</si>
  <si>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</si>
  <si>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</si>
  <si>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</si>
  <si>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</si>
  <si>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</si>
  <si>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</si>
  <si>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</si>
  <si>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</si>
  <si>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</si>
  <si>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</si>
  <si>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</si>
  <si>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</si>
  <si>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</si>
  <si>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</si>
  <si>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</si>
  <si>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</si>
  <si>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</si>
  <si>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</si>
  <si>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</si>
  <si>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</si>
  <si>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</si>
  <si>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</si>
  <si>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</si>
  <si>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</si>
  <si>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</si>
  <si>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</si>
  <si>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</si>
  <si>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</si>
  <si>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</si>
  <si>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</si>
  <si>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</si>
  <si>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</si>
  <si>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</si>
  <si>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</si>
  <si>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</si>
  <si>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</si>
  <si>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</si>
  <si>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</si>
  <si>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</si>
  <si>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</si>
  <si>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</si>
  <si>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</si>
  <si>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</si>
  <si>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</si>
  <si>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</si>
  <si>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</si>
  <si>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</si>
  <si>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</si>
  <si>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</si>
  <si>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</si>
  <si>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</si>
  <si>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</si>
  <si>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</si>
  <si>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</si>
  <si>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</si>
  <si>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</si>
  <si>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</si>
  <si>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</si>
  <si>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</si>
  <si>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</si>
  <si>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</si>
  <si>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</si>
  <si>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</si>
  <si>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</si>
  <si>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</si>
  <si>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</si>
  <si>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</si>
  <si>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</si>
  <si>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</si>
  <si>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</si>
  <si>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</si>
  <si>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</si>
  <si>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</si>
  <si>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</si>
  <si>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</si>
  <si>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</si>
  <si>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</si>
  <si>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</si>
  <si>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</si>
  <si>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</si>
  <si>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</si>
  <si>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</si>
  <si>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</si>
  <si>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</si>
  <si>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</si>
  <si>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</si>
  <si>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</si>
  <si>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</si>
  <si>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</si>
  <si>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</si>
  <si>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</si>
  <si>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</si>
  <si>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</si>
  <si>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</si>
  <si>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</si>
  <si>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</si>
  <si>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</si>
  <si>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</si>
  <si>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</si>
  <si>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</si>
  <si>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</si>
  <si>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</si>
  <si>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</si>
  <si>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</si>
  <si>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</si>
  <si>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</si>
  <si>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</si>
  <si>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</si>
  <si>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</si>
  <si>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</si>
  <si>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</si>
  <si>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</si>
  <si>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</si>
  <si>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</si>
  <si>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</si>
  <si>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</si>
  <si>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</si>
  <si>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</si>
  <si>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</si>
  <si>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</si>
  <si>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</si>
  <si>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</si>
  <si>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</si>
  <si>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</si>
  <si>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</si>
  <si>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</si>
  <si>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</si>
  <si>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</si>
  <si>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</si>
  <si>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</si>
  <si>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</si>
  <si>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</si>
  <si>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</si>
  <si>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</si>
  <si>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</si>
  <si>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</si>
  <si>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</si>
  <si>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</si>
  <si>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</si>
  <si>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</si>
  <si>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</si>
  <si>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</si>
  <si>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</si>
  <si>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</si>
  <si>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</si>
  <si>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</si>
  <si>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</si>
  <si>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</si>
  <si>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</si>
  <si>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</si>
  <si>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</si>
  <si>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</si>
  <si>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</si>
  <si>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</si>
  <si>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</si>
  <si>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</si>
  <si>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</si>
  <si>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</si>
  <si>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</si>
  <si>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</si>
  <si>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</si>
  <si>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</si>
  <si>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</si>
  <si>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</si>
  <si>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</si>
  <si>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</si>
  <si>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</si>
  <si>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</si>
  <si>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</si>
  <si>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</si>
  <si>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</si>
  <si>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</si>
  <si>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</si>
  <si>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</si>
  <si>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</si>
  <si>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</si>
  <si>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</si>
  <si>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</si>
  <si>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</si>
  <si>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</si>
  <si>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</si>
  <si>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</si>
  <si>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</si>
  <si>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</si>
  <si>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</si>
  <si>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</si>
  <si>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</si>
  <si>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</si>
  <si>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</si>
  <si>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</si>
  <si>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</si>
  <si>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</si>
  <si>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</si>
  <si>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</si>
  <si>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</si>
  <si>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</si>
  <si>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</si>
  <si>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</si>
  <si>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</si>
  <si>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</si>
  <si>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</si>
  <si>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</si>
  <si>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</si>
  <si>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</si>
  <si>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</si>
  <si>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</si>
  <si>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</si>
  <si>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</si>
  <si>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</si>
  <si>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</si>
  <si>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</si>
  <si>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</si>
  <si>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</si>
  <si>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</si>
  <si>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</si>
  <si>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</si>
  <si>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</si>
  <si>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</si>
  <si>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</si>
  <si>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</si>
  <si>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</si>
  <si>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</si>
  <si>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</si>
  <si>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</si>
  <si>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</si>
  <si>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</si>
  <si>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</si>
  <si>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</si>
  <si>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</si>
  <si>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</si>
  <si>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</si>
  <si>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</si>
  <si>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</si>
  <si>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</si>
  <si>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</si>
  <si>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</si>
  <si>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</si>
  <si>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</si>
  <si>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</si>
  <si>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</si>
  <si>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</si>
  <si>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</si>
  <si>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</si>
  <si>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</si>
  <si>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</si>
  <si>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</si>
  <si>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</si>
  <si>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</si>
  <si>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</si>
  <si>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</si>
  <si>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</si>
  <si>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</si>
  <si>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</si>
  <si>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</si>
  <si>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</si>
  <si>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</si>
  <si>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</si>
  <si>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</si>
  <si>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</si>
  <si>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</si>
  <si>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</si>
  <si>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</si>
  <si>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</si>
  <si>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</si>
  <si>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</si>
  <si>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</si>
  <si>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</si>
  <si>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</si>
  <si>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</si>
  <si>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</si>
  <si>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</si>
  <si>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</si>
  <si>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</si>
  <si>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</si>
  <si>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</si>
  <si>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</si>
  <si>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</si>
  <si>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</si>
  <si>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</si>
  <si>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</si>
  <si>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</si>
  <si>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</si>
  <si>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</si>
  <si>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</si>
  <si>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</si>
  <si>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</si>
  <si>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</si>
  <si>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</si>
  <si>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</si>
  <si>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</si>
  <si>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</si>
  <si>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</si>
  <si>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</si>
  <si>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</si>
  <si>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</si>
  <si>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</si>
  <si>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</si>
  <si>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</si>
  <si>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</si>
  <si>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</si>
  <si>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</si>
  <si>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</si>
  <si>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</si>
  <si>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</si>
  <si>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</si>
  <si>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</si>
  <si>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</si>
  <si>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</si>
  <si>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</si>
  <si>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</si>
  <si>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</si>
  <si>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</si>
  <si>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</si>
  <si>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</si>
  <si>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</si>
  <si>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</si>
  <si>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</si>
  <si>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</si>
  <si>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</si>
  <si>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</si>
  <si>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</si>
  <si>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</si>
  <si>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</si>
  <si>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</si>
  <si>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</si>
  <si>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</si>
  <si>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</si>
  <si>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</si>
  <si>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</si>
  <si>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</si>
  <si>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</si>
  <si>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</si>
  <si>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</si>
  <si>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</si>
  <si>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</si>
  <si>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</si>
  <si>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</si>
  <si>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</si>
  <si>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</si>
  <si>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</si>
  <si>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</si>
  <si>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</si>
  <si>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</si>
  <si>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</si>
  <si>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</si>
  <si>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</si>
  <si>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</si>
  <si>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</si>
  <si>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</si>
  <si>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</si>
  <si>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</si>
  <si>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</si>
  <si>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</si>
  <si>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</si>
  <si>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</si>
  <si>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</si>
  <si>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</si>
  <si>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</si>
  <si>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</si>
  <si>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</si>
  <si>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</si>
  <si>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</si>
  <si>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</si>
  <si>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</si>
  <si>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</si>
  <si>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</si>
  <si>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</si>
  <si>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</si>
  <si>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</si>
  <si>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</si>
  <si>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</si>
  <si>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</si>
  <si>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</si>
  <si>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</si>
  <si>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</si>
  <si>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</si>
  <si>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</si>
  <si>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</si>
  <si>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</si>
  <si>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</si>
  <si>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</si>
  <si>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</si>
  <si>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</si>
  <si>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</si>
  <si>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</si>
  <si>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</si>
  <si>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</si>
  <si>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</si>
  <si>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</si>
  <si>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</si>
  <si>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</si>
  <si>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</si>
  <si>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</si>
  <si>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</si>
  <si>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</si>
  <si>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</si>
  <si>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</si>
  <si>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</si>
  <si>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</si>
  <si>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</si>
  <si>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</si>
  <si>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</si>
  <si>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</si>
  <si>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</si>
  <si>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</si>
  <si>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</si>
  <si>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</si>
  <si>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</si>
  <si>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</si>
  <si>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</si>
  <si>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</si>
  <si>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</si>
  <si>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</si>
  <si>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</si>
  <si>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</si>
  <si>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</si>
  <si>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</si>
  <si>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</si>
  <si>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</si>
  <si>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</si>
  <si>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</si>
  <si>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</si>
  <si>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</si>
  <si>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</si>
  <si>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</si>
  <si>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</si>
  <si>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</si>
  <si>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</si>
  <si>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</si>
  <si>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</si>
  <si>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</si>
  <si>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</si>
  <si>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</si>
  <si>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</si>
  <si>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</si>
  <si>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</si>
  <si>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</si>
  <si>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</si>
  <si>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</si>
  <si>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</si>
  <si>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</si>
  <si>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</si>
  <si>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</si>
  <si>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</si>
  <si>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</si>
  <si>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</si>
  <si>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</si>
  <si>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</si>
  <si>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</si>
  <si>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</si>
  <si>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</si>
  <si>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</si>
  <si>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</si>
  <si>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</si>
  <si>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</si>
  <si>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</si>
  <si>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</si>
  <si>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</si>
  <si>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</si>
  <si>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</si>
  <si>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</si>
  <si>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</si>
  <si>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</si>
  <si>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</si>
  <si>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</si>
  <si>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</si>
  <si>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</si>
  <si>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</si>
  <si>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</si>
  <si>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</si>
  <si>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</si>
  <si>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</si>
  <si>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</si>
  <si>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</si>
  <si>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</si>
  <si>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</si>
  <si>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</si>
  <si>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</si>
  <si>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</si>
  <si>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</si>
  <si>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</si>
  <si>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</si>
  <si>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</si>
  <si>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</si>
  <si>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</si>
  <si>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</si>
  <si>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</si>
  <si>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</si>
  <si>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</si>
  <si>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</si>
  <si>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</si>
  <si>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</si>
  <si>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</si>
  <si>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</si>
  <si>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</si>
  <si>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</si>
  <si>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</si>
  <si>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</si>
  <si>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</si>
  <si>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</si>
  <si>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</si>
  <si>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</si>
  <si>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</si>
  <si>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</si>
  <si>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</si>
  <si>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</si>
  <si>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</si>
  <si>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</si>
  <si>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</si>
  <si>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</si>
  <si>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</si>
  <si>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</si>
  <si>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</si>
  <si>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</si>
  <si>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</si>
  <si>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</si>
  <si>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</si>
  <si>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</si>
  <si>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</si>
  <si>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</si>
  <si>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</si>
  <si>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</si>
  <si>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</si>
  <si>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</si>
  <si>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</si>
  <si>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</si>
  <si>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</si>
  <si>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</si>
  <si>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</si>
  <si>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</si>
  <si>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</si>
  <si>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</si>
  <si>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</si>
  <si>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</si>
  <si>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</si>
  <si>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</si>
  <si>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</si>
  <si>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</si>
  <si>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</si>
  <si>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</si>
  <si>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</si>
  <si>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</si>
  <si>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</si>
  <si>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</si>
  <si>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</si>
  <si>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</si>
  <si>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</si>
  <si>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</si>
  <si>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</si>
  <si>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</si>
  <si>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</si>
  <si>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</si>
  <si>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</si>
  <si>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</si>
  <si>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</si>
  <si>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</si>
  <si>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</si>
  <si>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</si>
  <si>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</si>
  <si>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</si>
  <si>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</si>
  <si>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</si>
  <si>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</si>
  <si>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</si>
  <si>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</si>
  <si>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</si>
  <si>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</si>
  <si>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</si>
  <si>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</si>
  <si>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</si>
  <si>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</si>
  <si>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</si>
  <si>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</si>
  <si>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</si>
  <si>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</si>
  <si>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</si>
  <si>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</si>
  <si>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</si>
  <si>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</si>
  <si>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</si>
  <si>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</si>
  <si>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</si>
  <si>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</si>
  <si>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</si>
  <si>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</si>
  <si>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</si>
  <si>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</si>
  <si>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</si>
  <si>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</si>
  <si>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</si>
  <si>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</si>
  <si>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</si>
  <si>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</si>
  <si>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</si>
  <si>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</si>
  <si>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</si>
  <si>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</si>
  <si>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</si>
  <si>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</si>
  <si>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</si>
  <si>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</si>
  <si>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</si>
  <si>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</si>
  <si>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</si>
  <si>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</si>
  <si>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</si>
  <si>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</si>
  <si>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</si>
  <si>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</si>
  <si>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</si>
  <si>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</si>
  <si>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</si>
  <si>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</si>
  <si>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</si>
  <si>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</si>
  <si>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</si>
  <si>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</si>
  <si>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</si>
  <si>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</si>
  <si>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</si>
  <si>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</si>
  <si>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</si>
  <si>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</si>
  <si>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</si>
  <si>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</si>
  <si>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</si>
  <si>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</si>
  <si>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</si>
  <si>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</si>
  <si>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</si>
  <si>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</si>
  <si>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</si>
  <si>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</si>
  <si>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</si>
  <si>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</si>
  <si>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</si>
  <si>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</si>
  <si>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</si>
  <si>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</si>
  <si>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</si>
  <si>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</si>
  <si>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</si>
  <si>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</si>
  <si>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</si>
  <si>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</si>
  <si>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</si>
  <si>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</si>
  <si>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</si>
  <si>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</si>
  <si>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</si>
  <si>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</si>
  <si>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</si>
  <si>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</si>
  <si>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</si>
  <si>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</si>
  <si>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</si>
  <si>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</si>
  <si>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</si>
  <si>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</si>
  <si>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</si>
  <si>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</si>
  <si>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</si>
  <si>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</si>
  <si>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</si>
  <si>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</si>
  <si>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</si>
  <si>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</si>
  <si>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</si>
  <si>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</si>
  <si>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</si>
  <si>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</si>
  <si>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</si>
  <si>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</si>
  <si>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</si>
  <si>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</si>
  <si>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</si>
  <si>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</si>
  <si>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</si>
  <si>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</si>
  <si>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</si>
  <si>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</si>
  <si>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</si>
  <si>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</si>
  <si>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</si>
  <si>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</si>
  <si>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</si>
  <si>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</si>
  <si>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</si>
  <si>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</si>
  <si>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</si>
  <si>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</si>
  <si>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</si>
  <si>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</si>
  <si>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</si>
  <si>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</si>
  <si>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</si>
  <si>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</si>
  <si>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</si>
  <si>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</si>
  <si>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</si>
  <si>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</si>
  <si>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</si>
  <si>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</si>
  <si>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</si>
  <si>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</si>
  <si>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</si>
  <si>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</si>
  <si>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</si>
  <si>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</si>
  <si>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</si>
  <si>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</si>
  <si>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</si>
  <si>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</si>
  <si>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</si>
  <si>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</si>
  <si>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</si>
  <si>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</si>
  <si>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</si>
  <si>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</si>
  <si>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</si>
  <si>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</si>
  <si>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</si>
  <si>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</si>
  <si>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</si>
  <si>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</si>
  <si>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</si>
  <si>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</si>
  <si>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</si>
  <si>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</si>
  <si>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</si>
  <si>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</si>
  <si>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</si>
  <si>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</si>
  <si>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</si>
  <si>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</si>
  <si>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</si>
  <si>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</si>
  <si>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</si>
  <si>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</si>
  <si>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</si>
  <si>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</si>
  <si>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</si>
  <si>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</si>
  <si>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</si>
  <si>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</si>
  <si>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</si>
  <si>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</si>
  <si>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</si>
  <si>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</si>
  <si>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</si>
  <si>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</si>
  <si>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</si>
  <si>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</si>
  <si>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</si>
  <si>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</si>
  <si>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</si>
  <si>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</si>
  <si>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</si>
  <si>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</si>
  <si>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</si>
  <si>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</si>
  <si>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</si>
  <si>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</si>
  <si>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</si>
  <si>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</si>
  <si>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</si>
  <si>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</si>
  <si>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</si>
  <si>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</si>
  <si>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</si>
  <si>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</si>
  <si>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</si>
  <si>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</si>
  <si>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</si>
  <si>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</si>
  <si>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</si>
  <si>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</si>
  <si>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</si>
  <si>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</si>
  <si>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</si>
  <si>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</si>
  <si>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</si>
  <si>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</si>
  <si>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</si>
  <si>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</si>
  <si>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</si>
  <si>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</si>
  <si>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</si>
  <si>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</si>
  <si>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</si>
  <si>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</si>
  <si>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</si>
  <si>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</si>
  <si>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</si>
  <si>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</si>
  <si>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</si>
  <si>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</si>
  <si>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</si>
  <si>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</si>
  <si>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</si>
  <si>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</si>
  <si>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</si>
  <si>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</si>
  <si>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</si>
  <si>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</si>
  <si>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</si>
  <si>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</si>
  <si>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</si>
  <si>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</si>
  <si>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</si>
  <si>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</si>
  <si>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</si>
  <si>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</si>
  <si>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</si>
  <si>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</si>
  <si>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</si>
  <si>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</si>
  <si>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</si>
  <si>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</si>
  <si>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</si>
  <si>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</si>
  <si>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</si>
  <si>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</si>
  <si>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</si>
  <si>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</si>
  <si>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</si>
  <si>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</si>
  <si>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</si>
  <si>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</si>
  <si>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</si>
  <si>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</si>
  <si>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</si>
  <si>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</si>
  <si>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</si>
  <si>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</si>
  <si>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</si>
  <si>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</si>
  <si>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</si>
  <si>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</si>
  <si>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</si>
  <si>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</si>
  <si>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</si>
  <si>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</si>
  <si>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</si>
  <si>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</si>
  <si>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</si>
  <si>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</si>
  <si>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</si>
  <si>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</si>
  <si>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</si>
  <si>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</si>
  <si>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</si>
  <si>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</si>
  <si>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</si>
  <si>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</si>
  <si>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</si>
  <si>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</si>
  <si>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</si>
  <si>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</si>
  <si>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</si>
  <si>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</si>
  <si>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</si>
  <si>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</si>
  <si>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</si>
  <si>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</si>
  <si>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</si>
  <si>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</si>
  <si>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</si>
  <si>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</si>
  <si>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</si>
  <si>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</si>
  <si>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</si>
  <si>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</si>
  <si>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</si>
  <si>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</si>
  <si>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</si>
  <si>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</si>
  <si>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</si>
  <si>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</si>
  <si>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</si>
  <si>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</si>
  <si>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</si>
  <si>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</si>
  <si>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</si>
  <si>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</si>
  <si>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</si>
  <si>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</si>
  <si>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</si>
  <si>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</si>
  <si>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</si>
  <si>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</si>
  <si>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</si>
  <si>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</si>
  <si>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</si>
  <si>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</si>
  <si>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</si>
  <si>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</si>
  <si>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</si>
  <si>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</si>
  <si>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</si>
  <si>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</si>
  <si>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</si>
  <si>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</si>
  <si>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</si>
  <si>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</si>
  <si>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</si>
  <si>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</si>
  <si>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</si>
  <si>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</si>
  <si>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</si>
  <si>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</si>
  <si>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</si>
  <si>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</si>
  <si>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</si>
  <si>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</si>
  <si>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</si>
  <si>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</si>
  <si>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</si>
  <si>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</si>
  <si>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</si>
  <si>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</si>
  <si>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</si>
  <si>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</si>
  <si>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</si>
  <si>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</si>
  <si>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</si>
  <si>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</si>
  <si>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</si>
  <si>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</si>
  <si>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</si>
  <si>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</si>
  <si>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</si>
  <si>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</si>
  <si>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</si>
  <si>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</si>
  <si>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</si>
  <si>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</si>
  <si>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</si>
  <si>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</si>
  <si>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</si>
  <si>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</si>
  <si>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</si>
  <si>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</si>
  <si>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</si>
  <si>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</si>
  <si>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</si>
  <si>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</si>
  <si>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</si>
  <si>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</si>
  <si>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</si>
  <si>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</si>
  <si>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</si>
  <si>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</si>
  <si>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</si>
  <si>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</si>
  <si>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</si>
  <si>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</si>
  <si>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</si>
  <si>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</si>
  <si>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</si>
  <si>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</si>
  <si>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</si>
  <si>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</si>
  <si>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</si>
  <si>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</si>
  <si>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</si>
  <si>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</si>
  <si>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</si>
  <si>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</si>
  <si>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</si>
  <si>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</si>
  <si>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</si>
  <si>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</si>
  <si>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</si>
  <si>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</si>
  <si>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</si>
  <si>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</si>
  <si>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</si>
  <si>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</si>
  <si>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</si>
  <si>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</si>
  <si>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</si>
  <si>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</si>
  <si>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</si>
  <si>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</si>
  <si>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</si>
  <si>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</si>
  <si>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</si>
  <si>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</si>
  <si>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</si>
  <si>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</si>
  <si>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</si>
  <si>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</si>
  <si>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</si>
  <si>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</si>
  <si>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</si>
  <si>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</si>
  <si>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</si>
  <si>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</si>
  <si>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</si>
  <si>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</si>
  <si>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</si>
  <si>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</si>
  <si>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</si>
  <si>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</si>
  <si>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</si>
  <si>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</si>
  <si>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</si>
  <si>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</si>
  <si>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</si>
  <si>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</si>
  <si>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</si>
  <si>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</si>
  <si>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</si>
  <si>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</si>
  <si>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</si>
  <si>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</si>
  <si>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</si>
  <si>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</si>
  <si>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</si>
  <si>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</si>
  <si>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</si>
  <si>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</si>
  <si>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</si>
  <si>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</si>
  <si>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</si>
  <si>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</si>
  <si>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</si>
  <si>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</si>
  <si>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</si>
  <si>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</si>
  <si>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</si>
  <si>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</si>
  <si>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</si>
  <si>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</si>
  <si>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</si>
  <si>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</si>
  <si>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</si>
  <si>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</si>
  <si>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</si>
  <si>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</si>
  <si>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</si>
  <si>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</si>
  <si>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</si>
  <si>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</si>
  <si>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</si>
  <si>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</si>
  <si>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</si>
  <si>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</si>
  <si>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</si>
  <si>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</si>
  <si>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</si>
  <si>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</si>
  <si>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</si>
  <si>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</si>
  <si>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</si>
  <si>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</si>
  <si>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</si>
  <si>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</si>
  <si>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</si>
  <si>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</si>
  <si>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</si>
  <si>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</si>
  <si>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</si>
  <si>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</si>
  <si>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</si>
  <si>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</si>
  <si>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</si>
  <si>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</si>
  <si>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</si>
  <si>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</si>
  <si>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</si>
  <si>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</si>
  <si>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</si>
  <si>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</si>
  <si>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</si>
  <si>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</si>
  <si>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</si>
  <si>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</si>
  <si>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</si>
  <si>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</si>
  <si>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</si>
  <si>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</si>
  <si>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</si>
  <si>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</si>
  <si>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</si>
  <si>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</si>
  <si>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</si>
  <si>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</si>
  <si>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</si>
  <si>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</si>
  <si>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</si>
  <si>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</si>
  <si>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</si>
  <si>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</si>
  <si>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</si>
  <si>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</si>
  <si>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</si>
  <si>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</si>
  <si>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</si>
  <si>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</si>
  <si>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</si>
  <si>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</si>
  <si>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</si>
  <si>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</si>
  <si>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</si>
  <si>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</si>
  <si>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</si>
  <si>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</si>
  <si>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</si>
  <si>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</si>
  <si>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</si>
  <si>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</si>
  <si>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</si>
  <si>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</si>
  <si>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</si>
  <si>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</si>
  <si>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</si>
  <si>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</si>
  <si>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</si>
  <si>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</si>
  <si>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</si>
  <si>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</si>
  <si>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</si>
  <si>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</si>
  <si>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</si>
  <si>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</si>
  <si>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</si>
  <si>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</si>
  <si>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</si>
  <si>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</si>
  <si>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</si>
  <si>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</si>
  <si>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</si>
  <si>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</si>
  <si>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</si>
  <si>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</si>
  <si>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</si>
  <si>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</si>
  <si>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</si>
  <si>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</si>
  <si>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</si>
  <si>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</si>
  <si>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</si>
  <si>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</si>
  <si>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</si>
  <si>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</si>
  <si>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</si>
  <si>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</si>
  <si>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</si>
  <si>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</si>
  <si>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</si>
  <si>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</si>
  <si>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</si>
  <si>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</si>
  <si>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</si>
  <si>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</si>
  <si>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</si>
  <si>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</si>
  <si>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</si>
  <si>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</si>
  <si>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</si>
  <si>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</si>
  <si>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</si>
  <si>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</si>
  <si>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</si>
  <si>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</si>
  <si>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</si>
  <si>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</si>
  <si>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</si>
  <si>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</si>
  <si>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</si>
  <si>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</si>
  <si>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</si>
  <si>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</si>
  <si>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</si>
  <si>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</si>
  <si>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</si>
  <si>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</si>
  <si>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</si>
  <si>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</si>
  <si>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</si>
  <si>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</si>
  <si>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</si>
  <si>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</si>
  <si>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</si>
  <si>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</si>
  <si>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</si>
  <si>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</si>
  <si>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</si>
  <si>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</si>
  <si>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</si>
  <si>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</si>
  <si>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</si>
  <si>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</si>
  <si>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</si>
  <si>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</si>
  <si>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</si>
  <si>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</si>
  <si>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</si>
  <si>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</si>
  <si>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</si>
  <si>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</si>
  <si>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</si>
  <si>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</si>
  <si>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</si>
  <si>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</si>
  <si>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</si>
  <si>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</si>
  <si>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</si>
  <si>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</si>
  <si>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</si>
  <si>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</si>
  <si>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</si>
  <si>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</si>
  <si>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</si>
  <si>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</si>
  <si>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</si>
  <si>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</si>
  <si>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</si>
  <si>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</si>
  <si>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</si>
  <si>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</si>
  <si>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</si>
  <si>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</si>
  <si>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</si>
  <si>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</si>
  <si>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</si>
  <si>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</si>
  <si>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</si>
  <si>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</si>
  <si>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</si>
  <si>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</si>
  <si>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</si>
  <si>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</si>
  <si>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</si>
  <si>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</si>
  <si>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</si>
  <si>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</si>
  <si>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</si>
  <si>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</si>
  <si>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</si>
  <si>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</si>
  <si>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</si>
  <si>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</si>
  <si>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</si>
  <si>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</si>
  <si>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</si>
  <si>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</si>
  <si>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</si>
  <si>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</si>
  <si>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</si>
  <si>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</si>
  <si>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</si>
  <si>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</si>
  <si>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</si>
  <si>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</si>
  <si>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</si>
  <si>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</si>
  <si>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</si>
  <si>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</si>
  <si>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</si>
  <si>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</si>
  <si>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</si>
  <si>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</si>
  <si>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</si>
  <si>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</si>
  <si>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</si>
  <si>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</si>
  <si>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</si>
  <si>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</si>
  <si>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</si>
  <si>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</si>
  <si>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</si>
  <si>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</si>
  <si>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</si>
  <si>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</si>
  <si>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</si>
  <si>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</si>
  <si>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</si>
  <si>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</si>
  <si>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</si>
  <si>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</si>
  <si>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</si>
  <si>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</si>
  <si>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</si>
  <si>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</si>
  <si>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</si>
  <si>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</si>
  <si>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</si>
  <si>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</si>
  <si>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</si>
  <si>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</si>
  <si>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</si>
  <si>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</si>
  <si>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</si>
  <si>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</si>
  <si>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</si>
  <si>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</si>
  <si>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</si>
  <si>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</si>
  <si>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</si>
  <si>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</si>
  <si>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</si>
  <si>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</si>
  <si>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</si>
  <si>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</si>
  <si>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</si>
  <si>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</si>
  <si>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</si>
  <si>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</si>
  <si>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</si>
  <si>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</si>
  <si>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</si>
  <si>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</si>
  <si>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</si>
  <si>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</si>
  <si>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</si>
  <si>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</si>
  <si>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</si>
  <si>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</si>
  <si>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</si>
  <si>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</si>
  <si>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</si>
  <si>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</si>
  <si>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</si>
  <si>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</si>
  <si>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</si>
  <si>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</si>
  <si>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</si>
  <si>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</si>
  <si>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</si>
  <si>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</si>
  <si>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</si>
  <si>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</si>
  <si>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</si>
  <si>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</si>
  <si>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</si>
  <si>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</si>
  <si>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</si>
  <si>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</si>
  <si>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</si>
  <si>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</si>
  <si>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</si>
  <si>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</si>
  <si>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</si>
  <si>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</si>
  <si>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</si>
  <si>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</si>
  <si>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</si>
  <si>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</si>
  <si>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</si>
  <si>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</si>
  <si>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</si>
  <si>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</si>
  <si>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</si>
  <si>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</si>
  <si>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</si>
  <si>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</si>
  <si>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</si>
  <si>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</si>
  <si>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</si>
  <si>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</si>
  <si>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</si>
  <si>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</si>
  <si>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</si>
  <si>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</si>
  <si>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</si>
  <si>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</si>
  <si>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</si>
  <si>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</si>
  <si>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</si>
  <si>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</si>
  <si>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</si>
  <si>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</si>
  <si>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</si>
  <si>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</si>
  <si>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</si>
  <si>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</si>
  <si>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</si>
  <si>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</si>
  <si>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</si>
  <si>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</si>
  <si>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</si>
  <si>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</si>
  <si>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</si>
  <si>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</si>
  <si>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</si>
  <si>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</si>
  <si>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</si>
  <si>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</si>
  <si>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</si>
  <si>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</si>
  <si>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</si>
  <si>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</si>
  <si>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</si>
  <si>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</si>
  <si>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</si>
  <si>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</si>
  <si>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</si>
  <si>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</si>
  <si>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</si>
  <si>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</si>
  <si>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</si>
  <si>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</si>
  <si>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</si>
  <si>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</si>
  <si>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</si>
  <si>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</si>
  <si>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</si>
  <si>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</si>
  <si>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</si>
  <si>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</si>
  <si>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</si>
  <si>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</si>
  <si>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</si>
  <si>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</si>
  <si>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</si>
  <si>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</si>
  <si>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</si>
  <si>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</si>
  <si>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</si>
  <si>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</si>
  <si>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</si>
  <si>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</si>
  <si>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</si>
  <si>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</si>
  <si>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</si>
  <si>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</si>
  <si>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</si>
  <si>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</si>
  <si>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</si>
  <si>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</si>
  <si>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</si>
  <si>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</si>
  <si>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</si>
  <si>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</si>
  <si>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</si>
  <si>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</si>
  <si>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</si>
  <si>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</si>
  <si>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</si>
  <si>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</si>
  <si>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</si>
  <si>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</si>
  <si>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</si>
  <si>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</si>
  <si>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</si>
  <si>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</si>
  <si>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</si>
  <si>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</si>
  <si>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</si>
  <si>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</si>
  <si>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</si>
  <si>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</si>
  <si>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</si>
  <si>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</si>
  <si>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</si>
  <si>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</si>
  <si>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</si>
  <si>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</si>
  <si>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</si>
  <si>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</si>
  <si>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</si>
  <si>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</si>
  <si>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</si>
  <si>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</si>
  <si>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</si>
  <si>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</si>
  <si>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</si>
  <si>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</si>
  <si>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</si>
  <si>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</si>
  <si>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</si>
  <si>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</si>
  <si>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</si>
  <si>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</si>
  <si>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</si>
  <si>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</si>
  <si>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</si>
  <si>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</si>
  <si>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</si>
  <si>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</si>
  <si>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</si>
  <si>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</si>
  <si>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</si>
  <si>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</si>
  <si>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</si>
  <si>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</si>
  <si>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</si>
  <si>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</si>
  <si>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</si>
  <si>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</si>
  <si>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</si>
  <si>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</si>
  <si>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</si>
  <si>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</si>
  <si>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</si>
  <si>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</si>
  <si>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</si>
  <si>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</si>
  <si>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</si>
  <si>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</si>
  <si>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</si>
  <si>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</si>
  <si>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</si>
  <si>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</si>
  <si>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</si>
  <si>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</si>
  <si>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</si>
  <si>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</si>
  <si>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</si>
  <si>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</si>
  <si>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</si>
  <si>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</si>
  <si>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</si>
  <si>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</si>
  <si>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</si>
  <si>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</si>
  <si>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</si>
  <si>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</si>
  <si>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</si>
  <si>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</si>
  <si>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</si>
  <si>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</si>
  <si>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</si>
  <si>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</si>
  <si>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</si>
  <si>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</si>
  <si>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</si>
  <si>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</si>
  <si>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</si>
  <si>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</si>
  <si>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</si>
  <si>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</si>
  <si>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</si>
  <si>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</si>
  <si>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</si>
  <si>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</si>
  <si>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</si>
  <si>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</si>
  <si>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</si>
  <si>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</si>
  <si>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</si>
  <si>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</si>
  <si>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</si>
  <si>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</si>
  <si>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</si>
  <si>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</si>
  <si>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</si>
  <si>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</si>
  <si>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</si>
  <si>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</si>
  <si>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</si>
  <si>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</si>
  <si>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</si>
  <si>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</si>
  <si>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</si>
  <si>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</si>
  <si>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</si>
  <si>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</si>
  <si>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</si>
  <si>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</si>
  <si>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</si>
  <si>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</si>
  <si>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</si>
  <si>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</si>
  <si>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</si>
  <si>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</si>
  <si>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</si>
  <si>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</si>
  <si>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</si>
  <si>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</si>
  <si>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</si>
  <si>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</si>
  <si>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</si>
  <si>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</si>
  <si>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</si>
  <si>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</si>
  <si>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</si>
  <si>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</si>
  <si>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</si>
  <si>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</si>
  <si>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</si>
  <si>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</si>
  <si>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</si>
  <si>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</si>
  <si>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</si>
  <si>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</si>
  <si>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</si>
  <si>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</si>
  <si>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</si>
  <si>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</si>
  <si>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</si>
  <si>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</si>
  <si>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</si>
  <si>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</si>
  <si>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</si>
  <si>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</si>
  <si>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</si>
  <si>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</si>
  <si>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</si>
  <si>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</si>
  <si>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</si>
  <si>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</si>
  <si>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</si>
  <si>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</si>
  <si>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</si>
  <si>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</si>
  <si>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</si>
  <si>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</si>
  <si>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</si>
  <si>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</si>
  <si>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</si>
  <si>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</si>
  <si>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</si>
  <si>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</si>
  <si>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</si>
  <si>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</si>
  <si>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</si>
  <si>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</si>
  <si>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</si>
  <si>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</si>
  <si>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</si>
  <si>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</si>
  <si>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</si>
  <si>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</si>
  <si>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</si>
  <si>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</si>
  <si>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</si>
  <si>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</si>
  <si>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</si>
  <si>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</si>
  <si>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</si>
  <si>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</si>
  <si>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</si>
  <si>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</si>
  <si>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</si>
  <si>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</si>
  <si>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</si>
  <si>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</si>
  <si>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</si>
  <si>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</si>
  <si>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</si>
  <si>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</si>
  <si>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</si>
  <si>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</si>
  <si>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</si>
  <si>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</si>
  <si>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</si>
  <si>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</si>
  <si>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</si>
  <si>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</si>
  <si>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</si>
  <si>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</si>
  <si>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</si>
  <si>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</si>
  <si>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</si>
  <si>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</si>
  <si>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</si>
  <si>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</si>
  <si>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</si>
  <si>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</si>
  <si>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</si>
  <si>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</si>
  <si>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</si>
  <si>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</si>
  <si>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</si>
  <si>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</si>
  <si>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</si>
  <si>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</si>
  <si>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</si>
  <si>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</si>
  <si>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</si>
  <si>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</si>
  <si>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</si>
  <si>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</si>
  <si>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</si>
  <si>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</si>
  <si>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</si>
  <si>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</si>
  <si>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</si>
  <si>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</si>
  <si>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</si>
  <si>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</si>
  <si>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</si>
  <si>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</si>
  <si>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</si>
  <si>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</si>
  <si>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</si>
  <si>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</si>
  <si>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</si>
  <si>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</si>
  <si>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</si>
  <si>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</si>
  <si>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</si>
  <si>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</si>
  <si>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</si>
  <si>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</si>
  <si>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</si>
  <si>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</si>
  <si>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</si>
  <si>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</si>
  <si>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</si>
  <si>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</si>
  <si>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</si>
  <si>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</si>
  <si>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</si>
  <si>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</si>
  <si>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</si>
  <si>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</si>
  <si>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</si>
  <si>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</si>
  <si>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</si>
  <si>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</si>
  <si>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</si>
  <si>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</si>
  <si>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</si>
  <si>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</si>
  <si>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</si>
  <si>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</si>
  <si>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</si>
  <si>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</si>
  <si>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</si>
  <si>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</si>
  <si>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</si>
  <si>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</si>
  <si>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</si>
  <si>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</si>
  <si>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</si>
  <si>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</si>
  <si>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</si>
  <si>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</si>
  <si>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</si>
  <si>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</si>
  <si>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</si>
  <si>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</si>
  <si>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</si>
  <si>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</si>
  <si>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</si>
  <si>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</si>
  <si>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</si>
  <si>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</si>
  <si>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</si>
  <si>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</si>
  <si>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</si>
  <si>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</si>
  <si>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</si>
  <si>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</si>
  <si>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</si>
  <si>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</si>
  <si>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</si>
  <si>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</si>
  <si>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</si>
  <si>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</si>
  <si>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</si>
  <si>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</si>
  <si>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</si>
  <si>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</si>
  <si>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</si>
  <si>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</si>
  <si>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</si>
  <si>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</si>
  <si>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</si>
  <si>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</si>
  <si>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</si>
  <si>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</si>
  <si>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</si>
  <si>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</si>
  <si>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</si>
  <si>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</si>
  <si>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</si>
  <si>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</si>
  <si>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</si>
  <si>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</si>
  <si>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</si>
  <si>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</si>
  <si>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</si>
  <si>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</si>
  <si>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</si>
  <si>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</si>
  <si>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</si>
  <si>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</si>
  <si>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</si>
  <si>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</si>
  <si>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</si>
  <si>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</si>
  <si>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</si>
  <si>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</si>
  <si>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</si>
  <si>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</si>
  <si>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</si>
  <si>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</si>
  <si>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</si>
  <si>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</si>
  <si>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</si>
  <si>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</si>
  <si>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</si>
  <si>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</si>
  <si>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</si>
  <si>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</si>
  <si>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</si>
  <si>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</si>
  <si>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</si>
  <si>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</si>
  <si>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</si>
  <si>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</si>
  <si>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</si>
  <si>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</si>
  <si>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</si>
  <si>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</si>
  <si>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</si>
  <si>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</si>
  <si>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</si>
  <si>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</si>
  <si>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</si>
  <si>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</si>
  <si>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</si>
  <si>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</si>
  <si>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</si>
  <si>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</si>
  <si>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</si>
  <si>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</si>
  <si>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</si>
  <si>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</si>
  <si>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</si>
  <si>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</si>
  <si>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</si>
  <si>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</si>
  <si>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</si>
  <si>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</si>
  <si>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</si>
  <si>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</si>
  <si>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</si>
  <si>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</si>
  <si>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</si>
  <si>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</si>
  <si>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</si>
  <si>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</si>
  <si>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</si>
  <si>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</si>
  <si>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</si>
  <si>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</si>
  <si>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</si>
  <si>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</si>
  <si>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</si>
  <si>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</si>
  <si>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</si>
  <si>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</si>
  <si>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</si>
  <si>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</si>
  <si>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</si>
  <si>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</si>
  <si>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</si>
  <si>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</si>
  <si>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</si>
  <si>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</si>
  <si>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</si>
  <si>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</si>
  <si>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</si>
  <si>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</si>
  <si>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</si>
  <si>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</si>
  <si>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</si>
  <si>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</si>
  <si>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</si>
  <si>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</si>
  <si>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</si>
  <si>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</si>
  <si>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</si>
  <si>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</si>
  <si>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</si>
  <si>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</si>
  <si>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</si>
  <si>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</si>
  <si>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</si>
  <si>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</si>
  <si>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</si>
  <si>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</si>
  <si>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</si>
  <si>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</si>
  <si>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</si>
  <si>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</si>
  <si>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</si>
  <si>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</si>
  <si>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</si>
  <si>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</si>
  <si>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</si>
  <si>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</si>
  <si>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</si>
  <si>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</si>
  <si>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</si>
  <si>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</si>
  <si>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</si>
  <si>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</si>
  <si>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</si>
  <si>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</si>
  <si>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</si>
  <si>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</si>
  <si>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</si>
  <si>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</si>
  <si>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</si>
  <si>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</si>
  <si>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</si>
  <si>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</si>
  <si>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</si>
  <si>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</si>
  <si>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</si>
  <si>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</si>
  <si>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</si>
  <si>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</si>
  <si>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</si>
  <si>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</si>
  <si>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</si>
  <si>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</si>
  <si>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</si>
  <si>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</si>
  <si>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</si>
  <si>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</si>
  <si>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</si>
  <si>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</si>
  <si>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</si>
  <si>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</si>
  <si>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</si>
  <si>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</si>
  <si>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</si>
  <si>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</si>
  <si>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</si>
  <si>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</si>
  <si>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</si>
  <si>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</si>
  <si>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</si>
  <si>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</si>
  <si>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</si>
  <si>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</si>
  <si>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</si>
  <si>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</si>
  <si>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</si>
  <si>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</si>
  <si>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</si>
  <si>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</si>
  <si>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</si>
  <si>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</si>
  <si>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</si>
  <si>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</si>
  <si>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</si>
  <si>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</si>
  <si>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</si>
  <si>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</si>
  <si>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</si>
  <si>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</si>
  <si>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</si>
  <si>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</si>
  <si>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</si>
  <si>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</si>
  <si>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</si>
  <si>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</si>
  <si>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</si>
  <si>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</si>
  <si>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</si>
  <si>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</si>
  <si>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</si>
  <si>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</si>
  <si>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</si>
  <si>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</si>
  <si>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</si>
  <si>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</si>
  <si>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</si>
  <si>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</si>
  <si>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</si>
  <si>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</si>
  <si>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</si>
  <si>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</si>
  <si>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</si>
  <si>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</si>
  <si>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</si>
  <si>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</si>
  <si>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</si>
  <si>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</si>
  <si>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</si>
  <si>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</si>
  <si>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</si>
  <si>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</si>
  <si>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</si>
  <si>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</si>
  <si>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</si>
  <si>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</si>
  <si>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</si>
  <si>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</si>
  <si>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</si>
  <si>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</si>
  <si>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</si>
  <si>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</si>
  <si>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</si>
  <si>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</si>
  <si>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</si>
  <si>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</si>
  <si>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</si>
  <si>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</si>
  <si>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</si>
  <si>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</si>
  <si>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</si>
  <si>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</si>
  <si>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</si>
  <si>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</si>
  <si>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</si>
  <si>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</si>
  <si>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</si>
  <si>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</si>
  <si>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</si>
  <si>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</si>
  <si>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</si>
  <si>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</si>
  <si>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</si>
  <si>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</si>
  <si>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</si>
  <si>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</si>
  <si>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</si>
  <si>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</si>
  <si>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</si>
  <si>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</si>
  <si>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</si>
  <si>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</si>
  <si>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</si>
  <si>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</si>
  <si>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</si>
  <si>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</si>
  <si>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</si>
  <si>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</si>
  <si>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</si>
  <si>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</si>
  <si>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</si>
  <si>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</si>
  <si>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</si>
  <si>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</si>
  <si>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</si>
  <si>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</si>
  <si>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</si>
  <si>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</si>
  <si>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</si>
  <si>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</si>
  <si>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</si>
  <si>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</si>
  <si>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</si>
  <si>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</si>
  <si>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</si>
  <si>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</si>
  <si>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</si>
  <si>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</si>
  <si>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</si>
  <si>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</si>
  <si>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</si>
  <si>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</si>
  <si>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</si>
  <si>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</si>
  <si>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</si>
  <si>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</si>
  <si>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</si>
  <si>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</si>
  <si>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</si>
  <si>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</si>
  <si>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</si>
  <si>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</si>
  <si>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</si>
  <si>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</si>
  <si>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</si>
  <si>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</si>
  <si>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</si>
  <si>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</si>
  <si>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</si>
  <si>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</si>
  <si>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</si>
  <si>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</si>
  <si>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</si>
  <si>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</si>
  <si>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</si>
  <si>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</si>
  <si>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</si>
  <si>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</si>
  <si>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</si>
  <si>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</si>
  <si>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</si>
  <si>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</si>
  <si>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</si>
  <si>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</si>
  <si>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</si>
  <si>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</si>
  <si>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</si>
  <si>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</si>
  <si>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</si>
  <si>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</si>
  <si>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</si>
  <si>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</si>
  <si>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</si>
  <si>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</si>
  <si>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</si>
  <si>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</si>
  <si>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</si>
  <si>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</si>
  <si>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</si>
  <si>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</si>
  <si>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</si>
  <si>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</si>
  <si>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</si>
  <si>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</si>
  <si>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</si>
  <si>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</si>
  <si>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</si>
  <si>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</si>
  <si>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</si>
  <si>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</si>
  <si>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</si>
  <si>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</si>
  <si>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</si>
  <si>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</si>
  <si>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</si>
  <si>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</si>
  <si>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</si>
  <si>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</si>
  <si>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</si>
  <si>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</si>
  <si>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</si>
  <si>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</si>
  <si>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</si>
  <si>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</si>
  <si>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</si>
  <si>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</si>
  <si>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</si>
  <si>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</si>
  <si>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</si>
  <si>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</si>
  <si>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</si>
  <si>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</si>
  <si>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</si>
  <si>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</si>
  <si>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</si>
  <si>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</si>
  <si>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</si>
  <si>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</si>
  <si>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</si>
  <si>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</si>
  <si>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</si>
  <si>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</si>
  <si>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</si>
  <si>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</si>
  <si>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</si>
  <si>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</si>
  <si>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</si>
  <si>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</si>
  <si>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</si>
  <si>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</si>
  <si>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</si>
  <si>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</si>
  <si>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</si>
  <si>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</si>
  <si>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</si>
  <si>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</si>
  <si>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</si>
  <si>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</si>
  <si>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</si>
  <si>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</si>
  <si>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</si>
  <si>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</si>
  <si>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</si>
  <si>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</si>
  <si>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</si>
  <si>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</si>
  <si>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</si>
  <si>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</si>
  <si>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</si>
  <si>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</si>
  <si>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</si>
  <si>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</si>
  <si>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</si>
  <si>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</si>
  <si>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</si>
  <si>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</si>
  <si>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</si>
  <si>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</si>
  <si>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</si>
  <si>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</si>
  <si>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</si>
  <si>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</si>
  <si>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</si>
  <si>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</si>
  <si>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</si>
  <si>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</si>
  <si>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</si>
  <si>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</si>
  <si>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</si>
  <si>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</si>
  <si>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</si>
  <si>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</si>
  <si>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</si>
  <si>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</si>
  <si>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</si>
  <si>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</si>
  <si>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</si>
  <si>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</si>
  <si>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</si>
  <si>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</si>
  <si>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</si>
  <si>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</si>
  <si>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</si>
  <si>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</si>
  <si>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</si>
  <si>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</si>
  <si>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</si>
  <si>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</si>
  <si>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</si>
  <si>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</si>
  <si>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</si>
  <si>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</si>
  <si>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</si>
  <si>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</si>
  <si>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</si>
  <si>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</si>
  <si>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</si>
  <si>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</si>
  <si>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</si>
  <si>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</si>
  <si>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</si>
  <si>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</si>
  <si>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</si>
  <si>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</si>
  <si>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</si>
  <si>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</si>
  <si>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</si>
  <si>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</si>
  <si>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</si>
  <si>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</si>
  <si>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</si>
  <si>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</si>
  <si>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</si>
  <si>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</si>
  <si>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</si>
  <si>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</si>
  <si>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</si>
  <si>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</si>
  <si>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</si>
  <si>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</si>
  <si>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</si>
  <si>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</si>
  <si>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</si>
  <si>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</si>
  <si>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</si>
  <si>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</si>
  <si>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</si>
  <si>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</si>
  <si>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</si>
  <si>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</si>
  <si>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</si>
  <si>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</si>
  <si>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</si>
  <si>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</si>
  <si>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</si>
  <si>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</si>
  <si>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</si>
  <si>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</si>
  <si>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</si>
  <si>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</si>
  <si>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</si>
  <si>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</si>
  <si>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</si>
  <si>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</si>
  <si>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</si>
  <si>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</si>
  <si>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</si>
  <si>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</si>
  <si>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</si>
  <si>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</si>
  <si>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</si>
  <si>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</si>
  <si>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</si>
  <si>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</si>
  <si>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</si>
  <si>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</si>
  <si>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</si>
  <si>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</si>
  <si>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</si>
  <si>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</si>
  <si>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</si>
  <si>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</si>
  <si>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</si>
  <si>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</si>
  <si>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</si>
  <si>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</si>
  <si>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</si>
  <si>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</si>
  <si>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</si>
  <si>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</si>
  <si>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</si>
  <si>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</si>
  <si>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</si>
  <si>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</si>
  <si>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</si>
  <si>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</si>
  <si>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</si>
  <si>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</si>
  <si>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</si>
  <si>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</si>
  <si>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</si>
  <si>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</si>
  <si>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</si>
  <si>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</si>
  <si>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</si>
  <si>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</si>
  <si>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</si>
  <si>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</si>
  <si>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</si>
  <si>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</si>
  <si>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</si>
  <si>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</si>
  <si>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</si>
  <si>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</si>
  <si>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</si>
  <si>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</si>
  <si>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</si>
  <si>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</si>
  <si>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</si>
  <si>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</si>
  <si>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</si>
  <si>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</si>
  <si>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</si>
  <si>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</si>
  <si>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</si>
  <si>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</si>
  <si>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</si>
  <si>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</si>
  <si>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</si>
  <si>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</si>
  <si>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</si>
  <si>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</si>
  <si>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</si>
  <si>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</si>
  <si>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</si>
  <si>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</si>
  <si>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</si>
  <si>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</si>
  <si>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</si>
  <si>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</si>
  <si>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</si>
  <si>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</si>
  <si>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</si>
  <si>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</si>
  <si>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</si>
  <si>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</si>
  <si>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</si>
  <si>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</si>
  <si>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</si>
  <si>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</si>
  <si>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</si>
  <si>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</si>
  <si>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</si>
  <si>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</si>
  <si>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</si>
  <si>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</si>
  <si>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</si>
  <si>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</si>
  <si>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</si>
  <si>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</si>
  <si>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</si>
  <si>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</si>
  <si>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</si>
  <si>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</si>
  <si>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</si>
  <si>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</si>
  <si>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</si>
  <si>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</si>
  <si>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</si>
  <si>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</si>
  <si>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</si>
  <si>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</si>
  <si>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</si>
  <si>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</si>
  <si>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</si>
  <si>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</si>
  <si>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</si>
  <si>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</si>
  <si>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</si>
  <si>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</si>
  <si>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</si>
  <si>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</si>
  <si>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</si>
  <si>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</si>
  <si>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</si>
  <si>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</si>
  <si>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</si>
  <si>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</si>
  <si>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</si>
  <si>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</si>
  <si>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</si>
  <si>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</si>
  <si>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</si>
  <si>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</si>
  <si>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</si>
  <si>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</si>
  <si>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</si>
  <si>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</si>
  <si>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</si>
  <si>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</si>
  <si>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</si>
  <si>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</si>
  <si>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</si>
  <si>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</si>
  <si>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</si>
  <si>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</si>
  <si>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</si>
  <si>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</si>
  <si>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</si>
  <si>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</si>
  <si>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</si>
  <si>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</si>
  <si>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</si>
  <si>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</si>
  <si>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</si>
  <si>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</si>
  <si>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</si>
  <si>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</si>
  <si>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</si>
  <si>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</si>
  <si>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</si>
  <si>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</si>
  <si>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</si>
  <si>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</si>
  <si>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</si>
  <si>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</si>
  <si>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</si>
  <si>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</si>
  <si>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</si>
  <si>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</si>
  <si>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</si>
  <si>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</si>
  <si>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</si>
  <si>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</si>
  <si>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</si>
  <si>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</si>
  <si>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</si>
  <si>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</si>
  <si>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</si>
  <si>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</si>
  <si>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</si>
  <si>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</si>
  <si>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</si>
  <si>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</si>
  <si>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</si>
  <si>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</si>
  <si>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</si>
  <si>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</si>
  <si>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</si>
  <si>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</si>
  <si>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</si>
  <si>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</si>
  <si>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</si>
  <si>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</si>
  <si>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</si>
  <si>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</si>
  <si>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</si>
  <si>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</si>
  <si>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</si>
  <si>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</si>
  <si>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</si>
  <si>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</si>
  <si>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</si>
  <si>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</si>
  <si>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</si>
  <si>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</si>
  <si>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</si>
  <si>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</si>
  <si>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</si>
  <si>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</si>
  <si>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</si>
  <si>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</si>
  <si>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</si>
  <si>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</si>
  <si>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</si>
  <si>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</si>
  <si>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</si>
  <si>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</si>
  <si>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</si>
  <si>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</si>
  <si>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</si>
  <si>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</si>
  <si>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</si>
  <si>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</si>
  <si>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</si>
  <si>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</si>
  <si>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</si>
  <si>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</si>
  <si>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</si>
  <si>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</si>
  <si>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</si>
  <si>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</si>
  <si>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</si>
  <si>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</si>
  <si>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</si>
  <si>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</si>
  <si>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</si>
  <si>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</si>
  <si>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</si>
  <si>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</si>
  <si>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</si>
  <si>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</si>
  <si>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</si>
  <si>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</si>
  <si>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</si>
  <si>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</si>
  <si>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</si>
  <si>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</si>
  <si>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</si>
  <si>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</si>
  <si>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</si>
  <si>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</si>
  <si>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</si>
  <si>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</si>
  <si>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</si>
  <si>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</si>
  <si>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</si>
  <si>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</si>
  <si>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</si>
  <si>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</si>
  <si>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</si>
  <si>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</si>
  <si>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</si>
  <si>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</si>
  <si>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</si>
  <si>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</si>
  <si>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</si>
  <si>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</si>
  <si>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</si>
  <si>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</si>
  <si>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</si>
  <si>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</si>
  <si>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</si>
  <si>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</si>
  <si>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</si>
  <si>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</si>
  <si>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</si>
  <si>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</si>
  <si>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</si>
  <si>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</si>
  <si>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</si>
  <si>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</si>
  <si>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</si>
  <si>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</si>
  <si>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</si>
  <si>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</si>
  <si>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</si>
  <si>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</si>
  <si>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</si>
  <si>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</si>
  <si>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</si>
  <si>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</si>
  <si>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</si>
  <si>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</si>
  <si>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</si>
  <si>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</si>
  <si>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</si>
  <si>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</si>
  <si>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</si>
  <si>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</si>
  <si>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</si>
  <si>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</si>
  <si>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</si>
  <si>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</si>
  <si>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</si>
  <si>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</si>
  <si>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</si>
  <si>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</si>
  <si>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</si>
  <si>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</si>
  <si>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</si>
  <si>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</si>
  <si>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</si>
  <si>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</si>
  <si>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</si>
  <si>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</si>
  <si>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</si>
  <si>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</si>
  <si>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</si>
  <si>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</si>
  <si>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</si>
  <si>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</si>
  <si>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</si>
  <si>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</si>
  <si>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</si>
  <si>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</si>
  <si>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</si>
  <si>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</si>
  <si>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</si>
  <si>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</si>
  <si>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</si>
  <si>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</si>
  <si>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</si>
  <si>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</si>
  <si>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</si>
  <si>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</si>
  <si>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</si>
  <si>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</si>
  <si>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</si>
  <si>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</si>
  <si>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</si>
  <si>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</si>
  <si>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</si>
  <si>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</si>
  <si>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</si>
  <si>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</si>
  <si>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</si>
  <si>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</si>
  <si>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</si>
  <si>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</si>
  <si>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</si>
  <si>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</si>
  <si>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</si>
  <si>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</si>
  <si>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</si>
  <si>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</si>
  <si>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</si>
  <si>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</si>
  <si>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</si>
  <si>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</si>
  <si>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</si>
  <si>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</si>
  <si>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</si>
  <si>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</si>
  <si>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</si>
  <si>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</si>
  <si>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</si>
  <si>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</si>
  <si>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</si>
  <si>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</si>
  <si>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</si>
  <si>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</si>
  <si>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</si>
  <si>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</si>
  <si>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</si>
  <si>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</si>
  <si>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</si>
  <si>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</si>
  <si>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</si>
  <si>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</si>
  <si>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</si>
  <si>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</si>
  <si>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</si>
  <si>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</si>
  <si>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</si>
  <si>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</si>
  <si>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</si>
  <si>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</si>
  <si>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</si>
  <si>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</si>
  <si>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</si>
  <si>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</si>
  <si>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</si>
  <si>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</si>
  <si>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</si>
  <si>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</si>
  <si>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</si>
  <si>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</si>
  <si>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</si>
  <si>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</si>
  <si>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</si>
  <si>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</si>
  <si>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</si>
  <si>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</si>
  <si>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</si>
  <si>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</si>
  <si>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</si>
  <si>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</si>
  <si>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</si>
  <si>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</si>
  <si>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</si>
  <si>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</si>
  <si>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</si>
  <si>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</si>
  <si>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</si>
  <si>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</si>
  <si>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</si>
  <si>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</si>
  <si>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</si>
  <si>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</si>
  <si>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</si>
  <si>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</si>
  <si>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</si>
  <si>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</si>
  <si>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</si>
  <si>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</si>
  <si>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</si>
  <si>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</si>
  <si>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</si>
  <si>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</si>
  <si>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</si>
  <si>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</si>
  <si>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</si>
  <si>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</si>
  <si>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</si>
  <si>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</si>
  <si>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</si>
  <si>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</si>
  <si>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</si>
  <si>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</si>
  <si>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</si>
  <si>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</si>
  <si>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</si>
  <si>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</si>
  <si>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</si>
  <si>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</si>
  <si>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</si>
  <si>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</si>
  <si>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</si>
  <si>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</si>
  <si>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</si>
  <si>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</si>
  <si>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</si>
  <si>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</si>
  <si>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</si>
  <si>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</si>
  <si>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</si>
  <si>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</si>
  <si>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</si>
  <si>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</si>
  <si>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</si>
  <si>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</si>
  <si>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</si>
  <si>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</si>
  <si>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</si>
  <si>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</si>
  <si>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</si>
  <si>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</si>
  <si>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</si>
  <si>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</si>
  <si>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</si>
  <si>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</si>
  <si>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</si>
  <si>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</si>
  <si>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</si>
  <si>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</si>
  <si>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</si>
  <si>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</si>
  <si>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</si>
  <si>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</si>
  <si>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</si>
  <si>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</si>
  <si>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</si>
  <si>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</si>
  <si>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</si>
  <si>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</si>
  <si>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</si>
  <si>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</si>
  <si>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</si>
  <si>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</si>
  <si>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</si>
  <si>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</si>
  <si>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</si>
  <si>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</si>
  <si>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</si>
  <si>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</si>
  <si>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</si>
  <si>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</si>
  <si>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</si>
  <si>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</si>
  <si>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</si>
  <si>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</si>
  <si>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</si>
  <si>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</si>
  <si>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</si>
  <si>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</si>
  <si>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</si>
  <si>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</si>
  <si>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</si>
  <si>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</si>
  <si>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</si>
  <si>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</si>
  <si>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</si>
  <si>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</si>
  <si>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</si>
  <si>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</si>
  <si>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</si>
  <si>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</si>
  <si>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</si>
  <si>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</si>
  <si>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</si>
  <si>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</si>
  <si>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</si>
  <si>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</si>
  <si>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</si>
  <si>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</si>
  <si>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</si>
  <si>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</si>
  <si>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</si>
  <si>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</si>
  <si>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</si>
  <si>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</si>
  <si>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</si>
  <si>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</si>
  <si>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</si>
  <si>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</si>
  <si>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</si>
  <si>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</si>
  <si>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</si>
  <si>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</si>
  <si>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</si>
  <si>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</si>
  <si>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</si>
  <si>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</si>
  <si>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</si>
  <si>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</si>
  <si>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</si>
  <si>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</si>
  <si>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</si>
  <si>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</si>
  <si>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</si>
  <si>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</si>
  <si>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</si>
  <si>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</si>
  <si>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</si>
  <si>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</si>
  <si>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</si>
  <si>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</si>
  <si>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</si>
  <si>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</si>
  <si>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</si>
  <si>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</si>
  <si>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</si>
  <si>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</si>
  <si>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</si>
  <si>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</si>
  <si>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</si>
  <si>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</si>
  <si>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</si>
  <si>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</si>
  <si>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</si>
  <si>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</si>
  <si>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</si>
  <si>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</si>
  <si>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</si>
  <si>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</si>
  <si>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</si>
  <si>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</si>
  <si>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</si>
  <si>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</si>
  <si>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</si>
  <si>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</si>
  <si>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</si>
  <si>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</si>
  <si>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</si>
  <si>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</si>
  <si>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</si>
  <si>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</si>
  <si>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</si>
  <si>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</si>
  <si>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</si>
  <si>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</si>
  <si>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</si>
  <si>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</si>
  <si>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</si>
  <si>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</si>
  <si>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</si>
  <si>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</si>
  <si>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</si>
  <si>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</si>
  <si>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</si>
  <si>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</si>
  <si>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</si>
  <si>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</si>
  <si>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</si>
  <si>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</si>
  <si>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</si>
  <si>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</si>
  <si>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</si>
  <si>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</si>
  <si>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</si>
  <si>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</si>
  <si>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</si>
  <si>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</si>
  <si>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</si>
  <si>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</si>
  <si>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</si>
  <si>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</si>
  <si>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</si>
  <si>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</si>
  <si>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</si>
  <si>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</si>
  <si>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</si>
  <si>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</si>
  <si>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</si>
  <si>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</si>
  <si>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</si>
  <si>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</si>
  <si>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</si>
  <si>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</si>
  <si>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</si>
  <si>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</si>
  <si>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</si>
  <si>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</si>
  <si>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</si>
  <si>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</si>
  <si>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</si>
  <si>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</si>
  <si>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</si>
  <si>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</si>
  <si>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</si>
  <si>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</si>
  <si>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</si>
  <si>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</si>
  <si>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</si>
  <si>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</si>
  <si>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</si>
  <si>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</si>
  <si>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</si>
  <si>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</si>
  <si>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</si>
  <si>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</si>
  <si>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</si>
  <si>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</si>
  <si>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</si>
  <si>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</si>
  <si>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</si>
  <si>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</si>
  <si>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</si>
  <si>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</si>
  <si>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</si>
  <si>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</si>
  <si>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</si>
  <si>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</si>
  <si>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</si>
  <si>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</si>
  <si>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</si>
  <si>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</si>
  <si>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</si>
  <si>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</si>
  <si>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</si>
  <si>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</si>
  <si>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</si>
  <si>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</si>
  <si>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</si>
  <si>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</si>
  <si>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</si>
  <si>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</si>
  <si>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</si>
  <si>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</si>
  <si>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</si>
  <si>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</si>
  <si>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</si>
  <si>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</si>
  <si>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</si>
  <si>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</si>
  <si>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</si>
  <si>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</si>
  <si>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</si>
  <si>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</si>
  <si>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</si>
  <si>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</si>
  <si>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</si>
  <si>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</si>
  <si>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</si>
  <si>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</si>
  <si>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</si>
  <si>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</si>
  <si>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</si>
  <si>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</si>
  <si>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</si>
  <si>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</si>
  <si>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</si>
  <si>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</si>
  <si>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</si>
  <si>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</si>
  <si>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</si>
  <si>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</si>
  <si>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</si>
  <si>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</si>
  <si>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</si>
  <si>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</si>
  <si>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</si>
  <si>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</si>
  <si>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</si>
  <si>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</si>
  <si>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</si>
  <si>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</si>
  <si>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</si>
  <si>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</si>
  <si>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</si>
  <si>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</si>
  <si>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</si>
  <si>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</si>
  <si>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</si>
  <si>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</si>
  <si>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</si>
  <si>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</si>
  <si>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</si>
  <si>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</si>
  <si>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</si>
  <si>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</si>
  <si>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</si>
  <si>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</si>
  <si>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</si>
  <si>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</si>
  <si>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</si>
  <si>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</si>
  <si>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</si>
  <si>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</si>
  <si>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</si>
  <si>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</si>
  <si>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</si>
  <si>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</si>
  <si>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</si>
  <si>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</si>
  <si>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</si>
  <si>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</si>
  <si>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</si>
  <si>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</si>
  <si>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</si>
  <si>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</si>
  <si>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</si>
  <si>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</si>
  <si>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</si>
  <si>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</si>
  <si>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</si>
  <si>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</si>
  <si>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</si>
  <si>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</si>
  <si>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</si>
  <si>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</si>
  <si>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</si>
  <si>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</si>
  <si>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</si>
  <si>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</si>
  <si>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</si>
  <si>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</si>
  <si>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</si>
  <si>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</si>
  <si>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</si>
  <si>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</si>
  <si>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</si>
  <si>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</si>
  <si>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</si>
  <si>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</si>
  <si>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</si>
  <si>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</si>
  <si>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</si>
  <si>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</si>
  <si>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</si>
  <si>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</si>
  <si>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</si>
  <si>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</si>
  <si>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</si>
  <si>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</si>
  <si>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</si>
  <si>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</si>
  <si>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</si>
  <si>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</si>
  <si>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</si>
  <si>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</si>
  <si>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</si>
  <si>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</si>
  <si>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</si>
  <si>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</si>
  <si>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</si>
  <si>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</si>
  <si>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</si>
  <si>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</si>
  <si>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</si>
  <si>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</si>
  <si>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</si>
  <si>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</si>
  <si>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</si>
  <si>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</si>
  <si>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</si>
  <si>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</si>
  <si>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</si>
  <si>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</si>
  <si>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</si>
  <si>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</si>
  <si>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</si>
  <si>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</si>
  <si>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</si>
  <si>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</si>
  <si>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</si>
  <si>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</si>
  <si>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</si>
  <si>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</si>
  <si>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</si>
  <si>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</si>
  <si>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</si>
  <si>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</si>
  <si>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</si>
  <si>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</si>
  <si>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</si>
  <si>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</si>
  <si>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</si>
  <si>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</si>
  <si>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</si>
  <si>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</si>
  <si>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</si>
  <si>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</si>
  <si>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</si>
  <si>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</si>
  <si>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</si>
  <si>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</si>
  <si>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</si>
  <si>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</si>
  <si>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</si>
  <si>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</si>
  <si>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</si>
  <si>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</si>
  <si>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</si>
  <si>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</si>
  <si>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</si>
  <si>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</si>
  <si>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</si>
  <si>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</si>
  <si>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</si>
  <si>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</si>
  <si>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</si>
  <si>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</si>
  <si>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</si>
  <si>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</si>
  <si>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</si>
  <si>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</si>
  <si>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</si>
  <si>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</si>
  <si>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</si>
  <si>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</si>
  <si>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</si>
  <si>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</si>
  <si>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</si>
  <si>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</si>
  <si>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</si>
  <si>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</si>
  <si>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</si>
  <si>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</si>
  <si>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</si>
  <si>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</si>
  <si>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</si>
  <si>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</si>
  <si>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</si>
  <si>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</si>
  <si>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</si>
  <si>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</si>
  <si>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</si>
  <si>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</si>
  <si>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</si>
  <si>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</si>
  <si>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</si>
  <si>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</si>
  <si>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</si>
  <si>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</si>
  <si>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</si>
  <si>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</si>
  <si>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</si>
  <si>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</si>
  <si>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</si>
  <si>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</si>
  <si>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</si>
  <si>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</si>
  <si>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</si>
  <si>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</si>
  <si>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</si>
  <si>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</si>
  <si>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</si>
  <si>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</si>
  <si>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</si>
  <si>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</si>
  <si>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</si>
  <si>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</si>
  <si>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</si>
  <si>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</si>
  <si>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</si>
  <si>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</si>
  <si>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</si>
  <si>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</si>
  <si>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</si>
  <si>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</si>
  <si>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</si>
  <si>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</si>
  <si>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</si>
  <si>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</si>
  <si>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</si>
  <si>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</si>
  <si>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</si>
  <si>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</si>
  <si>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</si>
  <si>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</si>
  <si>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</si>
  <si>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</si>
  <si>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</si>
  <si>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</si>
  <si>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</si>
  <si>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</si>
  <si>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</si>
  <si>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</si>
  <si>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</si>
  <si>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</si>
  <si>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</si>
  <si>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</si>
  <si>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</si>
  <si>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</si>
  <si>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</si>
  <si>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</si>
  <si>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</si>
  <si>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</si>
  <si>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</si>
  <si>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</si>
  <si>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</si>
  <si>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</si>
  <si>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</si>
  <si>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</si>
  <si>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</si>
  <si>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</si>
  <si>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</si>
  <si>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</si>
  <si>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</si>
  <si>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</si>
  <si>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</si>
  <si>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</si>
  <si>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</si>
  <si>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</si>
  <si>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</si>
  <si>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</si>
  <si>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</si>
  <si>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</si>
  <si>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</si>
  <si>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</si>
  <si>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</si>
  <si>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</si>
  <si>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</si>
  <si>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</si>
  <si>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</si>
  <si>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</si>
  <si>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</si>
  <si>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</si>
  <si>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</si>
  <si>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</si>
  <si>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</si>
  <si>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</si>
  <si>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</si>
  <si>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</si>
  <si>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</si>
  <si>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</si>
  <si>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</si>
  <si>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</si>
  <si>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</si>
  <si>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</si>
  <si>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</si>
  <si>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</si>
  <si>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</si>
  <si>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</si>
  <si>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</si>
  <si>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</si>
  <si>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</si>
  <si>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</si>
  <si>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</si>
  <si>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</si>
  <si>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</si>
  <si>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</si>
  <si>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</si>
  <si>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</si>
  <si>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</si>
  <si>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</si>
  <si>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</si>
  <si>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</si>
  <si>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</si>
  <si>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</si>
  <si>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</si>
  <si>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</si>
  <si>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</si>
  <si>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</si>
  <si>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</si>
  <si>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</si>
  <si>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</si>
  <si>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</si>
  <si>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</si>
  <si>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</si>
  <si>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</si>
  <si>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</si>
  <si>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</si>
  <si>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</si>
  <si>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</si>
  <si>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</si>
  <si>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</si>
  <si>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</si>
  <si>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</si>
  <si>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</si>
  <si>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</si>
  <si>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</si>
  <si>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</si>
  <si>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</si>
  <si>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</si>
  <si>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</si>
  <si>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</si>
  <si>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</si>
  <si>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</si>
  <si>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</si>
  <si>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</si>
  <si>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</si>
  <si>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</si>
  <si>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</si>
  <si>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</si>
  <si>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</si>
  <si>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</si>
  <si>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</si>
  <si>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</si>
  <si>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</si>
  <si>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</si>
  <si>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</si>
  <si>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</si>
  <si>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</si>
  <si>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</si>
  <si>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</si>
  <si>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</si>
  <si>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</si>
  <si>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</si>
  <si>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</si>
  <si>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</si>
  <si>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</si>
  <si>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</si>
  <si>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</si>
  <si>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</si>
  <si>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</si>
  <si>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</si>
  <si>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</si>
  <si>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</si>
  <si>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</si>
  <si>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</si>
  <si>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</si>
  <si>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</si>
  <si>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</si>
  <si>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</si>
  <si>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</si>
  <si>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</si>
  <si>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</si>
  <si>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</si>
  <si>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</si>
  <si>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</si>
  <si>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</si>
  <si>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</si>
  <si>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</si>
  <si>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</si>
  <si>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</si>
  <si>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</si>
  <si>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</si>
  <si>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</si>
  <si>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</si>
  <si>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</si>
  <si>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</si>
  <si>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</si>
  <si>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</si>
  <si>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</si>
  <si>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</si>
  <si>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</si>
  <si>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</si>
  <si>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</si>
  <si>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</si>
  <si>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</si>
  <si>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</si>
  <si>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</si>
  <si>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</si>
  <si>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</si>
  <si>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</si>
  <si>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</si>
  <si>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</si>
  <si>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</si>
  <si>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</si>
  <si>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</si>
  <si>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</si>
  <si>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</si>
  <si>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</si>
  <si>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</si>
  <si>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</si>
  <si>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</si>
  <si>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</si>
  <si>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</si>
  <si>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</si>
  <si>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</si>
  <si>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</si>
  <si>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</si>
  <si>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</si>
  <si>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</si>
  <si>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</si>
  <si>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</si>
  <si>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</si>
  <si>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</si>
  <si>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</si>
  <si>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</si>
  <si>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</si>
  <si>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</si>
  <si>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</si>
  <si>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</si>
  <si>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</si>
  <si>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</si>
  <si>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</si>
  <si>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</si>
  <si>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</si>
  <si>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</si>
  <si>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</si>
  <si>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</si>
  <si>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</si>
  <si>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</si>
  <si>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</si>
  <si>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</si>
  <si>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</si>
  <si>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</si>
  <si>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</si>
  <si>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</si>
  <si>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</si>
  <si>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</si>
  <si>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</si>
  <si>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</si>
  <si>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</si>
  <si>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</si>
  <si>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</si>
  <si>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</si>
  <si>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</si>
  <si>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</si>
  <si>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</si>
  <si>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</si>
  <si>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</si>
  <si>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</si>
  <si>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</si>
  <si>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</si>
  <si>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</si>
  <si>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</si>
  <si>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</si>
  <si>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</si>
  <si>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</si>
  <si>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</si>
  <si>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</si>
  <si>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</si>
  <si>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</si>
  <si>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</si>
  <si>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</si>
  <si>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</si>
  <si>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</si>
  <si>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</si>
  <si>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</si>
  <si>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</si>
  <si>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</si>
  <si>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</si>
  <si>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</si>
  <si>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</si>
  <si>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</si>
  <si>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</si>
  <si>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</si>
  <si>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</si>
  <si>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</si>
  <si>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</si>
  <si>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</si>
  <si>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</si>
  <si>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</si>
  <si>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</si>
  <si>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</si>
  <si>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</si>
  <si>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</si>
  <si>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</si>
  <si>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</si>
  <si>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</si>
  <si>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</si>
  <si>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</si>
  <si>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</si>
  <si>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</si>
  <si>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</si>
  <si>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</si>
  <si>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</si>
  <si>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</si>
  <si>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</si>
  <si>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</si>
  <si>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</si>
  <si>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</si>
  <si>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</si>
  <si>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</si>
  <si>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</si>
  <si>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</si>
  <si>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</si>
  <si>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</si>
  <si>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</si>
  <si>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</si>
  <si>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</si>
  <si>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</si>
  <si>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</si>
  <si>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</si>
  <si>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</si>
  <si>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</si>
  <si>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</si>
  <si>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</si>
  <si>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</si>
  <si>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</si>
  <si>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</si>
  <si>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</si>
  <si>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</si>
  <si>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</si>
  <si>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</si>
  <si>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</si>
  <si>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</si>
  <si>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</si>
  <si>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</si>
  <si>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</si>
  <si>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</si>
  <si>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</si>
  <si>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</si>
  <si>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</si>
  <si>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</si>
  <si>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</si>
  <si>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</si>
  <si>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</si>
  <si>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</si>
  <si>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</si>
  <si>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</si>
  <si>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</si>
  <si>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</si>
  <si>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</si>
  <si>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</si>
  <si>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</si>
  <si>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</si>
  <si>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</si>
  <si>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</si>
  <si>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</si>
  <si>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</si>
  <si>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</si>
  <si>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</si>
  <si>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</si>
  <si>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</si>
  <si>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</si>
  <si>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</si>
  <si>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</si>
  <si>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</si>
  <si>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</si>
  <si>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</si>
  <si>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</si>
  <si>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</si>
  <si>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</si>
  <si>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</si>
  <si>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</si>
  <si>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</si>
  <si>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</si>
  <si>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</si>
  <si>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</si>
  <si>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</si>
  <si>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</si>
  <si>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</si>
  <si>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</si>
  <si>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</si>
  <si>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</si>
  <si>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</si>
  <si>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</si>
  <si>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</si>
  <si>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</si>
  <si>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</si>
  <si>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</si>
  <si>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</si>
  <si>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</si>
  <si>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</si>
  <si>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</si>
  <si>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</si>
  <si>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</si>
  <si>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</si>
  <si>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</si>
  <si>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</si>
  <si>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</si>
  <si>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</si>
  <si>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</si>
  <si>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</si>
  <si>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</si>
  <si>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</si>
  <si>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</si>
  <si>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</si>
  <si>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</si>
  <si>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</si>
  <si>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</si>
  <si>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</si>
  <si>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</si>
  <si>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</si>
  <si>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</si>
  <si>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</si>
  <si>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</si>
  <si>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</si>
  <si>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</si>
  <si>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</si>
  <si>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</si>
  <si>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</si>
  <si>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</si>
  <si>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</si>
  <si>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</si>
  <si>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</si>
  <si>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</si>
  <si>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</si>
  <si>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</si>
  <si>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</si>
  <si>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</si>
  <si>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</si>
  <si>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</si>
  <si>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</si>
  <si>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</si>
  <si>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</si>
  <si>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</si>
  <si>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</si>
  <si>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</si>
  <si>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</si>
  <si>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</si>
  <si>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</si>
  <si>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</si>
  <si>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</si>
  <si>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</si>
  <si>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</si>
  <si>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</si>
  <si>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</si>
  <si>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</si>
  <si>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</si>
  <si>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</si>
  <si>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</si>
  <si>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</si>
  <si>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</si>
  <si>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</si>
  <si>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</si>
  <si>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</si>
  <si>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</si>
  <si>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</si>
  <si>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</si>
  <si>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</si>
  <si>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</si>
  <si>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</si>
  <si>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</si>
  <si>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</si>
  <si>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</si>
  <si>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</si>
  <si>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</si>
  <si>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</si>
  <si>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</si>
  <si>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</si>
  <si>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</si>
  <si>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</si>
  <si>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</si>
  <si>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</si>
  <si>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</si>
  <si>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</si>
  <si>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</si>
  <si>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</si>
  <si>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</si>
  <si>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</si>
  <si>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</si>
  <si>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</si>
  <si>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</si>
  <si>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</si>
  <si>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</si>
  <si>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</si>
  <si>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</si>
  <si>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</si>
  <si>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</si>
  <si>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</si>
  <si>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</si>
  <si>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</si>
  <si>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</si>
  <si>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</si>
  <si>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</si>
  <si>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</si>
  <si>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</si>
  <si>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</si>
  <si>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</si>
  <si>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</si>
  <si>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</si>
  <si>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</si>
  <si>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</si>
  <si>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</si>
  <si>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</si>
  <si>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</si>
  <si>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</si>
  <si>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</si>
  <si>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</si>
  <si>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</si>
  <si>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</si>
  <si>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</si>
  <si>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</si>
  <si>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</si>
  <si>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</si>
  <si>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</si>
  <si>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</si>
  <si>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</si>
  <si>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</si>
  <si>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</si>
  <si>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</si>
  <si>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</si>
  <si>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</si>
  <si>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</si>
  <si>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</si>
  <si>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</si>
  <si>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</si>
  <si>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</si>
  <si>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</si>
  <si>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</si>
  <si>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</si>
  <si>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</si>
  <si>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</si>
  <si>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</si>
  <si>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</si>
  <si>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</si>
  <si>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</si>
  <si>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</si>
  <si>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</si>
  <si>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</si>
  <si>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</si>
  <si>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</si>
  <si>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</si>
  <si>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</si>
  <si>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</si>
  <si>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</si>
  <si>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</si>
  <si>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</si>
  <si>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</si>
  <si>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</si>
  <si>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</si>
  <si>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</si>
  <si>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</si>
  <si>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</si>
  <si>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</si>
  <si>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</si>
  <si>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</si>
  <si>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</si>
  <si>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</si>
  <si>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</si>
  <si>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</si>
  <si>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</si>
  <si>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</si>
  <si>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</si>
  <si>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</si>
  <si>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</si>
  <si>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</si>
  <si>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</si>
  <si>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</si>
  <si>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</si>
  <si>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</si>
  <si>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</si>
  <si>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</si>
  <si>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</si>
  <si>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</si>
  <si>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</si>
  <si>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</si>
  <si>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</si>
  <si>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</si>
  <si>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</si>
  <si>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</si>
  <si>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</si>
  <si>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</si>
  <si>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</si>
  <si>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</si>
  <si>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</si>
  <si>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</si>
  <si>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</si>
  <si>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</si>
  <si>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</si>
  <si>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</si>
  <si>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</si>
  <si>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</si>
  <si>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</si>
  <si>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</si>
  <si>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</si>
  <si>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</si>
  <si>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</si>
  <si>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</si>
  <si>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</si>
  <si>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</si>
  <si>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</si>
  <si>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</si>
  <si>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</si>
  <si>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</si>
  <si>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</si>
  <si>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</si>
  <si>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</si>
  <si>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</si>
  <si>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</si>
  <si>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</si>
  <si>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</si>
  <si>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</si>
  <si>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</si>
  <si>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</si>
  <si>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</si>
  <si>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</si>
  <si>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</si>
  <si>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</si>
  <si>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</si>
  <si>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</si>
  <si>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</si>
  <si>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</si>
  <si>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</si>
  <si>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</si>
  <si>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</si>
  <si>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</si>
  <si>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</si>
  <si>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</si>
  <si>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</si>
  <si>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</si>
  <si>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</si>
  <si>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</si>
  <si>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</si>
  <si>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</si>
  <si>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</si>
  <si>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</si>
  <si>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</si>
  <si>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</si>
  <si>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</si>
  <si>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</si>
  <si>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</si>
  <si>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</si>
  <si>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</si>
  <si>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</si>
  <si>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</si>
  <si>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</si>
  <si>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</si>
  <si>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</si>
  <si>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</si>
  <si>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</si>
  <si>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</si>
  <si>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</si>
  <si>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</si>
  <si>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</si>
  <si>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</si>
  <si>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</si>
  <si>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</si>
  <si>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</si>
  <si>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</si>
  <si>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</si>
  <si>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</si>
  <si>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</si>
  <si>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</si>
  <si>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</si>
  <si>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</si>
  <si>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</si>
  <si>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</si>
  <si>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</si>
  <si>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</si>
  <si>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</si>
  <si>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</si>
  <si>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</si>
  <si>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</si>
  <si>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</si>
  <si>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</si>
  <si>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</si>
  <si>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</si>
  <si>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</si>
  <si>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</si>
  <si>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</si>
  <si>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</si>
  <si>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</si>
  <si>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</si>
  <si>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</si>
  <si>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</si>
  <si>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</si>
  <si>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</si>
  <si>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</si>
  <si>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</si>
  <si>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</si>
  <si>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</si>
  <si>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</si>
  <si>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</si>
  <si>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</si>
  <si>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</si>
  <si>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</si>
  <si>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</si>
  <si>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</si>
  <si>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</si>
  <si>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</si>
  <si>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</si>
  <si>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</si>
  <si>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</si>
  <si>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</si>
  <si>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</si>
  <si>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</si>
  <si>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</si>
  <si>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</si>
  <si>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</si>
  <si>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</si>
  <si>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</si>
  <si>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</si>
  <si>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</si>
  <si>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</si>
  <si>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</si>
  <si>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</si>
  <si>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</si>
  <si>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</si>
  <si>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</si>
  <si>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</si>
  <si>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</si>
  <si>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</si>
  <si>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</si>
  <si>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</si>
  <si>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</si>
  <si>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</si>
  <si>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</si>
  <si>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</si>
  <si>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</si>
  <si>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</si>
  <si>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</si>
  <si>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</si>
  <si>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</si>
  <si>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</si>
  <si>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</si>
  <si>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</si>
  <si>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</si>
  <si>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</si>
  <si>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</si>
  <si>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</si>
  <si>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</si>
  <si>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</si>
  <si>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</si>
  <si>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</si>
  <si>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</si>
  <si>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</si>
  <si>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</si>
  <si>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</si>
  <si>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</si>
  <si>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</si>
  <si>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</si>
  <si>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</si>
  <si>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</si>
  <si>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</si>
  <si>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</si>
  <si>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</si>
  <si>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</si>
  <si>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</si>
  <si>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</si>
  <si>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</si>
  <si>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</si>
  <si>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</si>
  <si>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</si>
  <si>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</si>
  <si>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</si>
  <si>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</si>
  <si>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</si>
  <si>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</si>
  <si>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</si>
  <si>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</si>
  <si>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</si>
  <si>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</si>
  <si>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</si>
  <si>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</si>
  <si>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</si>
  <si>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</si>
  <si>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</si>
  <si>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</si>
  <si>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</si>
  <si>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</si>
  <si>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</si>
  <si>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</si>
  <si>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</si>
  <si>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</si>
  <si>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</si>
  <si>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</si>
  <si>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</si>
  <si>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</si>
  <si>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</si>
  <si>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</si>
  <si>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</si>
  <si>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</si>
  <si>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</si>
  <si>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</si>
  <si>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</si>
  <si>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</si>
  <si>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</si>
  <si>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</si>
  <si>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</si>
  <si>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</si>
  <si>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</si>
  <si>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</si>
  <si>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</si>
  <si>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</si>
  <si>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</si>
  <si>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</si>
  <si>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</si>
  <si>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</si>
  <si>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</si>
  <si>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</si>
  <si>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</si>
  <si>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</si>
  <si>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</si>
  <si>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</si>
  <si>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</si>
  <si>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</si>
  <si>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</si>
  <si>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</si>
  <si>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</si>
  <si>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</si>
  <si>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</si>
  <si>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</si>
  <si>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</si>
  <si>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</si>
  <si>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</si>
  <si>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</si>
  <si>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</si>
  <si>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</si>
  <si>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</si>
  <si>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</si>
  <si>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</si>
  <si>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</si>
  <si>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</si>
  <si>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</si>
  <si>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</si>
  <si>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</si>
  <si>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</si>
  <si>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</si>
  <si>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</si>
  <si>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</si>
  <si>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</si>
  <si>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</si>
  <si>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</si>
  <si>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</si>
  <si>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</si>
  <si>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</si>
  <si>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</si>
  <si>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</si>
  <si>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</si>
  <si>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</si>
  <si>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</si>
  <si>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</si>
  <si>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</si>
  <si>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</si>
  <si>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</si>
  <si>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</si>
  <si>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</si>
  <si>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</si>
  <si>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</si>
  <si>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</si>
  <si>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</si>
  <si>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</si>
  <si>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</si>
  <si>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</si>
  <si>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</si>
  <si>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</si>
  <si>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</si>
  <si>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</si>
  <si>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</si>
  <si>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</si>
  <si>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</si>
  <si>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</si>
  <si>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</si>
  <si>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</si>
  <si>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</si>
  <si>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</si>
  <si>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</si>
  <si>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</si>
  <si>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</si>
  <si>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</si>
  <si>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</si>
  <si>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</si>
  <si>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</si>
  <si>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</si>
  <si>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</si>
  <si>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PF_TubeMan</t>
  </si>
  <si>
    <t>Archer</t>
  </si>
  <si>
    <t>CarnivorousPlant</t>
  </si>
  <si>
    <t>PF_Tubeman</t>
  </si>
  <si>
    <t>MARKET and CASTLE INTERIOR</t>
  </si>
  <si>
    <t>spawner</t>
  </si>
  <si>
    <t xml:space="preserve">   </t>
  </si>
  <si>
    <t>(Unity: HungryDragons-&gt;Balancing-&gt;SpawnersPrefabCheck)</t>
  </si>
  <si>
    <t>PF_Ring4_Static</t>
  </si>
  <si>
    <t>PF_Ring3_Static</t>
  </si>
  <si>
    <t>PF_Ring3</t>
  </si>
  <si>
    <t>PF_Ring4</t>
  </si>
  <si>
    <t>prefab1</t>
  </si>
  <si>
    <t>prefab2</t>
  </si>
  <si>
    <t>prefab3</t>
  </si>
  <si>
    <t>prefab4</t>
  </si>
  <si>
    <t>txt file in: 'D:\Projects\dragon\client\Docs\Progression\Prefabs.txt'</t>
  </si>
  <si>
    <t>use it for all spawners in a scene, no need to split into areas</t>
  </si>
  <si>
    <t>SP_MEDIEVAL_FINAL_CASTLE_MARKET</t>
  </si>
  <si>
    <t>SP_MEDIEVAL_FINAL_CASTLE_MINES</t>
  </si>
  <si>
    <t>Worker-17</t>
  </si>
  <si>
    <t>Cage</t>
  </si>
  <si>
    <t>Owl</t>
  </si>
  <si>
    <t>Water/PF_TubeMan</t>
  </si>
  <si>
    <t>Water/PF_MagicShark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</si>
</sst>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
      <sz val="11"/>
      <color theme="1"/>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1">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14" fillId="0" borderId="13" xfId="0" applyFont="1" applyBorder="1" applyAlignment="1">
      <alignment vertical="top"/>
    </xf>
    <xf numFmtId="0" fontId="14" fillId="0" borderId="29" xfId="0" applyFont="1" applyBorder="1" applyAlignment="1">
      <alignment vertical="top"/>
    </xf>
  </cellXfs>
  <cellStyles count="1">
    <cellStyle name="Normal" xfId="0" builtinId="0"/>
  </cellStyles>
  <dxfs count="1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HP</c:v>
          </c:tx>
          <c:spPr>
            <a:ln w="28575" cap="rnd">
              <a:solidFill>
                <a:schemeClr val="accent1"/>
              </a:solidFill>
              <a:round/>
            </a:ln>
            <a:effectLst/>
          </c:spPr>
          <c:marker>
            <c:symbol val="none"/>
          </c:marker>
          <c:val>
            <c:numRef>
              <c:f>Dragons!$G$69:$G$426</c:f>
              <c:numCache>
                <c:formatCode>General</c:formatCode>
                <c:ptCount val="358"/>
                <c:pt idx="0">
                  <c:v>94.467500000000001</c:v>
                </c:pt>
                <c:pt idx="1">
                  <c:v>93.927499999999995</c:v>
                </c:pt>
                <c:pt idx="2">
                  <c:v>93.38</c:v>
                </c:pt>
                <c:pt idx="3">
                  <c:v>92.824999999999989</c:v>
                </c:pt>
                <c:pt idx="4">
                  <c:v>92.262499999999989</c:v>
                </c:pt>
                <c:pt idx="5">
                  <c:v>91.692499999999995</c:v>
                </c:pt>
                <c:pt idx="6">
                  <c:v>91.114999999999995</c:v>
                </c:pt>
                <c:pt idx="7">
                  <c:v>90.53</c:v>
                </c:pt>
                <c:pt idx="8">
                  <c:v>89.9375</c:v>
                </c:pt>
                <c:pt idx="9">
                  <c:v>89.337500000000006</c:v>
                </c:pt>
                <c:pt idx="10">
                  <c:v>88.73</c:v>
                </c:pt>
                <c:pt idx="11">
                  <c:v>88.115000000000009</c:v>
                </c:pt>
                <c:pt idx="12">
                  <c:v>87.492500000000007</c:v>
                </c:pt>
                <c:pt idx="13">
                  <c:v>86.862500000000011</c:v>
                </c:pt>
                <c:pt idx="14">
                  <c:v>86.225000000000009</c:v>
                </c:pt>
                <c:pt idx="15">
                  <c:v>85.580000000000013</c:v>
                </c:pt>
                <c:pt idx="16">
                  <c:v>84.927500000000009</c:v>
                </c:pt>
                <c:pt idx="17">
                  <c:v>84.267500000000013</c:v>
                </c:pt>
                <c:pt idx="18">
                  <c:v>83.600000000000009</c:v>
                </c:pt>
                <c:pt idx="19">
                  <c:v>82.925000000000011</c:v>
                </c:pt>
                <c:pt idx="20">
                  <c:v>82.242500000000007</c:v>
                </c:pt>
                <c:pt idx="21">
                  <c:v>81.552500000000009</c:v>
                </c:pt>
                <c:pt idx="22">
                  <c:v>80.855000000000004</c:v>
                </c:pt>
                <c:pt idx="23">
                  <c:v>80.150000000000006</c:v>
                </c:pt>
                <c:pt idx="24">
                  <c:v>79.4375</c:v>
                </c:pt>
                <c:pt idx="25">
                  <c:v>78.717500000000001</c:v>
                </c:pt>
                <c:pt idx="26">
                  <c:v>77.989999999999995</c:v>
                </c:pt>
                <c:pt idx="27">
                  <c:v>77.254999999999995</c:v>
                </c:pt>
                <c:pt idx="28">
                  <c:v>76.512499999999989</c:v>
                </c:pt>
                <c:pt idx="29">
                  <c:v>75.762499999999989</c:v>
                </c:pt>
                <c:pt idx="30">
                  <c:v>74.47999999999999</c:v>
                </c:pt>
                <c:pt idx="31">
                  <c:v>73.189999999999984</c:v>
                </c:pt>
                <c:pt idx="32">
                  <c:v>71.892499999999984</c:v>
                </c:pt>
                <c:pt idx="33">
                  <c:v>70.587499999999977</c:v>
                </c:pt>
                <c:pt idx="34">
                  <c:v>69.274999999999977</c:v>
                </c:pt>
                <c:pt idx="35">
                  <c:v>67.954999999999984</c:v>
                </c:pt>
                <c:pt idx="36">
                  <c:v>66.627499999999984</c:v>
                </c:pt>
                <c:pt idx="37">
                  <c:v>65.29249999999999</c:v>
                </c:pt>
                <c:pt idx="38">
                  <c:v>63.949999999999989</c:v>
                </c:pt>
                <c:pt idx="39">
                  <c:v>62.599999999999987</c:v>
                </c:pt>
                <c:pt idx="40">
                  <c:v>61.242499999999986</c:v>
                </c:pt>
                <c:pt idx="41">
                  <c:v>59.877499999999984</c:v>
                </c:pt>
                <c:pt idx="42">
                  <c:v>58.504999999999981</c:v>
                </c:pt>
                <c:pt idx="43">
                  <c:v>57.124999999999979</c:v>
                </c:pt>
                <c:pt idx="44">
                  <c:v>55.737499999999976</c:v>
                </c:pt>
                <c:pt idx="45">
                  <c:v>54.342499999999973</c:v>
                </c:pt>
                <c:pt idx="46">
                  <c:v>52.939999999999969</c:v>
                </c:pt>
                <c:pt idx="47">
                  <c:v>51.529999999999973</c:v>
                </c:pt>
                <c:pt idx="48">
                  <c:v>50.112499999999976</c:v>
                </c:pt>
                <c:pt idx="49">
                  <c:v>48.687499999999979</c:v>
                </c:pt>
                <c:pt idx="50">
                  <c:v>47.254999999999981</c:v>
                </c:pt>
                <c:pt idx="51">
                  <c:v>45.814999999999984</c:v>
                </c:pt>
                <c:pt idx="52">
                  <c:v>44.367499999999986</c:v>
                </c:pt>
                <c:pt idx="53">
                  <c:v>42.912499999999987</c:v>
                </c:pt>
                <c:pt idx="54">
                  <c:v>41.449999999999989</c:v>
                </c:pt>
                <c:pt idx="55">
                  <c:v>39.97999999999999</c:v>
                </c:pt>
                <c:pt idx="56">
                  <c:v>38.502499999999991</c:v>
                </c:pt>
                <c:pt idx="57">
                  <c:v>37.017499999999991</c:v>
                </c:pt>
                <c:pt idx="58">
                  <c:v>35.524999999999991</c:v>
                </c:pt>
                <c:pt idx="59">
                  <c:v>34.024999999999991</c:v>
                </c:pt>
                <c:pt idx="60">
                  <c:v>32.517499999999991</c:v>
                </c:pt>
                <c:pt idx="61">
                  <c:v>31.002499999999991</c:v>
                </c:pt>
                <c:pt idx="62">
                  <c:v>29.47999999999999</c:v>
                </c:pt>
                <c:pt idx="63">
                  <c:v>27.949999999999989</c:v>
                </c:pt>
                <c:pt idx="64">
                  <c:v>26.412499999999987</c:v>
                </c:pt>
                <c:pt idx="65">
                  <c:v>24.867499999999986</c:v>
                </c:pt>
                <c:pt idx="66">
                  <c:v>23.314999999999987</c:v>
                </c:pt>
                <c:pt idx="67">
                  <c:v>21.754999999999988</c:v>
                </c:pt>
                <c:pt idx="68">
                  <c:v>20.187499999999989</c:v>
                </c:pt>
                <c:pt idx="69">
                  <c:v>18.61249999999999</c:v>
                </c:pt>
                <c:pt idx="70">
                  <c:v>17.02999999999999</c:v>
                </c:pt>
                <c:pt idx="71">
                  <c:v>15.439999999999991</c:v>
                </c:pt>
                <c:pt idx="72">
                  <c:v>13.84249999999999</c:v>
                </c:pt>
                <c:pt idx="73">
                  <c:v>12.23749999999999</c:v>
                </c:pt>
                <c:pt idx="74">
                  <c:v>10.624999999999989</c:v>
                </c:pt>
                <c:pt idx="75">
                  <c:v>9.0049999999999883</c:v>
                </c:pt>
                <c:pt idx="76">
                  <c:v>7.3774999999999888</c:v>
                </c:pt>
                <c:pt idx="77">
                  <c:v>5.7424999999999891</c:v>
                </c:pt>
                <c:pt idx="78">
                  <c:v>4.099999999999989</c:v>
                </c:pt>
                <c:pt idx="79">
                  <c:v>2.4499999999999891</c:v>
                </c:pt>
                <c:pt idx="80">
                  <c:v>0.7924999999999891</c:v>
                </c:pt>
                <c:pt idx="81">
                  <c:v>-0.87250000000001093</c:v>
                </c:pt>
                <c:pt idx="82">
                  <c:v>-2.5450000000000106</c:v>
                </c:pt>
                <c:pt idx="83">
                  <c:v>-4.2250000000000103</c:v>
                </c:pt>
                <c:pt idx="84">
                  <c:v>-5.9125000000000103</c:v>
                </c:pt>
                <c:pt idx="85">
                  <c:v>-7.6075000000000106</c:v>
                </c:pt>
                <c:pt idx="86">
                  <c:v>-9.3100000000000112</c:v>
                </c:pt>
                <c:pt idx="87">
                  <c:v>-11.02000000000001</c:v>
                </c:pt>
                <c:pt idx="88">
                  <c:v>-12.73750000000001</c:v>
                </c:pt>
                <c:pt idx="89">
                  <c:v>-14.462500000000009</c:v>
                </c:pt>
                <c:pt idx="90">
                  <c:v>-16.195000000000007</c:v>
                </c:pt>
                <c:pt idx="91">
                  <c:v>-17.935000000000006</c:v>
                </c:pt>
                <c:pt idx="92">
                  <c:v>-19.682500000000005</c:v>
                </c:pt>
                <c:pt idx="93">
                  <c:v>-21.437500000000004</c:v>
                </c:pt>
                <c:pt idx="94">
                  <c:v>-23.200000000000003</c:v>
                </c:pt>
                <c:pt idx="95">
                  <c:v>-24.970000000000002</c:v>
                </c:pt>
                <c:pt idx="96">
                  <c:v>-26.747500000000002</c:v>
                </c:pt>
                <c:pt idx="97">
                  <c:v>-28.532500000000002</c:v>
                </c:pt>
                <c:pt idx="98">
                  <c:v>-30.325000000000003</c:v>
                </c:pt>
                <c:pt idx="99">
                  <c:v>-32.125</c:v>
                </c:pt>
                <c:pt idx="100">
                  <c:v>-33.932499999999997</c:v>
                </c:pt>
                <c:pt idx="101">
                  <c:v>-35.747499999999995</c:v>
                </c:pt>
                <c:pt idx="102">
                  <c:v>-37.569999999999993</c:v>
                </c:pt>
                <c:pt idx="103">
                  <c:v>-39.399999999999991</c:v>
                </c:pt>
                <c:pt idx="104">
                  <c:v>-41.23749999999999</c:v>
                </c:pt>
                <c:pt idx="105">
                  <c:v>-43.082499999999989</c:v>
                </c:pt>
                <c:pt idx="106">
                  <c:v>-44.934999999999988</c:v>
                </c:pt>
                <c:pt idx="107">
                  <c:v>-46.794999999999987</c:v>
                </c:pt>
                <c:pt idx="108">
                  <c:v>-48.662499999999987</c:v>
                </c:pt>
                <c:pt idx="109">
                  <c:v>-50.537499999999987</c:v>
                </c:pt>
                <c:pt idx="110">
                  <c:v>-52.419999999999987</c:v>
                </c:pt>
                <c:pt idx="111">
                  <c:v>-54.309999999999988</c:v>
                </c:pt>
                <c:pt idx="112">
                  <c:v>-56.207499999999989</c:v>
                </c:pt>
                <c:pt idx="113">
                  <c:v>-58.11249999999999</c:v>
                </c:pt>
                <c:pt idx="114">
                  <c:v>-60.024999999999991</c:v>
                </c:pt>
                <c:pt idx="115">
                  <c:v>-61.944999999999993</c:v>
                </c:pt>
                <c:pt idx="116">
                  <c:v>-63.872499999999995</c:v>
                </c:pt>
                <c:pt idx="117">
                  <c:v>-65.80749999999999</c:v>
                </c:pt>
                <c:pt idx="118">
                  <c:v>-67.749999999999986</c:v>
                </c:pt>
                <c:pt idx="119">
                  <c:v>-69.699999999999989</c:v>
                </c:pt>
                <c:pt idx="120">
                  <c:v>-71.657499999999985</c:v>
                </c:pt>
                <c:pt idx="121">
                  <c:v>-73.622499999999988</c:v>
                </c:pt>
                <c:pt idx="122">
                  <c:v>-75.594999999999985</c:v>
                </c:pt>
                <c:pt idx="123">
                  <c:v>-77.574999999999989</c:v>
                </c:pt>
                <c:pt idx="124">
                  <c:v>-79.562499999999986</c:v>
                </c:pt>
                <c:pt idx="125">
                  <c:v>-81.55749999999999</c:v>
                </c:pt>
                <c:pt idx="126">
                  <c:v>-83.559999999999988</c:v>
                </c:pt>
                <c:pt idx="127">
                  <c:v>-85.57</c:v>
                </c:pt>
                <c:pt idx="128">
                  <c:v>-87.587499999999991</c:v>
                </c:pt>
                <c:pt idx="129">
                  <c:v>-89.612499999999997</c:v>
                </c:pt>
                <c:pt idx="130">
                  <c:v>-91.644999999999996</c:v>
                </c:pt>
                <c:pt idx="131">
                  <c:v>-93.685000000000002</c:v>
                </c:pt>
                <c:pt idx="132">
                  <c:v>-95.732500000000002</c:v>
                </c:pt>
                <c:pt idx="133">
                  <c:v>-97.787499999999994</c:v>
                </c:pt>
                <c:pt idx="134">
                  <c:v>-99.85</c:v>
                </c:pt>
                <c:pt idx="135">
                  <c:v>-101.91999999999999</c:v>
                </c:pt>
                <c:pt idx="136">
                  <c:v>-103.99749999999999</c:v>
                </c:pt>
                <c:pt idx="137">
                  <c:v>-106.08249999999998</c:v>
                </c:pt>
                <c:pt idx="138">
                  <c:v>-108.17499999999998</c:v>
                </c:pt>
                <c:pt idx="139">
                  <c:v>-110.27499999999998</c:v>
                </c:pt>
                <c:pt idx="140">
                  <c:v>-112.38249999999998</c:v>
                </c:pt>
                <c:pt idx="141">
                  <c:v>-114.49749999999997</c:v>
                </c:pt>
                <c:pt idx="142">
                  <c:v>-116.61999999999998</c:v>
                </c:pt>
                <c:pt idx="143">
                  <c:v>-118.74999999999997</c:v>
                </c:pt>
                <c:pt idx="144">
                  <c:v>-120.88749999999997</c:v>
                </c:pt>
                <c:pt idx="145">
                  <c:v>-123.03249999999997</c:v>
                </c:pt>
                <c:pt idx="146">
                  <c:v>-125.18499999999997</c:v>
                </c:pt>
                <c:pt idx="147">
                  <c:v>-127.34499999999997</c:v>
                </c:pt>
                <c:pt idx="148">
                  <c:v>-129.51249999999996</c:v>
                </c:pt>
                <c:pt idx="149">
                  <c:v>-131.68749999999997</c:v>
                </c:pt>
                <c:pt idx="150">
                  <c:v>-133.86999999999998</c:v>
                </c:pt>
                <c:pt idx="151">
                  <c:v>-136.05999999999997</c:v>
                </c:pt>
                <c:pt idx="152">
                  <c:v>-138.25749999999996</c:v>
                </c:pt>
                <c:pt idx="153">
                  <c:v>-140.46249999999998</c:v>
                </c:pt>
                <c:pt idx="154">
                  <c:v>-142.67499999999998</c:v>
                </c:pt>
                <c:pt idx="155">
                  <c:v>-144.89499999999998</c:v>
                </c:pt>
                <c:pt idx="156">
                  <c:v>-147.12249999999997</c:v>
                </c:pt>
                <c:pt idx="157">
                  <c:v>-149.35749999999999</c:v>
                </c:pt>
                <c:pt idx="158">
                  <c:v>-151.6</c:v>
                </c:pt>
                <c:pt idx="159">
                  <c:v>-153.85</c:v>
                </c:pt>
                <c:pt idx="160">
                  <c:v>-156.10749999999999</c:v>
                </c:pt>
                <c:pt idx="161">
                  <c:v>-158.37249999999997</c:v>
                </c:pt>
                <c:pt idx="162">
                  <c:v>-160.64499999999998</c:v>
                </c:pt>
                <c:pt idx="163">
                  <c:v>-162.92499999999998</c:v>
                </c:pt>
                <c:pt idx="164">
                  <c:v>-165.21249999999998</c:v>
                </c:pt>
                <c:pt idx="165">
                  <c:v>-167.50749999999996</c:v>
                </c:pt>
                <c:pt idx="166">
                  <c:v>-169.80999999999997</c:v>
                </c:pt>
                <c:pt idx="167">
                  <c:v>-172.11999999999998</c:v>
                </c:pt>
                <c:pt idx="168">
                  <c:v>-174.43749999999997</c:v>
                </c:pt>
                <c:pt idx="169">
                  <c:v>-176.76249999999996</c:v>
                </c:pt>
                <c:pt idx="170">
                  <c:v>-179.09499999999997</c:v>
                </c:pt>
                <c:pt idx="171">
                  <c:v>-181.43499999999997</c:v>
                </c:pt>
                <c:pt idx="172">
                  <c:v>-183.78249999999997</c:v>
                </c:pt>
                <c:pt idx="173">
                  <c:v>-186.13749999999996</c:v>
                </c:pt>
                <c:pt idx="174">
                  <c:v>-188.49999999999997</c:v>
                </c:pt>
                <c:pt idx="175">
                  <c:v>-190.86999999999998</c:v>
                </c:pt>
                <c:pt idx="176">
                  <c:v>-193.24749999999997</c:v>
                </c:pt>
                <c:pt idx="177">
                  <c:v>-195.63249999999996</c:v>
                </c:pt>
                <c:pt idx="178">
                  <c:v>-198.02499999999998</c:v>
                </c:pt>
                <c:pt idx="179">
                  <c:v>-200.42499999999998</c:v>
                </c:pt>
                <c:pt idx="180">
                  <c:v>-202.83249999999998</c:v>
                </c:pt>
                <c:pt idx="181">
                  <c:v>-205.24749999999997</c:v>
                </c:pt>
                <c:pt idx="182">
                  <c:v>-207.67</c:v>
                </c:pt>
                <c:pt idx="183">
                  <c:v>-210.1</c:v>
                </c:pt>
                <c:pt idx="184">
                  <c:v>-212.53749999999999</c:v>
                </c:pt>
                <c:pt idx="185">
                  <c:v>-214.98249999999999</c:v>
                </c:pt>
                <c:pt idx="186">
                  <c:v>-217.43499999999997</c:v>
                </c:pt>
                <c:pt idx="187">
                  <c:v>-219.89499999999998</c:v>
                </c:pt>
                <c:pt idx="188">
                  <c:v>-222.36249999999998</c:v>
                </c:pt>
                <c:pt idx="189">
                  <c:v>-224.83749999999998</c:v>
                </c:pt>
                <c:pt idx="190">
                  <c:v>-227.31999999999996</c:v>
                </c:pt>
                <c:pt idx="191">
                  <c:v>-229.80999999999997</c:v>
                </c:pt>
                <c:pt idx="192">
                  <c:v>-232.30749999999998</c:v>
                </c:pt>
                <c:pt idx="193">
                  <c:v>-234.81249999999997</c:v>
                </c:pt>
                <c:pt idx="194">
                  <c:v>-237.32499999999996</c:v>
                </c:pt>
                <c:pt idx="195">
                  <c:v>-239.84499999999997</c:v>
                </c:pt>
                <c:pt idx="196">
                  <c:v>-242.37249999999997</c:v>
                </c:pt>
                <c:pt idx="197">
                  <c:v>-244.90749999999997</c:v>
                </c:pt>
                <c:pt idx="198">
                  <c:v>-247.44999999999996</c:v>
                </c:pt>
                <c:pt idx="199">
                  <c:v>-249.99999999999997</c:v>
                </c:pt>
                <c:pt idx="200">
                  <c:v>-252.55749999999998</c:v>
                </c:pt>
                <c:pt idx="201">
                  <c:v>-255.12249999999997</c:v>
                </c:pt>
                <c:pt idx="202">
                  <c:v>-257.69499999999999</c:v>
                </c:pt>
                <c:pt idx="203">
                  <c:v>-260.27499999999998</c:v>
                </c:pt>
                <c:pt idx="204">
                  <c:v>-262.86249999999995</c:v>
                </c:pt>
                <c:pt idx="205">
                  <c:v>-265.45749999999998</c:v>
                </c:pt>
                <c:pt idx="206">
                  <c:v>-268.06</c:v>
                </c:pt>
                <c:pt idx="207">
                  <c:v>-270.67</c:v>
                </c:pt>
                <c:pt idx="208">
                  <c:v>-273.28750000000002</c:v>
                </c:pt>
                <c:pt idx="209">
                  <c:v>-275.91250000000002</c:v>
                </c:pt>
                <c:pt idx="210">
                  <c:v>-278.54500000000002</c:v>
                </c:pt>
                <c:pt idx="211">
                  <c:v>-281.185</c:v>
                </c:pt>
                <c:pt idx="212">
                  <c:v>-283.83249999999998</c:v>
                </c:pt>
                <c:pt idx="213">
                  <c:v>-286.48749999999995</c:v>
                </c:pt>
                <c:pt idx="214">
                  <c:v>-289.14999999999998</c:v>
                </c:pt>
                <c:pt idx="215">
                  <c:v>-291.82</c:v>
                </c:pt>
                <c:pt idx="216">
                  <c:v>-294.4975</c:v>
                </c:pt>
                <c:pt idx="217">
                  <c:v>-297.1825</c:v>
                </c:pt>
                <c:pt idx="218">
                  <c:v>-299.875</c:v>
                </c:pt>
                <c:pt idx="219">
                  <c:v>-302.57499999999999</c:v>
                </c:pt>
                <c:pt idx="220">
                  <c:v>-305.28249999999997</c:v>
                </c:pt>
                <c:pt idx="221">
                  <c:v>-307.99749999999995</c:v>
                </c:pt>
                <c:pt idx="222">
                  <c:v>-310.71999999999997</c:v>
                </c:pt>
                <c:pt idx="223">
                  <c:v>-313.45</c:v>
                </c:pt>
                <c:pt idx="224">
                  <c:v>-316.1875</c:v>
                </c:pt>
                <c:pt idx="225">
                  <c:v>-318.9325</c:v>
                </c:pt>
                <c:pt idx="226">
                  <c:v>-321.685</c:v>
                </c:pt>
                <c:pt idx="227">
                  <c:v>-324.44499999999999</c:v>
                </c:pt>
                <c:pt idx="228">
                  <c:v>-327.21249999999998</c:v>
                </c:pt>
                <c:pt idx="229">
                  <c:v>-329.98749999999995</c:v>
                </c:pt>
                <c:pt idx="230">
                  <c:v>-332.77</c:v>
                </c:pt>
                <c:pt idx="231">
                  <c:v>-335.56</c:v>
                </c:pt>
                <c:pt idx="232">
                  <c:v>-338.35750000000002</c:v>
                </c:pt>
                <c:pt idx="233">
                  <c:v>-341.16250000000002</c:v>
                </c:pt>
                <c:pt idx="234">
                  <c:v>-343.97500000000002</c:v>
                </c:pt>
                <c:pt idx="235">
                  <c:v>-346.79500000000002</c:v>
                </c:pt>
                <c:pt idx="236">
                  <c:v>-349.6225</c:v>
                </c:pt>
                <c:pt idx="237">
                  <c:v>-352.45749999999998</c:v>
                </c:pt>
                <c:pt idx="238">
                  <c:v>-355.29999999999995</c:v>
                </c:pt>
                <c:pt idx="239">
                  <c:v>-358.15</c:v>
                </c:pt>
                <c:pt idx="240">
                  <c:v>-361.00749999999999</c:v>
                </c:pt>
                <c:pt idx="241">
                  <c:v>-363.8725</c:v>
                </c:pt>
                <c:pt idx="242">
                  <c:v>-366.745</c:v>
                </c:pt>
                <c:pt idx="243">
                  <c:v>-369.625</c:v>
                </c:pt>
                <c:pt idx="244">
                  <c:v>-372.51249999999999</c:v>
                </c:pt>
                <c:pt idx="245">
                  <c:v>-375.40749999999997</c:v>
                </c:pt>
                <c:pt idx="246">
                  <c:v>-378.30999999999995</c:v>
                </c:pt>
                <c:pt idx="247">
                  <c:v>-381.21999999999997</c:v>
                </c:pt>
                <c:pt idx="248">
                  <c:v>-384.13749999999999</c:v>
                </c:pt>
                <c:pt idx="249">
                  <c:v>-387.0625</c:v>
                </c:pt>
                <c:pt idx="250">
                  <c:v>-389.995</c:v>
                </c:pt>
                <c:pt idx="251">
                  <c:v>-392.935</c:v>
                </c:pt>
                <c:pt idx="252">
                  <c:v>-395.88249999999999</c:v>
                </c:pt>
                <c:pt idx="253">
                  <c:v>-398.83749999999998</c:v>
                </c:pt>
                <c:pt idx="254">
                  <c:v>-401.79999999999995</c:v>
                </c:pt>
                <c:pt idx="255">
                  <c:v>-404.77</c:v>
                </c:pt>
                <c:pt idx="256">
                  <c:v>-407.7475</c:v>
                </c:pt>
                <c:pt idx="257">
                  <c:v>-410.73250000000002</c:v>
                </c:pt>
                <c:pt idx="258">
                  <c:v>-413.72500000000002</c:v>
                </c:pt>
                <c:pt idx="259">
                  <c:v>-416.72500000000002</c:v>
                </c:pt>
                <c:pt idx="260">
                  <c:v>-419.73250000000002</c:v>
                </c:pt>
                <c:pt idx="261">
                  <c:v>-422.7475</c:v>
                </c:pt>
                <c:pt idx="262">
                  <c:v>-425.77</c:v>
                </c:pt>
                <c:pt idx="263">
                  <c:v>-428.79999999999995</c:v>
                </c:pt>
                <c:pt idx="264">
                  <c:v>-431.83749999999998</c:v>
                </c:pt>
                <c:pt idx="265">
                  <c:v>-434.88249999999999</c:v>
                </c:pt>
                <c:pt idx="266">
                  <c:v>-437.935</c:v>
                </c:pt>
                <c:pt idx="267">
                  <c:v>-440.995</c:v>
                </c:pt>
                <c:pt idx="268">
                  <c:v>-444.0625</c:v>
                </c:pt>
                <c:pt idx="269">
                  <c:v>-447.13749999999999</c:v>
                </c:pt>
                <c:pt idx="270">
                  <c:v>-450.21999999999997</c:v>
                </c:pt>
                <c:pt idx="271">
                  <c:v>-453.30999999999995</c:v>
                </c:pt>
                <c:pt idx="272">
                  <c:v>-456.40749999999997</c:v>
                </c:pt>
                <c:pt idx="273">
                  <c:v>-459.51249999999999</c:v>
                </c:pt>
                <c:pt idx="274">
                  <c:v>-462.625</c:v>
                </c:pt>
                <c:pt idx="275">
                  <c:v>-465.745</c:v>
                </c:pt>
                <c:pt idx="276">
                  <c:v>-468.8725</c:v>
                </c:pt>
                <c:pt idx="277">
                  <c:v>-472.00749999999999</c:v>
                </c:pt>
                <c:pt idx="278">
                  <c:v>-475.15</c:v>
                </c:pt>
                <c:pt idx="279">
                  <c:v>-478.29999999999995</c:v>
                </c:pt>
                <c:pt idx="280">
                  <c:v>-481.45749999999998</c:v>
                </c:pt>
                <c:pt idx="281">
                  <c:v>-484.6225</c:v>
                </c:pt>
                <c:pt idx="282">
                  <c:v>-487.79500000000002</c:v>
                </c:pt>
                <c:pt idx="283">
                  <c:v>-490.97500000000002</c:v>
                </c:pt>
                <c:pt idx="284">
                  <c:v>-494.16250000000002</c:v>
                </c:pt>
                <c:pt idx="285">
                  <c:v>-497.35750000000002</c:v>
                </c:pt>
                <c:pt idx="286">
                  <c:v>-500.56</c:v>
                </c:pt>
                <c:pt idx="287">
                  <c:v>-503.77</c:v>
                </c:pt>
                <c:pt idx="288">
                  <c:v>-506.98749999999995</c:v>
                </c:pt>
                <c:pt idx="289">
                  <c:v>-510.21249999999998</c:v>
                </c:pt>
                <c:pt idx="290">
                  <c:v>-513.44499999999994</c:v>
                </c:pt>
                <c:pt idx="291">
                  <c:v>-516.68499999999995</c:v>
                </c:pt>
                <c:pt idx="292">
                  <c:v>-519.93249999999989</c:v>
                </c:pt>
                <c:pt idx="293">
                  <c:v>-523.18749999999989</c:v>
                </c:pt>
                <c:pt idx="294">
                  <c:v>-526.44999999999993</c:v>
                </c:pt>
                <c:pt idx="295">
                  <c:v>-529.71999999999991</c:v>
                </c:pt>
                <c:pt idx="296">
                  <c:v>-532.99749999999995</c:v>
                </c:pt>
                <c:pt idx="297">
                  <c:v>-536.28249999999991</c:v>
                </c:pt>
                <c:pt idx="298">
                  <c:v>-539.57499999999993</c:v>
                </c:pt>
                <c:pt idx="299">
                  <c:v>-542.87499999999989</c:v>
                </c:pt>
                <c:pt idx="300">
                  <c:v>-546.18249999999989</c:v>
                </c:pt>
                <c:pt idx="301">
                  <c:v>-549.49749999999995</c:v>
                </c:pt>
                <c:pt idx="302">
                  <c:v>-552.81999999999994</c:v>
                </c:pt>
                <c:pt idx="303">
                  <c:v>-556.15</c:v>
                </c:pt>
                <c:pt idx="304">
                  <c:v>-559.48749999999995</c:v>
                </c:pt>
                <c:pt idx="305">
                  <c:v>-562.83249999999998</c:v>
                </c:pt>
                <c:pt idx="306">
                  <c:v>-566.18499999999995</c:v>
                </c:pt>
                <c:pt idx="307">
                  <c:v>-569.54499999999996</c:v>
                </c:pt>
                <c:pt idx="308">
                  <c:v>-572.91249999999991</c:v>
                </c:pt>
                <c:pt idx="309">
                  <c:v>-576.28749999999991</c:v>
                </c:pt>
                <c:pt idx="310">
                  <c:v>-579.66999999999996</c:v>
                </c:pt>
                <c:pt idx="311">
                  <c:v>-583.05999999999995</c:v>
                </c:pt>
                <c:pt idx="312">
                  <c:v>-586.45749999999998</c:v>
                </c:pt>
                <c:pt idx="313">
                  <c:v>-589.86249999999995</c:v>
                </c:pt>
                <c:pt idx="314">
                  <c:v>-593.27499999999998</c:v>
                </c:pt>
                <c:pt idx="315">
                  <c:v>-596.69499999999994</c:v>
                </c:pt>
                <c:pt idx="316">
                  <c:v>-600.12249999999995</c:v>
                </c:pt>
                <c:pt idx="317">
                  <c:v>-603.55749999999989</c:v>
                </c:pt>
                <c:pt idx="318">
                  <c:v>-606.99999999999989</c:v>
                </c:pt>
                <c:pt idx="319">
                  <c:v>-610.44999999999993</c:v>
                </c:pt>
                <c:pt idx="320">
                  <c:v>-613.90749999999991</c:v>
                </c:pt>
                <c:pt idx="321">
                  <c:v>-617.37249999999995</c:v>
                </c:pt>
                <c:pt idx="322">
                  <c:v>-620.84499999999991</c:v>
                </c:pt>
                <c:pt idx="323">
                  <c:v>-624.32499999999993</c:v>
                </c:pt>
                <c:pt idx="324">
                  <c:v>-627.81249999999989</c:v>
                </c:pt>
                <c:pt idx="325">
                  <c:v>-631.30749999999989</c:v>
                </c:pt>
                <c:pt idx="326">
                  <c:v>-634.80999999999995</c:v>
                </c:pt>
                <c:pt idx="327">
                  <c:v>-638.31999999999994</c:v>
                </c:pt>
                <c:pt idx="328">
                  <c:v>-641.83749999999998</c:v>
                </c:pt>
                <c:pt idx="329">
                  <c:v>-645.36249999999995</c:v>
                </c:pt>
                <c:pt idx="330">
                  <c:v>-648.89499999999998</c:v>
                </c:pt>
                <c:pt idx="331">
                  <c:v>-652.43499999999995</c:v>
                </c:pt>
                <c:pt idx="332">
                  <c:v>-655.98249999999996</c:v>
                </c:pt>
                <c:pt idx="333">
                  <c:v>-659.53749999999991</c:v>
                </c:pt>
                <c:pt idx="334">
                  <c:v>-663.09999999999991</c:v>
                </c:pt>
                <c:pt idx="335">
                  <c:v>-666.67</c:v>
                </c:pt>
                <c:pt idx="336">
                  <c:v>-670.24749999999995</c:v>
                </c:pt>
                <c:pt idx="337">
                  <c:v>-673.83249999999998</c:v>
                </c:pt>
                <c:pt idx="338">
                  <c:v>-677.42499999999995</c:v>
                </c:pt>
                <c:pt idx="339">
                  <c:v>-681.02499999999998</c:v>
                </c:pt>
                <c:pt idx="340">
                  <c:v>-684.63249999999994</c:v>
                </c:pt>
                <c:pt idx="341">
                  <c:v>-688.24749999999995</c:v>
                </c:pt>
                <c:pt idx="342">
                  <c:v>-691.86999999999989</c:v>
                </c:pt>
                <c:pt idx="343">
                  <c:v>-695.49999999999989</c:v>
                </c:pt>
                <c:pt idx="344">
                  <c:v>-699.13749999999993</c:v>
                </c:pt>
                <c:pt idx="345">
                  <c:v>-702.78249999999991</c:v>
                </c:pt>
                <c:pt idx="346">
                  <c:v>-706.43499999999995</c:v>
                </c:pt>
                <c:pt idx="347">
                  <c:v>-710.09499999999991</c:v>
                </c:pt>
                <c:pt idx="348">
                  <c:v>-713.76249999999993</c:v>
                </c:pt>
                <c:pt idx="349">
                  <c:v>-717.43749999999989</c:v>
                </c:pt>
                <c:pt idx="350">
                  <c:v>-721.11999999999989</c:v>
                </c:pt>
                <c:pt idx="351">
                  <c:v>-724.81</c:v>
                </c:pt>
                <c:pt idx="352">
                  <c:v>-728.50749999999994</c:v>
                </c:pt>
                <c:pt idx="353">
                  <c:v>-732.21249999999998</c:v>
                </c:pt>
                <c:pt idx="354">
                  <c:v>-735.92499999999995</c:v>
                </c:pt>
                <c:pt idx="355">
                  <c:v>-739.64499999999998</c:v>
                </c:pt>
                <c:pt idx="356">
                  <c:v>-743.37249999999995</c:v>
                </c:pt>
                <c:pt idx="357">
                  <c:v>-747.10749999999996</c:v>
                </c:pt>
              </c:numCache>
            </c:numRef>
          </c:val>
          <c:smooth val="0"/>
          <c:extLst>
            <c:ext xmlns:c16="http://schemas.microsoft.com/office/drawing/2014/chart" uri="{C3380CC4-5D6E-409C-BE32-E72D297353CC}">
              <c16:uniqueId val="{00000000-590E-4609-A740-4CECF9DAD005}"/>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787</c:v>
                </c:pt>
                <c:pt idx="1">
                  <c:v>1616</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497</c:v>
                </c:pt>
                <c:pt idx="1">
                  <c:v>1448</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192326</c:v>
                </c:pt>
                <c:pt idx="1">
                  <c:v>140015</c:v>
                </c:pt>
                <c:pt idx="2">
                  <c:v>132702</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27</c:v>
                </c:pt>
                <c:pt idx="1">
                  <c:v>97</c:v>
                </c:pt>
                <c:pt idx="2">
                  <c:v>61</c:v>
                </c:pt>
                <c:pt idx="3">
                  <c:v>72</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13</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341</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10.37</c:v>
                </c:pt>
                <c:pt idx="1">
                  <c:v>5.8</c:v>
                </c:pt>
                <c:pt idx="2">
                  <c:v>5.2</c:v>
                </c:pt>
                <c:pt idx="3">
                  <c:v>5</c:v>
                </c:pt>
                <c:pt idx="4">
                  <c:v>2.8</c:v>
                </c:pt>
                <c:pt idx="5">
                  <c:v>70.83</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96</c:v>
                </c:pt>
                <c:pt idx="1">
                  <c:v>289</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223</c:v>
                </c:pt>
                <c:pt idx="1">
                  <c:v>375</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252</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27</c:v>
                </c:pt>
                <c:pt idx="1">
                  <c:v>97</c:v>
                </c:pt>
                <c:pt idx="2">
                  <c:v>61</c:v>
                </c:pt>
                <c:pt idx="3">
                  <c:v>72</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49942</c:v>
                </c:pt>
                <c:pt idx="1">
                  <c:v>17474</c:v>
                </c:pt>
                <c:pt idx="2">
                  <c:v>4618</c:v>
                </c:pt>
                <c:pt idx="3">
                  <c:v>30448</c:v>
                </c:pt>
                <c:pt idx="4">
                  <c:v>11948</c:v>
                </c:pt>
                <c:pt idx="5">
                  <c:v>22683</c:v>
                </c:pt>
                <c:pt idx="6">
                  <c:v>39537</c:v>
                </c:pt>
                <c:pt idx="7">
                  <c:v>15676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59</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59</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Worker</c:v>
                </c:pt>
                <c:pt idx="5">
                  <c:v>Others</c:v>
                </c:pt>
              </c:strCache>
            </c:strRef>
          </c:cat>
          <c:val>
            <c:numRef>
              <c:f>'Prog. "Village"'!$F$96:$F$101</c:f>
              <c:numCache>
                <c:formatCode>General</c:formatCode>
                <c:ptCount val="6"/>
                <c:pt idx="0">
                  <c:v>15.53</c:v>
                </c:pt>
                <c:pt idx="1">
                  <c:v>11.92</c:v>
                </c:pt>
                <c:pt idx="2">
                  <c:v>8.17</c:v>
                </c:pt>
                <c:pt idx="3">
                  <c:v>4.2300000000000004</c:v>
                </c:pt>
                <c:pt idx="4">
                  <c:v>3.42</c:v>
                </c:pt>
                <c:pt idx="5">
                  <c:v>56.730000000000004</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306</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449</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449</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150</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41004</c:v>
                </c:pt>
                <c:pt idx="1">
                  <c:v>12213</c:v>
                </c:pt>
                <c:pt idx="2">
                  <c:v>25410</c:v>
                </c:pt>
                <c:pt idx="3">
                  <c:v>56642</c:v>
                </c:pt>
                <c:pt idx="4">
                  <c:v>4746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13</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209</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SpiderSmall</c:v>
                </c:pt>
                <c:pt idx="1">
                  <c:v>Miner</c:v>
                </c:pt>
                <c:pt idx="2">
                  <c:v>BatSmall_Flock</c:v>
                </c:pt>
                <c:pt idx="3">
                  <c:v>Canary</c:v>
                </c:pt>
                <c:pt idx="4">
                  <c:v>Fish</c:v>
                </c:pt>
                <c:pt idx="5">
                  <c:v>Others</c:v>
                </c:pt>
              </c:strCache>
            </c:strRef>
          </c:cat>
          <c:val>
            <c:numRef>
              <c:f>'Prog. "Castle"'!$F$82:$F$87</c:f>
              <c:numCache>
                <c:formatCode>General</c:formatCode>
                <c:ptCount val="6"/>
                <c:pt idx="0">
                  <c:v>12.38</c:v>
                </c:pt>
                <c:pt idx="1">
                  <c:v>10.68</c:v>
                </c:pt>
                <c:pt idx="2">
                  <c:v>6.82</c:v>
                </c:pt>
                <c:pt idx="3">
                  <c:v>5.56</c:v>
                </c:pt>
                <c:pt idx="4">
                  <c:v>4.5599999999999996</c:v>
                </c:pt>
                <c:pt idx="5">
                  <c:v>59.999999999999993</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87</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56</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43179</c:v>
                </c:pt>
                <c:pt idx="1">
                  <c:v>26074</c:v>
                </c:pt>
                <c:pt idx="2">
                  <c:v>25023</c:v>
                </c:pt>
                <c:pt idx="3">
                  <c:v>31505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HermitCrabBlueSmall</c:v>
                </c:pt>
                <c:pt idx="3">
                  <c:v>Firefly</c:v>
                </c:pt>
                <c:pt idx="4">
                  <c:v>Crow_Flock</c:v>
                </c:pt>
                <c:pt idx="5">
                  <c:v>Others</c:v>
                </c:pt>
              </c:strCache>
            </c:strRef>
          </c:cat>
          <c:val>
            <c:numRef>
              <c:f>'Prog. "Dark"'!$F$83:$F$88</c:f>
              <c:numCache>
                <c:formatCode>General</c:formatCode>
                <c:ptCount val="6"/>
                <c:pt idx="0">
                  <c:v>10.06</c:v>
                </c:pt>
                <c:pt idx="1">
                  <c:v>9.49</c:v>
                </c:pt>
                <c:pt idx="2">
                  <c:v>5.26</c:v>
                </c:pt>
                <c:pt idx="3">
                  <c:v>4.04</c:v>
                </c:pt>
                <c:pt idx="4">
                  <c:v>3.95</c:v>
                </c:pt>
                <c:pt idx="5">
                  <c:v>67.199999999999989</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Drain</c:v>
          </c:tx>
          <c:spPr>
            <a:ln w="28575" cap="rnd">
              <a:solidFill>
                <a:schemeClr val="accent1"/>
              </a:solidFill>
              <a:round/>
            </a:ln>
            <a:effectLst/>
          </c:spPr>
          <c:marker>
            <c:symbol val="none"/>
          </c:marker>
          <c:val>
            <c:numRef>
              <c:f>Dragons!$E$69:$E$426</c:f>
              <c:numCache>
                <c:formatCode>General</c:formatCode>
                <c:ptCount val="358"/>
                <c:pt idx="0">
                  <c:v>0.53249999999999997</c:v>
                </c:pt>
                <c:pt idx="1">
                  <c:v>0.54</c:v>
                </c:pt>
                <c:pt idx="2">
                  <c:v>0.54749999999999999</c:v>
                </c:pt>
                <c:pt idx="3">
                  <c:v>0.55500000000000005</c:v>
                </c:pt>
                <c:pt idx="4">
                  <c:v>0.5625</c:v>
                </c:pt>
                <c:pt idx="5">
                  <c:v>0.57000000000000006</c:v>
                </c:pt>
                <c:pt idx="6">
                  <c:v>0.57750000000000001</c:v>
                </c:pt>
                <c:pt idx="7">
                  <c:v>0.58499999999999996</c:v>
                </c:pt>
                <c:pt idx="8">
                  <c:v>0.59250000000000003</c:v>
                </c:pt>
                <c:pt idx="9">
                  <c:v>0.6</c:v>
                </c:pt>
                <c:pt idx="10">
                  <c:v>0.60750000000000004</c:v>
                </c:pt>
                <c:pt idx="11">
                  <c:v>0.61499999999999999</c:v>
                </c:pt>
                <c:pt idx="12">
                  <c:v>0.62250000000000005</c:v>
                </c:pt>
                <c:pt idx="13">
                  <c:v>0.63</c:v>
                </c:pt>
                <c:pt idx="14">
                  <c:v>0.63749999999999996</c:v>
                </c:pt>
                <c:pt idx="15">
                  <c:v>0.64500000000000002</c:v>
                </c:pt>
                <c:pt idx="16">
                  <c:v>0.65250000000000008</c:v>
                </c:pt>
                <c:pt idx="17">
                  <c:v>0.66</c:v>
                </c:pt>
                <c:pt idx="18">
                  <c:v>0.66749999999999998</c:v>
                </c:pt>
                <c:pt idx="19">
                  <c:v>0.67500000000000004</c:v>
                </c:pt>
                <c:pt idx="20">
                  <c:v>0.6825</c:v>
                </c:pt>
                <c:pt idx="21">
                  <c:v>0.69</c:v>
                </c:pt>
                <c:pt idx="22">
                  <c:v>0.69750000000000001</c:v>
                </c:pt>
                <c:pt idx="23">
                  <c:v>0.70500000000000007</c:v>
                </c:pt>
                <c:pt idx="24">
                  <c:v>0.71250000000000002</c:v>
                </c:pt>
                <c:pt idx="25">
                  <c:v>0.72</c:v>
                </c:pt>
                <c:pt idx="26">
                  <c:v>0.72750000000000004</c:v>
                </c:pt>
                <c:pt idx="27">
                  <c:v>0.73499999999999999</c:v>
                </c:pt>
                <c:pt idx="28">
                  <c:v>0.74250000000000005</c:v>
                </c:pt>
                <c:pt idx="29">
                  <c:v>0.75</c:v>
                </c:pt>
                <c:pt idx="30">
                  <c:v>1.2825</c:v>
                </c:pt>
                <c:pt idx="31">
                  <c:v>1.29</c:v>
                </c:pt>
                <c:pt idx="32">
                  <c:v>1.2975000000000001</c:v>
                </c:pt>
                <c:pt idx="33">
                  <c:v>1.3050000000000002</c:v>
                </c:pt>
                <c:pt idx="34">
                  <c:v>1.3125</c:v>
                </c:pt>
                <c:pt idx="35">
                  <c:v>1.32</c:v>
                </c:pt>
                <c:pt idx="36">
                  <c:v>1.3275000000000001</c:v>
                </c:pt>
                <c:pt idx="37">
                  <c:v>1.335</c:v>
                </c:pt>
                <c:pt idx="38">
                  <c:v>1.3425</c:v>
                </c:pt>
                <c:pt idx="39">
                  <c:v>1.35</c:v>
                </c:pt>
                <c:pt idx="40">
                  <c:v>1.3574999999999999</c:v>
                </c:pt>
                <c:pt idx="41">
                  <c:v>1.365</c:v>
                </c:pt>
                <c:pt idx="42">
                  <c:v>1.3725000000000001</c:v>
                </c:pt>
                <c:pt idx="43">
                  <c:v>1.38</c:v>
                </c:pt>
                <c:pt idx="44">
                  <c:v>1.3875</c:v>
                </c:pt>
                <c:pt idx="45">
                  <c:v>1.395</c:v>
                </c:pt>
                <c:pt idx="46">
                  <c:v>1.4025000000000001</c:v>
                </c:pt>
                <c:pt idx="47">
                  <c:v>1.4100000000000001</c:v>
                </c:pt>
                <c:pt idx="48">
                  <c:v>1.4175</c:v>
                </c:pt>
                <c:pt idx="49">
                  <c:v>1.425</c:v>
                </c:pt>
                <c:pt idx="50">
                  <c:v>1.4325000000000001</c:v>
                </c:pt>
                <c:pt idx="51">
                  <c:v>1.44</c:v>
                </c:pt>
                <c:pt idx="52">
                  <c:v>1.4475</c:v>
                </c:pt>
                <c:pt idx="53">
                  <c:v>1.4550000000000001</c:v>
                </c:pt>
                <c:pt idx="54">
                  <c:v>1.4624999999999999</c:v>
                </c:pt>
                <c:pt idx="55">
                  <c:v>1.47</c:v>
                </c:pt>
                <c:pt idx="56">
                  <c:v>1.4775</c:v>
                </c:pt>
                <c:pt idx="57">
                  <c:v>1.4850000000000001</c:v>
                </c:pt>
                <c:pt idx="58">
                  <c:v>1.4925000000000002</c:v>
                </c:pt>
                <c:pt idx="59">
                  <c:v>1.5</c:v>
                </c:pt>
                <c:pt idx="60">
                  <c:v>1.5075000000000001</c:v>
                </c:pt>
                <c:pt idx="61">
                  <c:v>1.5150000000000001</c:v>
                </c:pt>
                <c:pt idx="62">
                  <c:v>1.5225</c:v>
                </c:pt>
                <c:pt idx="63">
                  <c:v>1.53</c:v>
                </c:pt>
                <c:pt idx="64">
                  <c:v>1.5375000000000001</c:v>
                </c:pt>
                <c:pt idx="65">
                  <c:v>1.5449999999999999</c:v>
                </c:pt>
                <c:pt idx="66">
                  <c:v>1.5525</c:v>
                </c:pt>
                <c:pt idx="67">
                  <c:v>1.56</c:v>
                </c:pt>
                <c:pt idx="68">
                  <c:v>1.5674999999999999</c:v>
                </c:pt>
                <c:pt idx="69">
                  <c:v>1.5750000000000002</c:v>
                </c:pt>
                <c:pt idx="70">
                  <c:v>1.5825</c:v>
                </c:pt>
                <c:pt idx="71">
                  <c:v>1.59</c:v>
                </c:pt>
                <c:pt idx="72">
                  <c:v>1.5975000000000001</c:v>
                </c:pt>
                <c:pt idx="73">
                  <c:v>1.605</c:v>
                </c:pt>
                <c:pt idx="74">
                  <c:v>1.6125</c:v>
                </c:pt>
                <c:pt idx="75">
                  <c:v>1.62</c:v>
                </c:pt>
                <c:pt idx="76">
                  <c:v>1.6274999999999999</c:v>
                </c:pt>
                <c:pt idx="77">
                  <c:v>1.635</c:v>
                </c:pt>
                <c:pt idx="78">
                  <c:v>1.6425000000000001</c:v>
                </c:pt>
                <c:pt idx="79">
                  <c:v>1.65</c:v>
                </c:pt>
                <c:pt idx="80">
                  <c:v>1.6575</c:v>
                </c:pt>
                <c:pt idx="81">
                  <c:v>1.665</c:v>
                </c:pt>
                <c:pt idx="82">
                  <c:v>1.6724999999999999</c:v>
                </c:pt>
                <c:pt idx="83">
                  <c:v>1.6800000000000002</c:v>
                </c:pt>
                <c:pt idx="84">
                  <c:v>1.6875</c:v>
                </c:pt>
                <c:pt idx="85">
                  <c:v>1.6950000000000001</c:v>
                </c:pt>
                <c:pt idx="86">
                  <c:v>1.7025000000000001</c:v>
                </c:pt>
                <c:pt idx="87">
                  <c:v>1.71</c:v>
                </c:pt>
                <c:pt idx="88">
                  <c:v>1.7175</c:v>
                </c:pt>
                <c:pt idx="89">
                  <c:v>1.7250000000000001</c:v>
                </c:pt>
                <c:pt idx="90">
                  <c:v>1.7324999999999999</c:v>
                </c:pt>
                <c:pt idx="91">
                  <c:v>1.74</c:v>
                </c:pt>
                <c:pt idx="92">
                  <c:v>1.7475000000000001</c:v>
                </c:pt>
                <c:pt idx="93">
                  <c:v>1.7549999999999999</c:v>
                </c:pt>
                <c:pt idx="94">
                  <c:v>1.7625000000000002</c:v>
                </c:pt>
                <c:pt idx="95">
                  <c:v>1.77</c:v>
                </c:pt>
                <c:pt idx="96">
                  <c:v>1.7774999999999999</c:v>
                </c:pt>
                <c:pt idx="97">
                  <c:v>1.7850000000000001</c:v>
                </c:pt>
                <c:pt idx="98">
                  <c:v>1.7925</c:v>
                </c:pt>
                <c:pt idx="99">
                  <c:v>1.8</c:v>
                </c:pt>
                <c:pt idx="100">
                  <c:v>1.8075000000000001</c:v>
                </c:pt>
                <c:pt idx="101">
                  <c:v>1.8149999999999999</c:v>
                </c:pt>
                <c:pt idx="102">
                  <c:v>1.8225</c:v>
                </c:pt>
                <c:pt idx="103">
                  <c:v>1.83</c:v>
                </c:pt>
                <c:pt idx="104">
                  <c:v>1.8374999999999999</c:v>
                </c:pt>
                <c:pt idx="105">
                  <c:v>1.845</c:v>
                </c:pt>
                <c:pt idx="106">
                  <c:v>1.8525</c:v>
                </c:pt>
                <c:pt idx="107">
                  <c:v>1.8599999999999999</c:v>
                </c:pt>
                <c:pt idx="108">
                  <c:v>1.8675000000000002</c:v>
                </c:pt>
                <c:pt idx="109">
                  <c:v>1.875</c:v>
                </c:pt>
                <c:pt idx="110">
                  <c:v>1.8825000000000001</c:v>
                </c:pt>
                <c:pt idx="111">
                  <c:v>1.8900000000000001</c:v>
                </c:pt>
                <c:pt idx="112">
                  <c:v>1.8975</c:v>
                </c:pt>
                <c:pt idx="113">
                  <c:v>1.905</c:v>
                </c:pt>
                <c:pt idx="114">
                  <c:v>1.9125000000000001</c:v>
                </c:pt>
                <c:pt idx="115">
                  <c:v>1.92</c:v>
                </c:pt>
                <c:pt idx="116">
                  <c:v>1.9275</c:v>
                </c:pt>
                <c:pt idx="117">
                  <c:v>1.9350000000000001</c:v>
                </c:pt>
                <c:pt idx="118">
                  <c:v>1.9424999999999999</c:v>
                </c:pt>
                <c:pt idx="119">
                  <c:v>1.95</c:v>
                </c:pt>
                <c:pt idx="120">
                  <c:v>1.9575</c:v>
                </c:pt>
                <c:pt idx="121">
                  <c:v>1.9649999999999999</c:v>
                </c:pt>
                <c:pt idx="122">
                  <c:v>1.9725000000000001</c:v>
                </c:pt>
                <c:pt idx="123">
                  <c:v>1.98</c:v>
                </c:pt>
                <c:pt idx="124">
                  <c:v>1.9875</c:v>
                </c:pt>
                <c:pt idx="125">
                  <c:v>1.9950000000000001</c:v>
                </c:pt>
                <c:pt idx="126">
                  <c:v>2.0024999999999999</c:v>
                </c:pt>
                <c:pt idx="127">
                  <c:v>2.0099999999999998</c:v>
                </c:pt>
                <c:pt idx="128">
                  <c:v>2.0175000000000001</c:v>
                </c:pt>
                <c:pt idx="129">
                  <c:v>2.0249999999999999</c:v>
                </c:pt>
                <c:pt idx="130">
                  <c:v>2.0324999999999998</c:v>
                </c:pt>
                <c:pt idx="131">
                  <c:v>2.04</c:v>
                </c:pt>
                <c:pt idx="132">
                  <c:v>2.0474999999999999</c:v>
                </c:pt>
                <c:pt idx="133">
                  <c:v>2.0549999999999997</c:v>
                </c:pt>
                <c:pt idx="134">
                  <c:v>2.0625</c:v>
                </c:pt>
                <c:pt idx="135">
                  <c:v>2.0700000000000003</c:v>
                </c:pt>
                <c:pt idx="136">
                  <c:v>2.0774999999999997</c:v>
                </c:pt>
                <c:pt idx="137">
                  <c:v>2.085</c:v>
                </c:pt>
                <c:pt idx="138">
                  <c:v>2.0925000000000002</c:v>
                </c:pt>
                <c:pt idx="139">
                  <c:v>2.1</c:v>
                </c:pt>
                <c:pt idx="140">
                  <c:v>2.1074999999999999</c:v>
                </c:pt>
                <c:pt idx="141">
                  <c:v>2.1150000000000002</c:v>
                </c:pt>
                <c:pt idx="142">
                  <c:v>2.1225000000000001</c:v>
                </c:pt>
                <c:pt idx="143">
                  <c:v>2.13</c:v>
                </c:pt>
                <c:pt idx="144">
                  <c:v>2.1375000000000002</c:v>
                </c:pt>
                <c:pt idx="145">
                  <c:v>2.145</c:v>
                </c:pt>
                <c:pt idx="146">
                  <c:v>2.1524999999999999</c:v>
                </c:pt>
                <c:pt idx="147">
                  <c:v>2.16</c:v>
                </c:pt>
                <c:pt idx="148">
                  <c:v>2.1675</c:v>
                </c:pt>
                <c:pt idx="149">
                  <c:v>2.1749999999999998</c:v>
                </c:pt>
                <c:pt idx="150">
                  <c:v>2.1825000000000001</c:v>
                </c:pt>
                <c:pt idx="151">
                  <c:v>2.19</c:v>
                </c:pt>
                <c:pt idx="152">
                  <c:v>2.1974999999999998</c:v>
                </c:pt>
                <c:pt idx="153">
                  <c:v>2.2050000000000001</c:v>
                </c:pt>
                <c:pt idx="154">
                  <c:v>2.2124999999999999</c:v>
                </c:pt>
                <c:pt idx="155">
                  <c:v>2.2199999999999998</c:v>
                </c:pt>
                <c:pt idx="156">
                  <c:v>2.2275</c:v>
                </c:pt>
                <c:pt idx="157">
                  <c:v>2.2350000000000003</c:v>
                </c:pt>
                <c:pt idx="158">
                  <c:v>2.2424999999999997</c:v>
                </c:pt>
                <c:pt idx="159">
                  <c:v>2.25</c:v>
                </c:pt>
                <c:pt idx="160">
                  <c:v>2.2575000000000003</c:v>
                </c:pt>
                <c:pt idx="161">
                  <c:v>2.2649999999999997</c:v>
                </c:pt>
                <c:pt idx="162">
                  <c:v>2.2725</c:v>
                </c:pt>
                <c:pt idx="163">
                  <c:v>2.2800000000000002</c:v>
                </c:pt>
                <c:pt idx="164">
                  <c:v>2.2875000000000001</c:v>
                </c:pt>
                <c:pt idx="165">
                  <c:v>2.2949999999999999</c:v>
                </c:pt>
                <c:pt idx="166">
                  <c:v>2.3025000000000002</c:v>
                </c:pt>
                <c:pt idx="167">
                  <c:v>2.31</c:v>
                </c:pt>
                <c:pt idx="168">
                  <c:v>2.3174999999999999</c:v>
                </c:pt>
                <c:pt idx="169">
                  <c:v>2.3250000000000002</c:v>
                </c:pt>
                <c:pt idx="170">
                  <c:v>2.3325</c:v>
                </c:pt>
                <c:pt idx="171">
                  <c:v>2.34</c:v>
                </c:pt>
                <c:pt idx="172">
                  <c:v>2.3475000000000001</c:v>
                </c:pt>
                <c:pt idx="173">
                  <c:v>2.355</c:v>
                </c:pt>
                <c:pt idx="174">
                  <c:v>2.3624999999999998</c:v>
                </c:pt>
                <c:pt idx="175">
                  <c:v>2.37</c:v>
                </c:pt>
                <c:pt idx="176">
                  <c:v>2.3774999999999999</c:v>
                </c:pt>
                <c:pt idx="177">
                  <c:v>2.3849999999999998</c:v>
                </c:pt>
                <c:pt idx="178">
                  <c:v>2.3925000000000001</c:v>
                </c:pt>
                <c:pt idx="179">
                  <c:v>2.4</c:v>
                </c:pt>
                <c:pt idx="180">
                  <c:v>2.4074999999999998</c:v>
                </c:pt>
                <c:pt idx="181">
                  <c:v>2.415</c:v>
                </c:pt>
                <c:pt idx="182">
                  <c:v>2.4225000000000003</c:v>
                </c:pt>
                <c:pt idx="183">
                  <c:v>2.4299999999999997</c:v>
                </c:pt>
                <c:pt idx="184">
                  <c:v>2.4375</c:v>
                </c:pt>
                <c:pt idx="185">
                  <c:v>2.4450000000000003</c:v>
                </c:pt>
                <c:pt idx="186">
                  <c:v>2.4524999999999997</c:v>
                </c:pt>
                <c:pt idx="187">
                  <c:v>2.46</c:v>
                </c:pt>
                <c:pt idx="188">
                  <c:v>2.4675000000000002</c:v>
                </c:pt>
                <c:pt idx="189">
                  <c:v>2.4750000000000001</c:v>
                </c:pt>
                <c:pt idx="190">
                  <c:v>2.4824999999999999</c:v>
                </c:pt>
                <c:pt idx="191">
                  <c:v>2.4900000000000002</c:v>
                </c:pt>
                <c:pt idx="192">
                  <c:v>2.4975000000000001</c:v>
                </c:pt>
                <c:pt idx="193">
                  <c:v>2.5049999999999999</c:v>
                </c:pt>
                <c:pt idx="194">
                  <c:v>2.5125000000000002</c:v>
                </c:pt>
                <c:pt idx="195">
                  <c:v>2.52</c:v>
                </c:pt>
                <c:pt idx="196">
                  <c:v>2.5274999999999999</c:v>
                </c:pt>
                <c:pt idx="197">
                  <c:v>2.5350000000000001</c:v>
                </c:pt>
                <c:pt idx="198">
                  <c:v>2.5425</c:v>
                </c:pt>
                <c:pt idx="199">
                  <c:v>2.5499999999999998</c:v>
                </c:pt>
                <c:pt idx="200">
                  <c:v>2.5575000000000001</c:v>
                </c:pt>
                <c:pt idx="201">
                  <c:v>2.5649999999999999</c:v>
                </c:pt>
                <c:pt idx="202">
                  <c:v>2.5724999999999998</c:v>
                </c:pt>
                <c:pt idx="203">
                  <c:v>2.58</c:v>
                </c:pt>
                <c:pt idx="204">
                  <c:v>2.5874999999999999</c:v>
                </c:pt>
                <c:pt idx="205">
                  <c:v>2.5949999999999998</c:v>
                </c:pt>
                <c:pt idx="206">
                  <c:v>2.6025</c:v>
                </c:pt>
                <c:pt idx="207">
                  <c:v>2.6100000000000003</c:v>
                </c:pt>
                <c:pt idx="208">
                  <c:v>2.6174999999999997</c:v>
                </c:pt>
                <c:pt idx="209">
                  <c:v>2.625</c:v>
                </c:pt>
                <c:pt idx="210">
                  <c:v>2.6325000000000003</c:v>
                </c:pt>
                <c:pt idx="211">
                  <c:v>2.6399999999999997</c:v>
                </c:pt>
                <c:pt idx="212">
                  <c:v>2.6475</c:v>
                </c:pt>
                <c:pt idx="213">
                  <c:v>2.6550000000000002</c:v>
                </c:pt>
                <c:pt idx="214">
                  <c:v>2.6625000000000001</c:v>
                </c:pt>
                <c:pt idx="215">
                  <c:v>2.67</c:v>
                </c:pt>
                <c:pt idx="216">
                  <c:v>2.6775000000000002</c:v>
                </c:pt>
                <c:pt idx="217">
                  <c:v>2.6850000000000001</c:v>
                </c:pt>
                <c:pt idx="218">
                  <c:v>2.6924999999999999</c:v>
                </c:pt>
                <c:pt idx="219">
                  <c:v>2.7</c:v>
                </c:pt>
                <c:pt idx="220">
                  <c:v>2.7075</c:v>
                </c:pt>
                <c:pt idx="221">
                  <c:v>2.7149999999999999</c:v>
                </c:pt>
                <c:pt idx="222">
                  <c:v>2.7225000000000001</c:v>
                </c:pt>
                <c:pt idx="223">
                  <c:v>2.73</c:v>
                </c:pt>
                <c:pt idx="224">
                  <c:v>2.7374999999999998</c:v>
                </c:pt>
                <c:pt idx="225">
                  <c:v>2.7450000000000001</c:v>
                </c:pt>
                <c:pt idx="226">
                  <c:v>2.7524999999999999</c:v>
                </c:pt>
                <c:pt idx="227">
                  <c:v>2.76</c:v>
                </c:pt>
                <c:pt idx="228">
                  <c:v>2.7675000000000001</c:v>
                </c:pt>
                <c:pt idx="229">
                  <c:v>2.7749999999999999</c:v>
                </c:pt>
                <c:pt idx="230">
                  <c:v>2.7824999999999998</c:v>
                </c:pt>
                <c:pt idx="231">
                  <c:v>2.79</c:v>
                </c:pt>
                <c:pt idx="232">
                  <c:v>2.7974999999999999</c:v>
                </c:pt>
                <c:pt idx="233">
                  <c:v>2.8049999999999997</c:v>
                </c:pt>
                <c:pt idx="234">
                  <c:v>2.8125</c:v>
                </c:pt>
                <c:pt idx="235">
                  <c:v>2.8200000000000003</c:v>
                </c:pt>
                <c:pt idx="236">
                  <c:v>2.8274999999999997</c:v>
                </c:pt>
                <c:pt idx="237">
                  <c:v>2.835</c:v>
                </c:pt>
                <c:pt idx="238">
                  <c:v>2.8425000000000002</c:v>
                </c:pt>
                <c:pt idx="239">
                  <c:v>2.8499999999999996</c:v>
                </c:pt>
                <c:pt idx="240">
                  <c:v>2.8574999999999999</c:v>
                </c:pt>
                <c:pt idx="241">
                  <c:v>2.8650000000000002</c:v>
                </c:pt>
                <c:pt idx="242">
                  <c:v>2.8725000000000001</c:v>
                </c:pt>
                <c:pt idx="243">
                  <c:v>2.88</c:v>
                </c:pt>
                <c:pt idx="244">
                  <c:v>2.8875000000000002</c:v>
                </c:pt>
                <c:pt idx="245">
                  <c:v>2.895</c:v>
                </c:pt>
                <c:pt idx="246">
                  <c:v>2.9024999999999999</c:v>
                </c:pt>
                <c:pt idx="247">
                  <c:v>2.91</c:v>
                </c:pt>
                <c:pt idx="248">
                  <c:v>2.9175</c:v>
                </c:pt>
                <c:pt idx="249">
                  <c:v>2.9249999999999998</c:v>
                </c:pt>
                <c:pt idx="250">
                  <c:v>2.9325000000000001</c:v>
                </c:pt>
                <c:pt idx="251">
                  <c:v>2.94</c:v>
                </c:pt>
                <c:pt idx="252">
                  <c:v>2.9474999999999998</c:v>
                </c:pt>
                <c:pt idx="253">
                  <c:v>2.9550000000000001</c:v>
                </c:pt>
                <c:pt idx="254">
                  <c:v>2.9624999999999999</c:v>
                </c:pt>
                <c:pt idx="255">
                  <c:v>2.9699999999999998</c:v>
                </c:pt>
                <c:pt idx="256">
                  <c:v>2.9775</c:v>
                </c:pt>
                <c:pt idx="257">
                  <c:v>2.9849999999999999</c:v>
                </c:pt>
                <c:pt idx="258">
                  <c:v>2.9924999999999997</c:v>
                </c:pt>
                <c:pt idx="259">
                  <c:v>3</c:v>
                </c:pt>
                <c:pt idx="260">
                  <c:v>3.0075000000000003</c:v>
                </c:pt>
                <c:pt idx="261">
                  <c:v>3.0149999999999997</c:v>
                </c:pt>
                <c:pt idx="262">
                  <c:v>3.0225</c:v>
                </c:pt>
                <c:pt idx="263">
                  <c:v>3.0300000000000002</c:v>
                </c:pt>
                <c:pt idx="264">
                  <c:v>3.0374999999999996</c:v>
                </c:pt>
                <c:pt idx="265">
                  <c:v>3.0449999999999999</c:v>
                </c:pt>
                <c:pt idx="266">
                  <c:v>3.0525000000000002</c:v>
                </c:pt>
                <c:pt idx="267">
                  <c:v>3.0599999999999996</c:v>
                </c:pt>
                <c:pt idx="268">
                  <c:v>3.0674999999999999</c:v>
                </c:pt>
                <c:pt idx="269">
                  <c:v>3.0750000000000002</c:v>
                </c:pt>
                <c:pt idx="270">
                  <c:v>3.0824999999999996</c:v>
                </c:pt>
                <c:pt idx="271">
                  <c:v>3.09</c:v>
                </c:pt>
                <c:pt idx="272">
                  <c:v>3.0975000000000001</c:v>
                </c:pt>
                <c:pt idx="273">
                  <c:v>3.1049999999999995</c:v>
                </c:pt>
                <c:pt idx="274">
                  <c:v>3.1124999999999998</c:v>
                </c:pt>
                <c:pt idx="275">
                  <c:v>3.12</c:v>
                </c:pt>
                <c:pt idx="276">
                  <c:v>3.1275000000000004</c:v>
                </c:pt>
                <c:pt idx="277">
                  <c:v>3.1349999999999998</c:v>
                </c:pt>
                <c:pt idx="278">
                  <c:v>3.1425000000000001</c:v>
                </c:pt>
                <c:pt idx="279">
                  <c:v>3.1500000000000004</c:v>
                </c:pt>
                <c:pt idx="280">
                  <c:v>3.1574999999999998</c:v>
                </c:pt>
                <c:pt idx="281">
                  <c:v>3.165</c:v>
                </c:pt>
                <c:pt idx="282">
                  <c:v>3.1725000000000003</c:v>
                </c:pt>
                <c:pt idx="283">
                  <c:v>3.1799999999999997</c:v>
                </c:pt>
                <c:pt idx="284">
                  <c:v>3.1875</c:v>
                </c:pt>
                <c:pt idx="285">
                  <c:v>3.1950000000000003</c:v>
                </c:pt>
                <c:pt idx="286">
                  <c:v>3.2024999999999997</c:v>
                </c:pt>
                <c:pt idx="287">
                  <c:v>3.21</c:v>
                </c:pt>
                <c:pt idx="288">
                  <c:v>3.2175000000000002</c:v>
                </c:pt>
                <c:pt idx="289">
                  <c:v>3.2249999999999996</c:v>
                </c:pt>
                <c:pt idx="290">
                  <c:v>3.2324999999999999</c:v>
                </c:pt>
                <c:pt idx="291">
                  <c:v>3.24</c:v>
                </c:pt>
                <c:pt idx="292">
                  <c:v>3.2474999999999996</c:v>
                </c:pt>
                <c:pt idx="293">
                  <c:v>3.2549999999999999</c:v>
                </c:pt>
                <c:pt idx="294">
                  <c:v>3.2625000000000002</c:v>
                </c:pt>
                <c:pt idx="295">
                  <c:v>3.2699999999999996</c:v>
                </c:pt>
                <c:pt idx="296">
                  <c:v>3.2774999999999999</c:v>
                </c:pt>
                <c:pt idx="297">
                  <c:v>3.2850000000000001</c:v>
                </c:pt>
                <c:pt idx="298">
                  <c:v>3.2924999999999995</c:v>
                </c:pt>
                <c:pt idx="299">
                  <c:v>3.3</c:v>
                </c:pt>
                <c:pt idx="300">
                  <c:v>3.3075000000000001</c:v>
                </c:pt>
                <c:pt idx="301">
                  <c:v>3.3150000000000004</c:v>
                </c:pt>
                <c:pt idx="302">
                  <c:v>3.3224999999999998</c:v>
                </c:pt>
                <c:pt idx="303">
                  <c:v>3.33</c:v>
                </c:pt>
                <c:pt idx="304">
                  <c:v>3.3375000000000004</c:v>
                </c:pt>
                <c:pt idx="305">
                  <c:v>3.3449999999999998</c:v>
                </c:pt>
                <c:pt idx="306">
                  <c:v>3.3525</c:v>
                </c:pt>
                <c:pt idx="307">
                  <c:v>3.3600000000000003</c:v>
                </c:pt>
                <c:pt idx="308">
                  <c:v>3.3674999999999997</c:v>
                </c:pt>
                <c:pt idx="309">
                  <c:v>3.375</c:v>
                </c:pt>
                <c:pt idx="310">
                  <c:v>3.3825000000000003</c:v>
                </c:pt>
                <c:pt idx="311">
                  <c:v>3.3899999999999997</c:v>
                </c:pt>
                <c:pt idx="312">
                  <c:v>3.3975</c:v>
                </c:pt>
                <c:pt idx="313">
                  <c:v>3.4050000000000002</c:v>
                </c:pt>
                <c:pt idx="314">
                  <c:v>3.4124999999999996</c:v>
                </c:pt>
                <c:pt idx="315">
                  <c:v>3.42</c:v>
                </c:pt>
                <c:pt idx="316">
                  <c:v>3.4275000000000002</c:v>
                </c:pt>
                <c:pt idx="317">
                  <c:v>3.4349999999999996</c:v>
                </c:pt>
                <c:pt idx="318">
                  <c:v>3.4424999999999999</c:v>
                </c:pt>
                <c:pt idx="319">
                  <c:v>3.45</c:v>
                </c:pt>
                <c:pt idx="320">
                  <c:v>3.4574999999999996</c:v>
                </c:pt>
                <c:pt idx="321">
                  <c:v>3.4649999999999999</c:v>
                </c:pt>
                <c:pt idx="322">
                  <c:v>3.4725000000000001</c:v>
                </c:pt>
                <c:pt idx="323">
                  <c:v>3.4799999999999995</c:v>
                </c:pt>
                <c:pt idx="324">
                  <c:v>3.4874999999999998</c:v>
                </c:pt>
                <c:pt idx="325">
                  <c:v>3.4950000000000001</c:v>
                </c:pt>
                <c:pt idx="326">
                  <c:v>3.5025000000000004</c:v>
                </c:pt>
                <c:pt idx="327">
                  <c:v>3.51</c:v>
                </c:pt>
                <c:pt idx="328">
                  <c:v>3.5175000000000001</c:v>
                </c:pt>
                <c:pt idx="329">
                  <c:v>3.5250000000000004</c:v>
                </c:pt>
                <c:pt idx="330">
                  <c:v>3.5324999999999998</c:v>
                </c:pt>
                <c:pt idx="331">
                  <c:v>3.54</c:v>
                </c:pt>
                <c:pt idx="332">
                  <c:v>3.5475000000000003</c:v>
                </c:pt>
                <c:pt idx="333">
                  <c:v>3.5549999999999997</c:v>
                </c:pt>
                <c:pt idx="334">
                  <c:v>3.5625</c:v>
                </c:pt>
                <c:pt idx="335">
                  <c:v>3.5700000000000003</c:v>
                </c:pt>
                <c:pt idx="336">
                  <c:v>3.5774999999999997</c:v>
                </c:pt>
                <c:pt idx="337">
                  <c:v>3.585</c:v>
                </c:pt>
                <c:pt idx="338">
                  <c:v>3.5925000000000002</c:v>
                </c:pt>
                <c:pt idx="339">
                  <c:v>3.5999999999999996</c:v>
                </c:pt>
                <c:pt idx="340">
                  <c:v>3.6074999999999999</c:v>
                </c:pt>
                <c:pt idx="341">
                  <c:v>3.6150000000000002</c:v>
                </c:pt>
                <c:pt idx="342">
                  <c:v>3.6224999999999996</c:v>
                </c:pt>
                <c:pt idx="343">
                  <c:v>3.63</c:v>
                </c:pt>
                <c:pt idx="344">
                  <c:v>3.6375000000000002</c:v>
                </c:pt>
                <c:pt idx="345">
                  <c:v>3.6449999999999996</c:v>
                </c:pt>
                <c:pt idx="346">
                  <c:v>3.6524999999999999</c:v>
                </c:pt>
                <c:pt idx="347">
                  <c:v>3.66</c:v>
                </c:pt>
                <c:pt idx="348">
                  <c:v>3.6674999999999995</c:v>
                </c:pt>
                <c:pt idx="349">
                  <c:v>3.6749999999999998</c:v>
                </c:pt>
                <c:pt idx="350">
                  <c:v>3.6825000000000001</c:v>
                </c:pt>
                <c:pt idx="351">
                  <c:v>3.6899999999999995</c:v>
                </c:pt>
                <c:pt idx="352">
                  <c:v>3.6974999999999998</c:v>
                </c:pt>
                <c:pt idx="353">
                  <c:v>3.7050000000000001</c:v>
                </c:pt>
                <c:pt idx="354">
                  <c:v>3.7125000000000004</c:v>
                </c:pt>
                <c:pt idx="355">
                  <c:v>3.7199999999999998</c:v>
                </c:pt>
                <c:pt idx="356">
                  <c:v>3.7275</c:v>
                </c:pt>
                <c:pt idx="357">
                  <c:v>3.7350000000000003</c:v>
                </c:pt>
              </c:numCache>
            </c:numRef>
          </c:val>
          <c:smooth val="0"/>
          <c:extLst>
            <c:ext xmlns:c16="http://schemas.microsoft.com/office/drawing/2014/chart" uri="{C3380CC4-5D6E-409C-BE32-E72D297353CC}">
              <c16:uniqueId val="{00000000-E2E3-4BE3-97A4-72A6C14B48CF}"/>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19</xdr:row>
      <xdr:rowOff>180975</xdr:rowOff>
    </xdr:from>
    <xdr:to>
      <xdr:col>7</xdr:col>
      <xdr:colOff>600075</xdr:colOff>
      <xdr:row>39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123825</xdr:colOff>
      <xdr:row>41</xdr:row>
      <xdr:rowOff>47625</xdr:rowOff>
    </xdr:from>
    <xdr:to>
      <xdr:col>7</xdr:col>
      <xdr:colOff>609600</xdr:colOff>
      <xdr:row>61</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573.597102199077" createdVersion="6" refreshedVersion="6" minRefreshableVersion="3" recordCount="155">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0" maxValue="5000"/>
    </cacheField>
    <cacheField name="Respawn Max" numFmtId="0">
      <sharedItems containsSemiMixedTypes="0" containsString="0" containsNumber="1" containsInteger="1" minValue="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79"/>
    </cacheField>
    <cacheField name="Percentage2" numFmtId="0">
      <sharedItems containsSemiMixedTypes="0" containsString="0" containsNumber="1" minValue="0" maxValue="9"/>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10.1"/>
    </cacheField>
    <cacheField name="Total in the game" numFmtId="0">
      <sharedItems containsSemiMixedTypes="0" containsString="0" containsNumber="1" containsInteger="1" minValue="0" maxValue="460"/>
    </cacheField>
    <cacheField name="Percentage4" numFmtId="0">
      <sharedItems containsSemiMixedTypes="0" containsString="0" containsNumber="1" minValue="0" maxValue="8.3000000000000007"/>
    </cacheField>
    <cacheField name="Pivot Column" numFmtId="0">
      <sharedItems count="113">
        <s v="Archer"/>
        <s v="BadFarmer"/>
        <s v="BadJunk"/>
        <s v="BadWitch"/>
        <s v="BakerWoman"/>
        <s v="BatBig_Flock"/>
        <s v="BatSmall_Flock"/>
        <s v="BoatFisher"/>
        <s v="Bomber"/>
        <s v="Butterfly"/>
        <s v="Cage"/>
        <s v="Canary"/>
        <s v="CarnivorousPlant"/>
        <s v="CentipedeBlue"/>
        <s v="CentipedeRed"/>
        <s v="Cow"/>
        <s v="Crocodile"/>
        <s v="Crow_Flock"/>
        <s v="Driller"/>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RedTurret"/>
        <s v="Horse"/>
        <s v="JellyfishBlue"/>
        <s v="JellyfishRed"/>
        <s v="Kamikaze"/>
        <s v="LionBird"/>
        <s v="MexicanPepper"/>
        <s v="MineBig"/>
        <s v="MineMedium"/>
        <s v="Miner"/>
        <s v="MineSmall"/>
        <s v="Mushroom"/>
        <s v="MushroomPrey"/>
        <s v="Owl"/>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Villager"/>
        <s v="Unka"/>
        <s v="Vulture"/>
        <s v="Witch"/>
        <s v="Worker"/>
        <s v="OwlBig" u="1"/>
        <s v="Random" u="1"/>
        <s v="HermitCrabBlue" u="1"/>
        <s v="PiranhaDark" u="1"/>
        <s v="Tubeman" u="1"/>
        <s v="OwlWhite" u="1"/>
        <s v="WorkerA" u="1"/>
        <s v="HangingCage" u="1"/>
        <s v="Archer01" u="1"/>
        <s v="RatGrey" u="1"/>
        <s v="DrunkenMan" u="1"/>
        <s v="ButterflyEgg" u="1"/>
        <s v="FlyingTicket" u="1"/>
        <s v="Crocodile Evade" u="1"/>
        <s v="Star" u="1"/>
        <s v="Fish01_Generic" u="1"/>
        <s v="CarnivorousPlantDark" u="1"/>
        <s v="GoodWitch02" u="1"/>
        <s v="Archer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
  <r>
    <s v="SP_Archer01"/>
    <s v="Archer01"/>
    <s v="PF_Archer01"/>
    <n v="280"/>
    <n v="280"/>
    <n v="20"/>
    <n v="75"/>
    <n v="0"/>
    <n v="0"/>
    <n v="10"/>
    <n v="7"/>
    <n v="0.3"/>
    <n v="0"/>
    <n v="0"/>
    <n v="0"/>
    <n v="0"/>
    <n v="7"/>
    <n v="0.1"/>
    <x v="0"/>
  </r>
  <r>
    <s v="SP_Archer01_Static"/>
    <s v="Archer01"/>
    <s v="PF_Archer01_Static"/>
    <n v="280"/>
    <n v="280"/>
    <n v="20"/>
    <n v="75"/>
    <n v="0"/>
    <n v="0"/>
    <n v="10"/>
    <n v="11"/>
    <n v="0.4"/>
    <n v="0"/>
    <n v="0"/>
    <n v="0"/>
    <n v="0"/>
    <n v="11"/>
    <n v="0.2"/>
    <x v="0"/>
  </r>
  <r>
    <s v="SP_Archer02"/>
    <s v="Archer02"/>
    <s v="PF_Archer02"/>
    <n v="300"/>
    <n v="300"/>
    <n v="23"/>
    <n v="77"/>
    <n v="0"/>
    <n v="0"/>
    <n v="16"/>
    <n v="12"/>
    <n v="0.5"/>
    <n v="4"/>
    <n v="0.2"/>
    <n v="0"/>
    <n v="0"/>
    <n v="16"/>
    <n v="0.3"/>
    <x v="0"/>
  </r>
  <r>
    <s v="SP_Archer02_Static"/>
    <s v="Archer02"/>
    <s v="PF_Archer02_Static"/>
    <n v="300"/>
    <n v="300"/>
    <n v="23"/>
    <n v="77"/>
    <n v="0"/>
    <n v="0"/>
    <n v="16"/>
    <n v="6"/>
    <n v="0.2"/>
    <n v="36"/>
    <n v="1.8"/>
    <n v="0"/>
    <n v="0"/>
    <n v="42"/>
    <n v="0.8"/>
    <x v="0"/>
  </r>
  <r>
    <s v="SP_BadFarmer"/>
    <s v="BadFarmer"/>
    <s v="PF_BadFarmer"/>
    <n v="310"/>
    <n v="310"/>
    <n v="50"/>
    <n v="55"/>
    <n v="1"/>
    <n v="1"/>
    <n v="15"/>
    <n v="12"/>
    <n v="0.5"/>
    <n v="0"/>
    <n v="0"/>
    <n v="0"/>
    <n v="0"/>
    <n v="12"/>
    <n v="0.2"/>
    <x v="1"/>
  </r>
  <r>
    <s v="SP_BadFarmer_Static"/>
    <s v="BadFarmer"/>
    <s v="PF_BadFarmer_Static"/>
    <n v="310"/>
    <n v="310"/>
    <n v="50"/>
    <n v="55"/>
    <n v="1"/>
    <n v="1"/>
    <n v="15"/>
    <n v="3"/>
    <n v="0.1"/>
    <n v="0"/>
    <n v="0"/>
    <n v="0"/>
    <n v="0"/>
    <n v="3"/>
    <n v="0.1"/>
    <x v="1"/>
  </r>
  <r>
    <s v="SP_BadJunk"/>
    <s v="BadJunk"/>
    <s v="PF_BadJunkBone"/>
    <n v="200"/>
    <n v="200"/>
    <n v="-10"/>
    <n v="0"/>
    <n v="0"/>
    <n v="0"/>
    <s v="-"/>
    <n v="45"/>
    <n v="1.8"/>
    <n v="35"/>
    <n v="1.8"/>
    <n v="6"/>
    <n v="0.6"/>
    <n v="86"/>
    <n v="1.6"/>
    <x v="2"/>
  </r>
  <r>
    <s v="SP_BadWitch"/>
    <s v="BadWitch"/>
    <s v="PF_WitchBad"/>
    <n v="280"/>
    <n v="280"/>
    <n v="20"/>
    <n v="50"/>
    <n v="0"/>
    <n v="0"/>
    <n v="10"/>
    <n v="1"/>
    <n v="0"/>
    <n v="0"/>
    <n v="0"/>
    <n v="9"/>
    <n v="0.8"/>
    <n v="10"/>
    <n v="0.2"/>
    <x v="3"/>
  </r>
  <r>
    <s v="SP_BakerWoman"/>
    <s v="BakerWoman"/>
    <s v="PF_BakerWoman"/>
    <n v="200"/>
    <n v="200"/>
    <n v="20"/>
    <n v="50"/>
    <n v="0"/>
    <n v="0"/>
    <s v="-"/>
    <n v="5"/>
    <n v="0.2"/>
    <n v="0"/>
    <n v="0"/>
    <n v="0"/>
    <n v="0"/>
    <n v="5"/>
    <n v="0.1"/>
    <x v="4"/>
  </r>
  <r>
    <s v="SP_BatBig_Flock"/>
    <s v="BatBig_Flock"/>
    <s v="PF_BatBig_Flock"/>
    <n v="260"/>
    <n v="260"/>
    <n v="5"/>
    <n v="55"/>
    <n v="1"/>
    <n v="1"/>
    <n v="8"/>
    <n v="28"/>
    <n v="1.1000000000000001"/>
    <n v="29"/>
    <n v="1.5"/>
    <n v="16"/>
    <n v="1.5"/>
    <n v="73"/>
    <n v="1.3"/>
    <x v="5"/>
  </r>
  <r>
    <s v="SP_BatSmall01_Flock"/>
    <s v="BatSmall_Flock"/>
    <s v="PF_BatSmall01_Flock"/>
    <n v="280"/>
    <n v="280"/>
    <n v="2"/>
    <n v="25"/>
    <n v="0"/>
    <n v="0"/>
    <s v="-"/>
    <n v="41"/>
    <n v="1.7"/>
    <n v="129"/>
    <n v="6.5"/>
    <n v="107"/>
    <n v="10.1"/>
    <n v="277"/>
    <n v="5"/>
    <x v="6"/>
  </r>
  <r>
    <s v="SP_BatSmall02_Flock"/>
    <s v="BatSmall_Flock"/>
    <s v="PF_BatSmall02_Flock"/>
    <n v="5000"/>
    <n v="5000"/>
    <n v="2"/>
    <n v="25"/>
    <n v="0"/>
    <n v="0"/>
    <s v="-"/>
    <n v="0"/>
    <n v="0"/>
    <n v="7"/>
    <n v="0.4"/>
    <n v="0"/>
    <n v="0"/>
    <n v="7"/>
    <n v="0.1"/>
    <x v="6"/>
  </r>
  <r>
    <s v="SP_BoatFisher"/>
    <s v="BoatFisher"/>
    <s v="PF_BoatFisher"/>
    <n v="130"/>
    <n v="130"/>
    <n v="15"/>
    <n v="50"/>
    <n v="0"/>
    <n v="0"/>
    <s v="-"/>
    <n v="0"/>
    <n v="0"/>
    <n v="5"/>
    <n v="0.3"/>
    <n v="0"/>
    <n v="0"/>
    <n v="5"/>
    <n v="0.1"/>
    <x v="7"/>
  </r>
  <r>
    <s v="SP_BoatRider"/>
    <s v="BoatFisher"/>
    <s v="PF_BoatRider"/>
    <n v="130"/>
    <n v="130"/>
    <n v="15"/>
    <n v="50"/>
    <n v="0"/>
    <n v="0"/>
    <s v="-"/>
    <n v="0"/>
    <n v="0"/>
    <n v="0"/>
    <n v="0"/>
    <n v="0"/>
    <n v="0"/>
    <n v="0"/>
    <n v="0"/>
    <x v="7"/>
  </r>
  <r>
    <s v="SP_Bomber"/>
    <s v="Bomber"/>
    <s v="PF_Bomber"/>
    <n v="220"/>
    <n v="220"/>
    <n v="30"/>
    <n v="75"/>
    <n v="0"/>
    <n v="0"/>
    <n v="8"/>
    <n v="13"/>
    <n v="0.5"/>
    <n v="20"/>
    <n v="1"/>
    <n v="0"/>
    <n v="0"/>
    <n v="33"/>
    <n v="0.6"/>
    <x v="8"/>
  </r>
  <r>
    <s v="SP_Butterfly"/>
    <s v="Butterfly"/>
    <s v="PF_Butterfly"/>
    <n v="110"/>
    <n v="110"/>
    <n v="50"/>
    <n v="100"/>
    <n v="3"/>
    <n v="3"/>
    <s v="-"/>
    <n v="0"/>
    <n v="0"/>
    <n v="0"/>
    <n v="0"/>
    <n v="9"/>
    <n v="0.8"/>
    <n v="9"/>
    <n v="0.2"/>
    <x v="9"/>
  </r>
  <r>
    <s v="SP_Cage"/>
    <s v="-"/>
    <s v="PF_Cage"/>
    <n v="450"/>
    <n v="450"/>
    <s v="-"/>
    <m/>
    <m/>
    <m/>
    <m/>
    <n v="3"/>
    <n v="0.1"/>
    <n v="1"/>
    <n v="0.1"/>
    <n v="0"/>
    <n v="0"/>
    <n v="4"/>
    <n v="0.1"/>
    <x v="10"/>
  </r>
  <r>
    <s v="SP_Canary01_Flock"/>
    <s v="Canary01_Flock"/>
    <s v="PF_Canary01_Flock"/>
    <n v="180"/>
    <n v="180"/>
    <n v="2"/>
    <n v="25"/>
    <n v="0"/>
    <n v="0"/>
    <s v="-"/>
    <n v="65"/>
    <n v="2.6"/>
    <n v="0"/>
    <n v="0"/>
    <n v="0"/>
    <n v="0"/>
    <n v="65"/>
    <n v="1.2"/>
    <x v="11"/>
  </r>
  <r>
    <s v="SP_Canary02_Flock"/>
    <s v="Canary02_Flock"/>
    <s v="PF_Canary02_Flock"/>
    <n v="180"/>
    <n v="180"/>
    <n v="2"/>
    <n v="25"/>
    <n v="0"/>
    <n v="0"/>
    <s v="-"/>
    <n v="31"/>
    <n v="1.3"/>
    <n v="0"/>
    <n v="0"/>
    <n v="0"/>
    <n v="0"/>
    <n v="31"/>
    <n v="0.6"/>
    <x v="11"/>
  </r>
  <r>
    <s v="SP_Canary03_Flock"/>
    <s v="Canary03_Flock"/>
    <s v="PF_Canary03_Flock"/>
    <n v="180"/>
    <n v="180"/>
    <n v="2"/>
    <n v="25"/>
    <n v="0"/>
    <n v="0"/>
    <s v="-"/>
    <n v="18"/>
    <n v="0.7"/>
    <n v="0"/>
    <n v="0"/>
    <n v="0"/>
    <n v="0"/>
    <n v="18"/>
    <n v="0.3"/>
    <x v="11"/>
  </r>
  <r>
    <s v="SP_Canary04_Flock"/>
    <s v="Canary04_Flock"/>
    <s v="PF_Canary04_Flock"/>
    <n v="180"/>
    <n v="180"/>
    <n v="2"/>
    <n v="25"/>
    <n v="0"/>
    <n v="0"/>
    <s v="-"/>
    <n v="2"/>
    <n v="0.1"/>
    <n v="0"/>
    <n v="0"/>
    <n v="0"/>
    <n v="0"/>
    <n v="2"/>
    <n v="0"/>
    <x v="11"/>
  </r>
  <r>
    <s v="SP_Canary_Mix_Flock"/>
    <s v="Canary01_Flock"/>
    <s v="PF_Canary01_Flock"/>
    <n v="180"/>
    <n v="180"/>
    <n v="2"/>
    <n v="25"/>
    <n v="0"/>
    <n v="0"/>
    <s v="-"/>
    <n v="70"/>
    <n v="2.8"/>
    <n v="19"/>
    <n v="1"/>
    <n v="0"/>
    <n v="0"/>
    <n v="89"/>
    <n v="1.6"/>
    <x v="11"/>
  </r>
  <r>
    <s v="SP_Canary_Random_Flock"/>
    <s v="Canary01_Flock"/>
    <s v="PF_Canary01_Flock"/>
    <n v="180"/>
    <n v="180"/>
    <n v="2"/>
    <n v="25"/>
    <n v="0"/>
    <n v="0"/>
    <s v="-"/>
    <n v="196"/>
    <n v="8"/>
    <n v="92"/>
    <n v="4.5999999999999996"/>
    <n v="0"/>
    <n v="0"/>
    <n v="288"/>
    <n v="5.2"/>
    <x v="11"/>
  </r>
  <r>
    <s v="SP_CarnivorousPlantDark"/>
    <s v="CarnivorousPlantDark"/>
    <s v="PF_CarnivourusPlantDark"/>
    <n v="500"/>
    <n v="500"/>
    <n v="60"/>
    <n v="130"/>
    <n v="4"/>
    <n v="4"/>
    <n v="70"/>
    <n v="0"/>
    <n v="0"/>
    <n v="0"/>
    <n v="0"/>
    <n v="7"/>
    <n v="0.7"/>
    <n v="7"/>
    <n v="0.1"/>
    <x v="12"/>
  </r>
  <r>
    <s v="SP_Carnivorous_Plant"/>
    <s v="carnivorousPlant"/>
    <s v="PF_CarnivourusPlant"/>
    <n v="500"/>
    <n v="500"/>
    <n v="60"/>
    <n v="130"/>
    <n v="4"/>
    <n v="4"/>
    <n v="80"/>
    <n v="0"/>
    <n v="0"/>
    <n v="0"/>
    <n v="0"/>
    <n v="6"/>
    <n v="0.6"/>
    <n v="6"/>
    <n v="0.1"/>
    <x v="12"/>
  </r>
  <r>
    <s v="SP_CentipedeBlue"/>
    <s v="CentipedeBlue"/>
    <s v="PF_CentipedeBlue"/>
    <n v="110"/>
    <n v="110"/>
    <n v="13"/>
    <n v="143"/>
    <n v="3"/>
    <n v="3"/>
    <s v="-"/>
    <n v="0"/>
    <n v="0"/>
    <n v="0"/>
    <n v="0"/>
    <n v="26"/>
    <n v="2.4"/>
    <n v="26"/>
    <n v="0.5"/>
    <x v="13"/>
  </r>
  <r>
    <s v="SP_CentipedeRed"/>
    <s v="CentipedeRed"/>
    <s v="PF_CentipedeRed"/>
    <n v="110"/>
    <n v="110"/>
    <n v="18"/>
    <n v="130"/>
    <n v="4"/>
    <n v="4"/>
    <n v="37"/>
    <n v="0"/>
    <n v="0"/>
    <n v="0"/>
    <n v="0"/>
    <n v="5"/>
    <n v="0.5"/>
    <n v="5"/>
    <n v="0.1"/>
    <x v="14"/>
  </r>
  <r>
    <s v="SP_Cow"/>
    <s v="Cow"/>
    <s v="PF_Cow"/>
    <n v="210"/>
    <n v="210"/>
    <n v="15"/>
    <n v="83"/>
    <n v="1"/>
    <n v="1"/>
    <s v="-"/>
    <n v="11"/>
    <n v="0.4"/>
    <n v="0"/>
    <n v="0"/>
    <n v="0"/>
    <n v="0"/>
    <n v="11"/>
    <n v="0.2"/>
    <x v="15"/>
  </r>
  <r>
    <s v="SP_Cow_Static"/>
    <s v="Cow"/>
    <s v="PF_Cow_Static"/>
    <n v="210"/>
    <n v="210"/>
    <n v="15"/>
    <n v="83"/>
    <n v="1"/>
    <n v="1"/>
    <s v="-"/>
    <n v="0"/>
    <n v="0"/>
    <n v="0"/>
    <n v="0"/>
    <n v="0"/>
    <n v="0"/>
    <n v="0"/>
    <n v="0"/>
    <x v="15"/>
  </r>
  <r>
    <s v="SP_Crocodile"/>
    <s v="Crocodile"/>
    <s v="PF_Crocodile"/>
    <n v="240"/>
    <n v="240"/>
    <n v="30"/>
    <n v="55"/>
    <n v="1"/>
    <n v="1"/>
    <s v="-"/>
    <n v="0"/>
    <n v="0"/>
    <n v="13"/>
    <n v="0.7"/>
    <n v="0"/>
    <n v="0"/>
    <n v="13"/>
    <n v="0.2"/>
    <x v="16"/>
  </r>
  <r>
    <s v="SP_Crocodile_Evade"/>
    <s v="Crocodile"/>
    <s v="PF_Crocodile_Evade"/>
    <n v="240"/>
    <n v="240"/>
    <n v="30"/>
    <n v="55"/>
    <n v="1"/>
    <n v="1"/>
    <s v="-"/>
    <n v="0"/>
    <n v="0"/>
    <n v="2"/>
    <n v="0.1"/>
    <n v="0"/>
    <n v="0"/>
    <n v="2"/>
    <n v="0"/>
    <x v="16"/>
  </r>
  <r>
    <s v="SP_Crow_Flock"/>
    <s v="Crow_Flock"/>
    <s v="PF_Crow_Flock"/>
    <n v="200"/>
    <n v="200"/>
    <n v="3"/>
    <n v="25"/>
    <n v="0"/>
    <n v="0"/>
    <s v="-"/>
    <n v="60"/>
    <n v="2.4"/>
    <n v="39"/>
    <n v="2"/>
    <n v="42"/>
    <n v="3.9"/>
    <n v="141"/>
    <n v="2.6"/>
    <x v="17"/>
  </r>
  <r>
    <s v="SP_Driller"/>
    <s v="Driller"/>
    <s v="PF_Driller"/>
    <n v="300"/>
    <n v="300"/>
    <n v="45"/>
    <n v="105"/>
    <n v="2"/>
    <n v="2"/>
    <n v="40"/>
    <n v="0"/>
    <n v="0"/>
    <n v="13"/>
    <n v="0.7"/>
    <n v="0"/>
    <n v="0"/>
    <n v="13"/>
    <n v="0.2"/>
    <x v="18"/>
  </r>
  <r>
    <s v="SP_EnemyTier0"/>
    <s v="EnemyTier0"/>
    <s v="PF_EnemyTier0"/>
    <n v="220"/>
    <n v="220"/>
    <n v="20"/>
    <n v="50"/>
    <n v="0"/>
    <n v="0"/>
    <n v="10"/>
    <n v="29"/>
    <n v="1.2"/>
    <n v="10"/>
    <n v="0.5"/>
    <n v="0"/>
    <n v="0"/>
    <n v="39"/>
    <n v="0.7"/>
    <x v="19"/>
  </r>
  <r>
    <s v="SP_EnemyTier1"/>
    <s v="EnemyTier1"/>
    <s v="PF_EnemyTier1"/>
    <n v="240"/>
    <n v="240"/>
    <n v="40"/>
    <n v="83"/>
    <n v="1"/>
    <n v="1"/>
    <n v="20"/>
    <n v="13"/>
    <n v="0.5"/>
    <n v="6"/>
    <n v="0.3"/>
    <n v="2"/>
    <n v="0.2"/>
    <n v="21"/>
    <n v="0.4"/>
    <x v="20"/>
  </r>
  <r>
    <s v="SP_EnemyTier2"/>
    <s v="EnemyTier2"/>
    <s v="PF_EnemyTier2"/>
    <n v="260"/>
    <n v="260"/>
    <n v="80"/>
    <n v="105"/>
    <n v="2"/>
    <n v="2"/>
    <n v="40"/>
    <n v="10"/>
    <n v="0.4"/>
    <n v="15"/>
    <n v="0.8"/>
    <n v="5"/>
    <n v="0.5"/>
    <n v="30"/>
    <n v="0.5"/>
    <x v="21"/>
  </r>
  <r>
    <s v="SP_EnemyTier3"/>
    <s v="EnemyTier3"/>
    <s v="PF_EnemyTier3"/>
    <n v="280"/>
    <n v="280"/>
    <n v="100"/>
    <n v="143"/>
    <n v="3"/>
    <n v="3"/>
    <n v="50"/>
    <n v="17"/>
    <n v="0.7"/>
    <n v="14"/>
    <n v="0.7"/>
    <n v="8"/>
    <n v="0.8"/>
    <n v="39"/>
    <n v="0.7"/>
    <x v="22"/>
  </r>
  <r>
    <s v="SP_EnemyTier4"/>
    <s v="EnemyTier4"/>
    <s v="PF_EnemyTier4"/>
    <n v="300"/>
    <n v="300"/>
    <n v="120"/>
    <n v="130"/>
    <n v="4"/>
    <n v="4"/>
    <n v="60"/>
    <n v="7"/>
    <n v="0.3"/>
    <n v="6"/>
    <n v="0.3"/>
    <n v="4"/>
    <n v="0.4"/>
    <n v="17"/>
    <n v="0.3"/>
    <x v="23"/>
  </r>
  <r>
    <s v="SP_FairyBig"/>
    <s v="FairyBig"/>
    <s v="PF_FairyBig"/>
    <n v="140"/>
    <n v="140"/>
    <n v="30"/>
    <n v="28"/>
    <n v="1"/>
    <n v="1"/>
    <s v="-"/>
    <n v="7"/>
    <n v="0.3"/>
    <n v="18"/>
    <n v="0.9"/>
    <n v="14"/>
    <n v="1.3"/>
    <n v="39"/>
    <n v="0.7"/>
    <x v="24"/>
  </r>
  <r>
    <s v="SP_FairySmall"/>
    <s v="FairySmall"/>
    <s v="PF_FairySmall"/>
    <n v="140"/>
    <n v="140"/>
    <n v="6"/>
    <n v="25"/>
    <n v="0"/>
    <n v="0"/>
    <s v="-"/>
    <n v="18"/>
    <n v="0.7"/>
    <n v="27"/>
    <n v="1.4"/>
    <n v="14"/>
    <n v="1.3"/>
    <n v="59"/>
    <n v="1.1000000000000001"/>
    <x v="25"/>
  </r>
  <r>
    <s v="SP_FireFly"/>
    <s v="Firefly"/>
    <s v="PF_Firefly"/>
    <n v="110"/>
    <n v="110"/>
    <n v="13"/>
    <n v="40"/>
    <n v="2"/>
    <n v="2"/>
    <s v="-"/>
    <n v="0"/>
    <n v="0"/>
    <n v="0"/>
    <n v="0"/>
    <n v="43"/>
    <n v="4"/>
    <n v="43"/>
    <n v="0.8"/>
    <x v="26"/>
  </r>
  <r>
    <s v="SP_Fish01_Generic"/>
    <s v="Fish01_Generic"/>
    <s v="PF_Fish01_Generic"/>
    <n v="100"/>
    <n v="100"/>
    <n v="2"/>
    <n v="25"/>
    <n v="0"/>
    <n v="0"/>
    <s v="-"/>
    <n v="16"/>
    <n v="0.7"/>
    <n v="4"/>
    <n v="0.2"/>
    <n v="0"/>
    <n v="0"/>
    <n v="20"/>
    <n v="0.4"/>
    <x v="27"/>
  </r>
  <r>
    <s v="SP_Fish02_Generic"/>
    <s v="Fish02_Generic"/>
    <s v="PF_Fish02_Generic"/>
    <n v="100"/>
    <n v="100"/>
    <n v="2"/>
    <n v="25"/>
    <n v="0"/>
    <n v="0"/>
    <s v="-"/>
    <n v="0"/>
    <n v="0"/>
    <n v="2"/>
    <n v="0.1"/>
    <n v="0"/>
    <n v="0"/>
    <n v="2"/>
    <n v="0"/>
    <x v="27"/>
  </r>
  <r>
    <s v="SP_Fish03_Generic"/>
    <s v="Fish03_Generic"/>
    <s v="PF_Fish03_Generic"/>
    <n v="100"/>
    <n v="100"/>
    <n v="2"/>
    <n v="25"/>
    <n v="0"/>
    <n v="0"/>
    <s v="-"/>
    <n v="0"/>
    <n v="0"/>
    <n v="1"/>
    <n v="0.1"/>
    <n v="0"/>
    <n v="0"/>
    <n v="1"/>
    <n v="0"/>
    <x v="27"/>
  </r>
  <r>
    <s v="SP_FishDark01_Generic"/>
    <s v="FishDark"/>
    <s v="PF_FishDark01_Generic"/>
    <n v="240"/>
    <n v="240"/>
    <n v="14"/>
    <n v="50"/>
    <n v="0"/>
    <n v="0"/>
    <s v="-"/>
    <n v="0"/>
    <n v="0"/>
    <n v="0"/>
    <n v="0"/>
    <n v="13"/>
    <n v="1.2"/>
    <n v="13"/>
    <n v="0.2"/>
    <x v="27"/>
  </r>
  <r>
    <s v="SP_FishDark02_Generic"/>
    <s v="FishDark"/>
    <s v="PF_FishDark02_Generic"/>
    <n v="240"/>
    <n v="240"/>
    <n v="14"/>
    <n v="50"/>
    <n v="0"/>
    <n v="0"/>
    <s v="-"/>
    <n v="0"/>
    <n v="0"/>
    <n v="0"/>
    <n v="0"/>
    <n v="4"/>
    <n v="0.4"/>
    <n v="4"/>
    <n v="0.1"/>
    <x v="27"/>
  </r>
  <r>
    <s v="SP_FishDark03_Generic"/>
    <s v="FishDark"/>
    <s v="PF_FishDark03_Generic"/>
    <n v="240"/>
    <n v="240"/>
    <n v="14"/>
    <n v="50"/>
    <n v="0"/>
    <n v="0"/>
    <s v="-"/>
    <n v="0"/>
    <n v="0"/>
    <n v="0"/>
    <n v="0"/>
    <n v="14"/>
    <n v="1.3"/>
    <n v="14"/>
    <n v="0.3"/>
    <x v="27"/>
  </r>
  <r>
    <s v="SP_Fish_Random_Generic"/>
    <s v="Fish01_Generic"/>
    <s v="PF_Fish01_Generic"/>
    <n v="100"/>
    <n v="100"/>
    <n v="2"/>
    <n v="25"/>
    <n v="0"/>
    <n v="0"/>
    <s v="-"/>
    <n v="22"/>
    <n v="0.9"/>
    <n v="84"/>
    <n v="4.2"/>
    <n v="0"/>
    <n v="0"/>
    <n v="106"/>
    <n v="1.9"/>
    <x v="27"/>
  </r>
  <r>
    <s v="SP_FlyingBunny"/>
    <s v="FlyingBunny"/>
    <s v="PF_FlyingBunny"/>
    <n v="140"/>
    <n v="140"/>
    <n v="6"/>
    <n v="75"/>
    <n v="0"/>
    <n v="0"/>
    <s v="-"/>
    <n v="16"/>
    <n v="0.7"/>
    <n v="14"/>
    <n v="0.7"/>
    <n v="0"/>
    <n v="0"/>
    <n v="30"/>
    <n v="0.5"/>
    <x v="28"/>
  </r>
  <r>
    <s v="SP_FlyingPig"/>
    <s v="FlyingPig"/>
    <s v="PF_FlyingPig"/>
    <n v="5000"/>
    <n v="5000"/>
    <n v="70"/>
    <n v="75"/>
    <n v="0"/>
    <n v="0"/>
    <s v="-"/>
    <n v="21"/>
    <n v="0.9"/>
    <n v="20"/>
    <n v="1"/>
    <n v="27"/>
    <n v="2.5"/>
    <n v="68"/>
    <n v="1.2"/>
    <x v="29"/>
  </r>
  <r>
    <s v="SP_Ghost01"/>
    <s v="Ghost01"/>
    <s v="PF_Ghost01"/>
    <n v="250"/>
    <n v="250"/>
    <n v="3"/>
    <n v="143"/>
    <n v="3"/>
    <n v="3"/>
    <n v="5"/>
    <n v="78"/>
    <n v="3.2"/>
    <n v="26"/>
    <n v="1.3"/>
    <n v="18"/>
    <n v="1.7"/>
    <n v="122"/>
    <n v="2.2000000000000002"/>
    <x v="30"/>
  </r>
  <r>
    <s v="SP_Ghost01_Static"/>
    <s v="Ghost01"/>
    <s v="PF_Ghost01_Static"/>
    <n v="250"/>
    <n v="250"/>
    <n v="3"/>
    <n v="143"/>
    <n v="3"/>
    <n v="3"/>
    <n v="7"/>
    <n v="26"/>
    <n v="1.1000000000000001"/>
    <n v="0"/>
    <n v="0"/>
    <n v="10"/>
    <n v="0.9"/>
    <n v="36"/>
    <n v="0.7"/>
    <x v="30"/>
  </r>
  <r>
    <s v="SP_Ghost02"/>
    <s v="Ghost02"/>
    <s v="PF_Ghost02"/>
    <n v="300"/>
    <n v="300"/>
    <n v="4"/>
    <n v="195"/>
    <n v="4"/>
    <n v="4"/>
    <n v="11"/>
    <n v="30"/>
    <n v="1.2"/>
    <n v="6"/>
    <n v="0.3"/>
    <n v="18"/>
    <n v="1.7"/>
    <n v="54"/>
    <n v="1"/>
    <x v="31"/>
  </r>
  <r>
    <s v="SP_Ghost02_Static"/>
    <s v="Ghost02"/>
    <s v="PF_Ghost02_Static"/>
    <n v="300"/>
    <n v="300"/>
    <n v="4"/>
    <n v="195"/>
    <n v="4"/>
    <n v="4"/>
    <n v="11"/>
    <n v="35"/>
    <n v="1.4"/>
    <n v="0"/>
    <n v="0"/>
    <n v="9"/>
    <n v="0.8"/>
    <n v="44"/>
    <n v="0.8"/>
    <x v="31"/>
  </r>
  <r>
    <s v="SP_Ghost03"/>
    <s v="Ghost03"/>
    <s v="PF_Ghost03"/>
    <n v="340"/>
    <n v="340"/>
    <n v="5"/>
    <n v="263"/>
    <n v="5"/>
    <n v="5"/>
    <n v="21"/>
    <n v="13"/>
    <n v="0.5"/>
    <n v="5"/>
    <n v="0.3"/>
    <n v="17"/>
    <n v="1.6"/>
    <n v="35"/>
    <n v="0.6"/>
    <x v="32"/>
  </r>
  <r>
    <s v="SP_Ghost03_Static"/>
    <s v="Ghost03"/>
    <s v="PF_Ghost03_Static"/>
    <n v="340"/>
    <n v="340"/>
    <n v="5"/>
    <n v="263"/>
    <n v="5"/>
    <n v="5"/>
    <n v="21"/>
    <n v="24"/>
    <n v="1"/>
    <n v="8"/>
    <n v="0.4"/>
    <n v="21"/>
    <n v="2"/>
    <n v="53"/>
    <n v="1"/>
    <x v="32"/>
  </r>
  <r>
    <s v="SP_GoblinBoat"/>
    <s v="GoblinBoat"/>
    <s v="PF_GoblinBoat"/>
    <n v="210"/>
    <n v="210"/>
    <n v="10"/>
    <n v="83"/>
    <n v="1"/>
    <n v="1"/>
    <s v="-"/>
    <n v="0"/>
    <n v="0"/>
    <n v="0"/>
    <n v="0"/>
    <n v="0"/>
    <n v="0"/>
    <n v="0"/>
    <n v="0"/>
    <x v="33"/>
  </r>
  <r>
    <s v="SP_GoblinBoat_Static"/>
    <s v="GoblinBoat"/>
    <s v="PF_GoblinBoat_Static"/>
    <n v="210"/>
    <n v="210"/>
    <n v="10"/>
    <n v="83"/>
    <n v="1"/>
    <n v="1"/>
    <s v="-"/>
    <n v="3"/>
    <n v="0.1"/>
    <n v="0"/>
    <n v="0"/>
    <n v="0"/>
    <n v="0"/>
    <n v="3"/>
    <n v="0.1"/>
    <x v="33"/>
  </r>
  <r>
    <s v="SP_GoblinDrone"/>
    <s v="GoblinDrone"/>
    <s v="PF_GoblinDrone"/>
    <n v="180"/>
    <n v="180"/>
    <n v="100"/>
    <n v="105"/>
    <n v="3"/>
    <n v="3"/>
    <n v="25"/>
    <n v="0"/>
    <n v="0"/>
    <n v="34"/>
    <n v="1.7"/>
    <n v="0"/>
    <n v="0"/>
    <n v="34"/>
    <n v="0.6"/>
    <x v="34"/>
  </r>
  <r>
    <s v="SP_GoblinDroneFood"/>
    <s v="GoblinDroneFood"/>
    <s v="PF_GoblinDroneFood"/>
    <n v="120"/>
    <n v="120"/>
    <n v="35"/>
    <n v="45"/>
    <n v="2"/>
    <n v="2"/>
    <s v="-"/>
    <n v="0"/>
    <n v="0"/>
    <n v="74"/>
    <n v="3.7"/>
    <n v="0"/>
    <n v="0"/>
    <n v="74"/>
    <n v="1.3"/>
    <x v="35"/>
  </r>
  <r>
    <s v="SP_GoblinWarMachine"/>
    <s v="GoblinWarMachine"/>
    <s v="PF_GoblinWarMachine"/>
    <n v="300"/>
    <n v="300"/>
    <n v="200"/>
    <n v="83"/>
    <n v="1"/>
    <n v="1"/>
    <n v="25"/>
    <n v="1"/>
    <n v="0"/>
    <n v="3"/>
    <n v="0.2"/>
    <n v="0"/>
    <n v="0"/>
    <n v="4"/>
    <n v="0.1"/>
    <x v="36"/>
  </r>
  <r>
    <s v="SP_GoblinWarMachineSpace"/>
    <s v="GoblinWarMachine"/>
    <s v="PF_GoblinWarMachineSpace"/>
    <n v="300"/>
    <n v="300"/>
    <n v="200"/>
    <n v="83"/>
    <n v="1"/>
    <n v="1"/>
    <n v="25"/>
    <n v="7"/>
    <n v="0.3"/>
    <n v="2"/>
    <n v="0.1"/>
    <n v="2"/>
    <n v="0.2"/>
    <n v="11"/>
    <n v="0.2"/>
    <x v="36"/>
  </r>
  <r>
    <s v="SP_GoodJunkBoost"/>
    <s v="Boost"/>
    <s v="PF_Boost"/>
    <n v="500"/>
    <n v="500"/>
    <n v="0"/>
    <n v="10"/>
    <n v="0"/>
    <n v="0"/>
    <s v="-"/>
    <n v="10"/>
    <n v="0.4"/>
    <n v="4"/>
    <n v="0.2"/>
    <n v="2"/>
    <n v="0.2"/>
    <n v="16"/>
    <n v="0.3"/>
    <x v="37"/>
  </r>
  <r>
    <s v="SP_GoodJunkBottle"/>
    <s v="GoodJunkBottle"/>
    <s v="PF_GoodJunkBottle"/>
    <n v="500"/>
    <n v="500"/>
    <n v="0"/>
    <n v="25"/>
    <n v="0"/>
    <n v="0"/>
    <s v="-"/>
    <n v="26"/>
    <n v="1.1000000000000001"/>
    <n v="60"/>
    <n v="3"/>
    <n v="24"/>
    <n v="2.2999999999999998"/>
    <n v="110"/>
    <n v="2"/>
    <x v="38"/>
  </r>
  <r>
    <s v="SP_GoodJunkRandom"/>
    <s v="GoodJunkRandomCoins"/>
    <s v="PF_GoodJunkRandomCoins"/>
    <n v="180"/>
    <n v="180"/>
    <n v="0"/>
    <n v="10"/>
    <n v="0"/>
    <n v="0"/>
    <s v="-"/>
    <n v="12"/>
    <n v="0.5"/>
    <n v="6"/>
    <n v="0.3"/>
    <n v="5"/>
    <n v="0.5"/>
    <n v="23"/>
    <n v="0.4"/>
    <x v="39"/>
  </r>
  <r>
    <s v="SP_GoodJunkRing1"/>
    <s v="Ring"/>
    <s v="PF_Ring1"/>
    <n v="240"/>
    <n v="240"/>
    <n v="0"/>
    <n v="10"/>
    <n v="0"/>
    <n v="0"/>
    <s v="-"/>
    <n v="3"/>
    <n v="0.1"/>
    <n v="4"/>
    <n v="0.2"/>
    <n v="0"/>
    <n v="0"/>
    <n v="7"/>
    <n v="0.1"/>
    <x v="40"/>
  </r>
  <r>
    <s v="SP_GoodJunkRing1_Static"/>
    <s v="Ring"/>
    <s v="PF_Ring1_Static"/>
    <n v="240"/>
    <n v="240"/>
    <n v="0"/>
    <n v="10"/>
    <n v="0"/>
    <n v="0"/>
    <s v="-"/>
    <n v="20"/>
    <n v="0.8"/>
    <n v="4"/>
    <n v="0.2"/>
    <n v="1"/>
    <n v="0.1"/>
    <n v="25"/>
    <n v="0.5"/>
    <x v="40"/>
  </r>
  <r>
    <s v="SP_GoodJunkRing2"/>
    <s v="Ring"/>
    <s v="PF_Ring2"/>
    <n v="240"/>
    <n v="240"/>
    <n v="0"/>
    <n v="10"/>
    <n v="0"/>
    <n v="0"/>
    <s v="-"/>
    <n v="5"/>
    <n v="0.2"/>
    <n v="1"/>
    <n v="0.1"/>
    <n v="1"/>
    <n v="0.1"/>
    <n v="7"/>
    <n v="0.1"/>
    <x v="40"/>
  </r>
  <r>
    <s v="SP_GoodJunkRing2_Static"/>
    <s v="Ring"/>
    <s v="PF_Ring2_Static"/>
    <n v="240"/>
    <n v="240"/>
    <n v="0"/>
    <n v="10"/>
    <n v="0"/>
    <n v="0"/>
    <s v="-"/>
    <n v="9"/>
    <n v="0.4"/>
    <n v="14"/>
    <n v="0.7"/>
    <n v="10"/>
    <n v="0.9"/>
    <n v="33"/>
    <n v="0.6"/>
    <x v="40"/>
  </r>
  <r>
    <s v="SP_GoodJunkRoulette"/>
    <s v="RouletteCoins"/>
    <s v="PF_RouletteCoins"/>
    <n v="240"/>
    <n v="240"/>
    <n v="0"/>
    <n v="10"/>
    <n v="0"/>
    <n v="0"/>
    <s v="-"/>
    <n v="13"/>
    <n v="0.5"/>
    <n v="2"/>
    <n v="0.1"/>
    <n v="7"/>
    <n v="0.7"/>
    <n v="22"/>
    <n v="0.4"/>
    <x v="41"/>
  </r>
  <r>
    <s v="SP_GoodJunkScore"/>
    <s v="GoodJunkScore"/>
    <s v="PF_GoodJunkScore"/>
    <n v="500"/>
    <n v="500"/>
    <n v="0"/>
    <n v="50"/>
    <n v="0"/>
    <n v="0"/>
    <s v="-"/>
    <n v="38"/>
    <n v="1.5"/>
    <n v="43"/>
    <n v="2.2000000000000002"/>
    <n v="27"/>
    <n v="2.5"/>
    <n v="108"/>
    <n v="2"/>
    <x v="42"/>
  </r>
  <r>
    <s v="SP_GoodJunkStar"/>
    <s v="StarSky"/>
    <s v="PF_Star"/>
    <n v="500"/>
    <n v="500"/>
    <n v="0"/>
    <n v="50"/>
    <n v="0"/>
    <n v="0"/>
    <s v="-"/>
    <n v="201"/>
    <n v="8.1999999999999993"/>
    <n v="18"/>
    <n v="0.9"/>
    <n v="101"/>
    <n v="9.5"/>
    <n v="320"/>
    <n v="5.8"/>
    <x v="43"/>
  </r>
  <r>
    <s v="SP_GoodWitch"/>
    <s v="GoodWitch"/>
    <s v="PF_WitchGood"/>
    <n v="200"/>
    <n v="200"/>
    <n v="20"/>
    <n v="25"/>
    <n v="0"/>
    <n v="0"/>
    <s v="-"/>
    <n v="5"/>
    <n v="0.2"/>
    <n v="0"/>
    <n v="0"/>
    <n v="11"/>
    <n v="1"/>
    <n v="16"/>
    <n v="0.3"/>
    <x v="44"/>
  </r>
  <r>
    <s v="SP_GoodWitch02"/>
    <s v="GoodWitch02"/>
    <s v="PF_WitchGood02"/>
    <n v="200"/>
    <n v="200"/>
    <n v="15"/>
    <n v="95"/>
    <n v="0"/>
    <n v="0"/>
    <s v="-"/>
    <n v="0"/>
    <n v="0"/>
    <n v="0"/>
    <n v="0"/>
    <n v="0"/>
    <n v="0"/>
    <n v="0"/>
    <n v="0"/>
    <x v="44"/>
  </r>
  <r>
    <s v="SP_GoodWitch_Mix"/>
    <s v="GoodWitch"/>
    <s v="PF_WitchGood"/>
    <n v="200"/>
    <n v="200"/>
    <n v="20"/>
    <n v="25"/>
    <n v="0"/>
    <n v="0"/>
    <s v="-"/>
    <n v="0"/>
    <n v="0"/>
    <n v="0"/>
    <n v="0"/>
    <n v="7"/>
    <n v="0.7"/>
    <n v="7"/>
    <n v="0.1"/>
    <x v="44"/>
  </r>
  <r>
    <s v="SP_Guardian"/>
    <s v="Guardian"/>
    <s v="PF_Guardian"/>
    <n v="310"/>
    <n v="310"/>
    <n v="400"/>
    <n v="103"/>
    <n v="1"/>
    <n v="2"/>
    <n v="60"/>
    <n v="0"/>
    <n v="0"/>
    <n v="13"/>
    <n v="0.7"/>
    <n v="0"/>
    <n v="0"/>
    <n v="13"/>
    <n v="0.2"/>
    <x v="45"/>
  </r>
  <r>
    <s v="SP_HangingCage"/>
    <s v="-"/>
    <s v="PF_HangingCage"/>
    <n v="450"/>
    <n v="450"/>
    <s v="-"/>
    <m/>
    <m/>
    <m/>
    <m/>
    <n v="6"/>
    <n v="0.2"/>
    <n v="7"/>
    <n v="0.4"/>
    <n v="7"/>
    <n v="0.7"/>
    <n v="20"/>
    <n v="0.4"/>
    <x v="46"/>
  </r>
  <r>
    <s v="SP_Hawk"/>
    <s v="Hawk"/>
    <s v="PF_Hawk"/>
    <n v="180"/>
    <n v="180"/>
    <n v="20"/>
    <n v="25"/>
    <n v="0"/>
    <n v="0"/>
    <n v="25"/>
    <n v="17"/>
    <n v="0.7"/>
    <n v="8"/>
    <n v="0.4"/>
    <n v="0"/>
    <n v="0"/>
    <n v="25"/>
    <n v="0.5"/>
    <x v="47"/>
  </r>
  <r>
    <s v="SP_HermitCrabBlueBig"/>
    <s v="HermitCrabBlueBig"/>
    <s v="PF_HermitCrabBlueBig"/>
    <n v="90"/>
    <n v="90"/>
    <n v="18"/>
    <n v="25"/>
    <n v="2"/>
    <n v="2"/>
    <s v="-"/>
    <n v="0"/>
    <n v="0"/>
    <n v="0"/>
    <n v="0"/>
    <n v="17"/>
    <n v="1.6"/>
    <n v="17"/>
    <n v="0.3"/>
    <x v="48"/>
  </r>
  <r>
    <s v="SP_HermitCrabBlueSmall"/>
    <s v="HermitCrabBlueSmall"/>
    <s v="PF_HermitCrabBlueSmall"/>
    <n v="80"/>
    <n v="80"/>
    <n v="13"/>
    <n v="25"/>
    <n v="2"/>
    <n v="2"/>
    <s v="-"/>
    <n v="0"/>
    <n v="0"/>
    <n v="0"/>
    <n v="0"/>
    <n v="39"/>
    <n v="3.7"/>
    <n v="39"/>
    <n v="0.7"/>
    <x v="49"/>
  </r>
  <r>
    <s v="SP_HermitCrabBlueSmallTurret"/>
    <s v="HermitCrabBlueSmallTurret"/>
    <s v="PF_HermitCrabBlueSmallTurret"/>
    <n v="80"/>
    <n v="80"/>
    <n v="13"/>
    <n v="25"/>
    <n v="2"/>
    <n v="2"/>
    <s v="-"/>
    <n v="0"/>
    <n v="0"/>
    <n v="0"/>
    <n v="0"/>
    <n v="17"/>
    <n v="1.6"/>
    <n v="17"/>
    <n v="0.3"/>
    <x v="49"/>
  </r>
  <r>
    <s v="SP_HermitCrabRedTurret"/>
    <s v="HermitCrabRedTurret"/>
    <s v="PF_HermitCrabRedlTurret"/>
    <n v="150"/>
    <n v="150"/>
    <n v="18"/>
    <n v="55"/>
    <n v="2"/>
    <n v="2"/>
    <n v="10"/>
    <n v="0"/>
    <n v="0"/>
    <n v="0"/>
    <n v="0"/>
    <n v="7"/>
    <n v="0.7"/>
    <n v="7"/>
    <n v="0.1"/>
    <x v="50"/>
  </r>
  <r>
    <s v="SP_Horse"/>
    <s v="Horse"/>
    <s v="PF_Horse"/>
    <n v="220"/>
    <n v="220"/>
    <n v="25"/>
    <n v="83"/>
    <n v="1"/>
    <n v="1"/>
    <s v="-"/>
    <n v="4"/>
    <n v="0.2"/>
    <n v="0"/>
    <n v="0"/>
    <n v="0"/>
    <n v="0"/>
    <n v="4"/>
    <n v="0.1"/>
    <x v="51"/>
  </r>
  <r>
    <s v="SP_Horse_Static"/>
    <s v="Horse"/>
    <s v="PF_Horse_Static"/>
    <n v="220"/>
    <n v="220"/>
    <n v="25"/>
    <n v="83"/>
    <n v="1"/>
    <n v="1"/>
    <s v="-"/>
    <n v="5"/>
    <n v="0.2"/>
    <n v="3"/>
    <n v="0.2"/>
    <n v="0"/>
    <n v="0"/>
    <n v="8"/>
    <n v="0.1"/>
    <x v="51"/>
  </r>
  <r>
    <s v="SP_JellyfishBlue"/>
    <s v="JellyfishBlue"/>
    <s v="PF_JellyfishBlue"/>
    <n v="200"/>
    <n v="200"/>
    <n v="10"/>
    <n v="130"/>
    <n v="4"/>
    <n v="4"/>
    <n v="21"/>
    <n v="0"/>
    <n v="0"/>
    <n v="0"/>
    <n v="0"/>
    <n v="25"/>
    <n v="2.2999999999999998"/>
    <n v="25"/>
    <n v="0.5"/>
    <x v="52"/>
  </r>
  <r>
    <s v="SP_JellyfishBlue_Static"/>
    <s v="JellyfishBlue"/>
    <s v="PF_JellyfishBlue_Static"/>
    <n v="200"/>
    <n v="200"/>
    <n v="10"/>
    <n v="130"/>
    <n v="4"/>
    <n v="4"/>
    <n v="21"/>
    <n v="0"/>
    <n v="0"/>
    <n v="0"/>
    <n v="0"/>
    <n v="7"/>
    <n v="0.7"/>
    <n v="7"/>
    <n v="0.1"/>
    <x v="52"/>
  </r>
  <r>
    <s v="SP_JellyfishRed"/>
    <s v="JellyfishRed"/>
    <s v="PF_JellyfishRed"/>
    <n v="250"/>
    <n v="250"/>
    <n v="12"/>
    <n v="263"/>
    <n v="5"/>
    <n v="5"/>
    <n v="25"/>
    <n v="0"/>
    <n v="0"/>
    <n v="0"/>
    <n v="0"/>
    <n v="18"/>
    <n v="1.7"/>
    <n v="18"/>
    <n v="0.3"/>
    <x v="53"/>
  </r>
  <r>
    <s v="SP_JellyfishRed_Static"/>
    <s v="JellyfishRed"/>
    <s v="PF_JellyfishRed_Static"/>
    <n v="250"/>
    <n v="250"/>
    <n v="12"/>
    <n v="263"/>
    <n v="5"/>
    <n v="5"/>
    <n v="25"/>
    <n v="0"/>
    <n v="0"/>
    <n v="0"/>
    <n v="0"/>
    <n v="6"/>
    <n v="0.6"/>
    <n v="6"/>
    <n v="0.1"/>
    <x v="53"/>
  </r>
  <r>
    <s v="SP_Kamikaze"/>
    <s v="Kamikaze"/>
    <s v="PF_Kamikaze"/>
    <n v="200"/>
    <n v="200"/>
    <n v="32"/>
    <n v="75"/>
    <n v="0"/>
    <n v="0"/>
    <n v="40"/>
    <n v="18"/>
    <n v="0.7"/>
    <n v="26"/>
    <n v="1.3"/>
    <n v="0"/>
    <n v="0"/>
    <n v="44"/>
    <n v="0.8"/>
    <x v="54"/>
  </r>
  <r>
    <s v="SP_LionBird"/>
    <s v="LionBird"/>
    <s v="PF_LionBird"/>
    <n v="170"/>
    <n v="170"/>
    <n v="10"/>
    <n v="70"/>
    <n v="2"/>
    <n v="2"/>
    <n v="5"/>
    <n v="34"/>
    <n v="1.4"/>
    <n v="49"/>
    <n v="2.5"/>
    <n v="0"/>
    <n v="0"/>
    <n v="83"/>
    <n v="1.5"/>
    <x v="55"/>
  </r>
  <r>
    <s v="SP_MexicanPepper"/>
    <s v="MexicanPepper"/>
    <s v="PF_MexicanPepper"/>
    <n v="5000"/>
    <n v="5000"/>
    <n v="1"/>
    <n v="25"/>
    <n v="0"/>
    <n v="0"/>
    <s v="-"/>
    <n v="22"/>
    <n v="0.9"/>
    <n v="13"/>
    <n v="0.7"/>
    <n v="12"/>
    <n v="1.1000000000000001"/>
    <n v="47"/>
    <n v="0.9"/>
    <x v="56"/>
  </r>
  <r>
    <s v="SP_MineBig"/>
    <s v="MineBig"/>
    <s v="PF_MineBig"/>
    <n v="2500"/>
    <n v="2500"/>
    <n v="0"/>
    <n v="263"/>
    <n v="5"/>
    <n v="5"/>
    <n v="350"/>
    <n v="11"/>
    <n v="0.4"/>
    <n v="1"/>
    <n v="0.1"/>
    <n v="0"/>
    <n v="0"/>
    <n v="12"/>
    <n v="0.2"/>
    <x v="57"/>
  </r>
  <r>
    <s v="SP_MineBig_Static"/>
    <s v="MineBig"/>
    <s v="PF_MineBig_Static"/>
    <n v="2500"/>
    <n v="2500"/>
    <n v="0"/>
    <n v="263"/>
    <n v="5"/>
    <n v="5"/>
    <n v="350"/>
    <n v="8"/>
    <n v="0.3"/>
    <n v="9"/>
    <n v="0.5"/>
    <n v="0"/>
    <n v="0"/>
    <n v="17"/>
    <n v="0.3"/>
    <x v="57"/>
  </r>
  <r>
    <s v="SP_MineMedium"/>
    <s v="MineMedium"/>
    <s v="PF_MineMedium"/>
    <n v="2000"/>
    <n v="2000"/>
    <n v="0"/>
    <n v="175"/>
    <n v="5"/>
    <n v="5"/>
    <n v="150"/>
    <n v="11"/>
    <n v="0.4"/>
    <n v="8"/>
    <n v="0.4"/>
    <n v="0"/>
    <n v="0"/>
    <n v="19"/>
    <n v="0.3"/>
    <x v="58"/>
  </r>
  <r>
    <s v="SP_MineMedium_Static"/>
    <s v="MineMedium"/>
    <s v="PF_MineMedium_Static"/>
    <n v="2000"/>
    <n v="2000"/>
    <n v="0"/>
    <n v="175"/>
    <n v="5"/>
    <n v="5"/>
    <n v="150"/>
    <n v="17"/>
    <n v="0.7"/>
    <n v="9"/>
    <n v="0.5"/>
    <n v="0"/>
    <n v="0"/>
    <n v="26"/>
    <n v="0.5"/>
    <x v="58"/>
  </r>
  <r>
    <s v="SP_Miner01_Mix"/>
    <s v="Miner"/>
    <s v="PF_WorkerMiner"/>
    <n v="200"/>
    <n v="200"/>
    <n v="12"/>
    <n v="90"/>
    <n v="0"/>
    <n v="0"/>
    <s v="-"/>
    <n v="0"/>
    <n v="0"/>
    <n v="155"/>
    <n v="7.8"/>
    <n v="0"/>
    <n v="0"/>
    <n v="155"/>
    <n v="2.8"/>
    <x v="59"/>
  </r>
  <r>
    <s v="SP_Miner02_Mix"/>
    <s v="Miner"/>
    <s v="PF_WorkerMiner"/>
    <n v="200"/>
    <n v="200"/>
    <n v="12"/>
    <n v="90"/>
    <n v="0"/>
    <n v="0"/>
    <s v="-"/>
    <n v="0"/>
    <n v="0"/>
    <n v="15"/>
    <n v="0.8"/>
    <n v="0"/>
    <n v="0"/>
    <n v="15"/>
    <n v="0.3"/>
    <x v="59"/>
  </r>
  <r>
    <s v="SP_Miner03_Mix"/>
    <s v="Miner"/>
    <s v="PF_WorkerMiner"/>
    <n v="200"/>
    <n v="200"/>
    <n v="12"/>
    <n v="90"/>
    <n v="0"/>
    <n v="0"/>
    <s v="-"/>
    <n v="0"/>
    <n v="0"/>
    <n v="43"/>
    <n v="2.2000000000000002"/>
    <n v="0"/>
    <n v="0"/>
    <n v="43"/>
    <n v="0.8"/>
    <x v="59"/>
  </r>
  <r>
    <s v="SP_MineSmall"/>
    <s v="MineSmall"/>
    <s v="PF_MineSmall"/>
    <n v="1500"/>
    <n v="1500"/>
    <n v="2"/>
    <n v="130"/>
    <n v="4"/>
    <n v="4"/>
    <n v="25"/>
    <n v="25"/>
    <n v="1"/>
    <n v="5"/>
    <n v="0.3"/>
    <n v="0"/>
    <n v="0"/>
    <n v="30"/>
    <n v="0.5"/>
    <x v="60"/>
  </r>
  <r>
    <s v="SP_MineSmall_Static"/>
    <s v="MineSmall"/>
    <s v="PF_MineSmall_Static"/>
    <n v="1500"/>
    <n v="1500"/>
    <n v="2"/>
    <n v="130"/>
    <n v="4"/>
    <n v="4"/>
    <n v="25"/>
    <n v="31"/>
    <n v="1.3"/>
    <n v="22"/>
    <n v="1.1000000000000001"/>
    <n v="0"/>
    <n v="0"/>
    <n v="53"/>
    <n v="1"/>
    <x v="60"/>
  </r>
  <r>
    <s v="SP_Mushroom"/>
    <s v="Mushroom"/>
    <s v="PF_Mushroom"/>
    <n v="210"/>
    <n v="210"/>
    <n v="15"/>
    <n v="65"/>
    <n v="4"/>
    <n v="4"/>
    <n v="15"/>
    <n v="0"/>
    <n v="0"/>
    <n v="0"/>
    <n v="0"/>
    <n v="5"/>
    <n v="0.5"/>
    <n v="5"/>
    <n v="0.1"/>
    <x v="61"/>
  </r>
  <r>
    <s v="SP_MushroomBig"/>
    <s v="Mushroom"/>
    <s v="PF_MushroomBig"/>
    <n v="210"/>
    <n v="210"/>
    <n v="15"/>
    <n v="65"/>
    <n v="4"/>
    <n v="4"/>
    <n v="15"/>
    <n v="0"/>
    <n v="0"/>
    <n v="0"/>
    <n v="0"/>
    <n v="3"/>
    <n v="0.3"/>
    <n v="3"/>
    <n v="0.1"/>
    <x v="61"/>
  </r>
  <r>
    <s v="SP_MushroomPrey"/>
    <s v="MushroomPrey"/>
    <s v="PF_MushroomPrey"/>
    <n v="210"/>
    <n v="210"/>
    <n v="14"/>
    <n v="50"/>
    <n v="2"/>
    <n v="2"/>
    <n v="15"/>
    <n v="0"/>
    <n v="0"/>
    <n v="0"/>
    <n v="0"/>
    <n v="7"/>
    <n v="0.7"/>
    <n v="7"/>
    <n v="0.1"/>
    <x v="62"/>
  </r>
  <r>
    <s v="SP_OwlBig"/>
    <s v="OwlBig"/>
    <s v="PF_OwlBig"/>
    <n v="200"/>
    <n v="200"/>
    <n v="10"/>
    <n v="28"/>
    <n v="1"/>
    <n v="1"/>
    <s v="-"/>
    <n v="32"/>
    <n v="1.3"/>
    <n v="28"/>
    <n v="1.4"/>
    <n v="0"/>
    <n v="0"/>
    <n v="60"/>
    <n v="1.1000000000000001"/>
    <x v="63"/>
  </r>
  <r>
    <s v="SP_OwlWhite"/>
    <s v="OwlWhite"/>
    <s v="PF_OwlWhite"/>
    <n v="150"/>
    <n v="150"/>
    <n v="14"/>
    <n v="50"/>
    <n v="0"/>
    <n v="0"/>
    <s v="-"/>
    <n v="0"/>
    <n v="0"/>
    <n v="0"/>
    <n v="0"/>
    <n v="7"/>
    <n v="0.7"/>
    <n v="7"/>
    <n v="0.1"/>
    <x v="63"/>
  </r>
  <r>
    <s v="SP_Piranha"/>
    <s v="Piranha"/>
    <s v="PF_Piranha"/>
    <n v="170"/>
    <n v="170"/>
    <n v="5"/>
    <n v="28"/>
    <n v="1"/>
    <n v="1"/>
    <n v="2"/>
    <n v="18"/>
    <n v="0.7"/>
    <n v="18"/>
    <n v="0.9"/>
    <n v="0"/>
    <n v="0"/>
    <n v="36"/>
    <n v="0.7"/>
    <x v="64"/>
  </r>
  <r>
    <s v="SP_PiranhaDark"/>
    <s v="PiranhaDark"/>
    <s v="PF_PiranhaDark"/>
    <n v="170"/>
    <n v="170"/>
    <n v="10"/>
    <n v="70"/>
    <n v="2"/>
    <n v="2"/>
    <n v="2"/>
    <n v="0"/>
    <n v="0"/>
    <n v="0"/>
    <n v="0"/>
    <n v="5"/>
    <n v="0.5"/>
    <n v="5"/>
    <n v="0.1"/>
    <x v="64"/>
  </r>
  <r>
    <s v="SP_PufferBird"/>
    <s v="PufferBird"/>
    <s v="PF_PufferBird"/>
    <n v="220"/>
    <n v="220"/>
    <n v="8"/>
    <n v="25"/>
    <n v="0"/>
    <n v="0"/>
    <n v="8"/>
    <n v="30"/>
    <n v="1.2"/>
    <n v="27"/>
    <n v="1.4"/>
    <n v="0"/>
    <n v="0"/>
    <n v="57"/>
    <n v="1"/>
    <x v="65"/>
  </r>
  <r>
    <s v="SP_Rat"/>
    <s v="Rat"/>
    <s v="PF_Rat"/>
    <n v="120"/>
    <n v="120"/>
    <n v="2"/>
    <n v="25"/>
    <n v="0"/>
    <n v="0"/>
    <s v="-"/>
    <n v="49"/>
    <n v="2"/>
    <n v="54"/>
    <n v="2.7"/>
    <n v="0"/>
    <n v="0"/>
    <n v="103"/>
    <n v="1.9"/>
    <x v="66"/>
  </r>
  <r>
    <s v="SP_RatGrey"/>
    <s v="RatGrey"/>
    <s v="PF_RatGrey"/>
    <n v="120"/>
    <n v="120"/>
    <n v="5"/>
    <n v="40"/>
    <n v="0"/>
    <n v="0"/>
    <s v="-"/>
    <n v="0"/>
    <n v="0"/>
    <n v="0"/>
    <n v="0"/>
    <n v="12"/>
    <n v="1.1000000000000001"/>
    <n v="12"/>
    <n v="0.2"/>
    <x v="66"/>
  </r>
  <r>
    <s v="SP_RatWall"/>
    <s v="Rat"/>
    <s v="PF_RatWall"/>
    <n v="120"/>
    <n v="120"/>
    <n v="2"/>
    <n v="25"/>
    <n v="0"/>
    <n v="0"/>
    <s v="-"/>
    <n v="3"/>
    <n v="0.1"/>
    <n v="0"/>
    <n v="0"/>
    <n v="0"/>
    <n v="0"/>
    <n v="3"/>
    <n v="0.1"/>
    <x v="66"/>
  </r>
  <r>
    <s v="SP_Rat_Static"/>
    <s v="Rat"/>
    <s v="PF_Rat_Static"/>
    <n v="120"/>
    <n v="120"/>
    <n v="2"/>
    <n v="25"/>
    <n v="0"/>
    <n v="0"/>
    <s v="-"/>
    <n v="0"/>
    <n v="0"/>
    <n v="0"/>
    <n v="0"/>
    <n v="0"/>
    <n v="0"/>
    <n v="0"/>
    <n v="0"/>
    <x v="66"/>
  </r>
  <r>
    <s v="SP_Razorback"/>
    <s v="Razorback"/>
    <s v="PF_Razorback"/>
    <n v="280"/>
    <n v="280"/>
    <n v="20"/>
    <n v="70"/>
    <n v="2"/>
    <n v="2"/>
    <s v="-"/>
    <n v="12"/>
    <n v="0.5"/>
    <n v="6"/>
    <n v="0.3"/>
    <n v="5"/>
    <n v="0.5"/>
    <n v="23"/>
    <n v="0.4"/>
    <x v="67"/>
  </r>
  <r>
    <s v="SP_RazorbackBaby"/>
    <s v="RazorbackBaby"/>
    <s v="PF_RazorbackBaby"/>
    <n v="240"/>
    <n v="240"/>
    <n v="12"/>
    <n v="75"/>
    <n v="0"/>
    <n v="0"/>
    <s v="-"/>
    <n v="6"/>
    <n v="0.2"/>
    <n v="0"/>
    <n v="0"/>
    <n v="0"/>
    <n v="0"/>
    <n v="6"/>
    <n v="0.1"/>
    <x v="68"/>
  </r>
  <r>
    <s v="SP_Richman"/>
    <s v="RichMan"/>
    <s v="PF_Richman"/>
    <n v="260"/>
    <n v="260"/>
    <n v="15"/>
    <n v="50"/>
    <n v="0"/>
    <n v="0"/>
    <s v="-"/>
    <n v="0"/>
    <n v="0"/>
    <n v="7"/>
    <n v="0.4"/>
    <n v="0"/>
    <n v="0"/>
    <n v="7"/>
    <n v="0.1"/>
    <x v="69"/>
  </r>
  <r>
    <s v="SP_RichMan_Static"/>
    <s v="RichMan"/>
    <s v="PF_RichMan_Static"/>
    <n v="260"/>
    <n v="260"/>
    <n v="15"/>
    <n v="50"/>
    <n v="0"/>
    <n v="0"/>
    <s v="-"/>
    <n v="0"/>
    <n v="0"/>
    <n v="16"/>
    <n v="0.8"/>
    <n v="0"/>
    <n v="0"/>
    <n v="16"/>
    <n v="0.3"/>
    <x v="69"/>
  </r>
  <r>
    <s v="SP_Scarab"/>
    <s v="Scarab"/>
    <s v="PF_Scarab"/>
    <n v="110"/>
    <n v="110"/>
    <n v="20"/>
    <n v="105"/>
    <n v="2"/>
    <n v="2"/>
    <s v="-"/>
    <n v="0"/>
    <n v="0"/>
    <n v="0"/>
    <n v="0"/>
    <n v="16"/>
    <n v="1.5"/>
    <n v="16"/>
    <n v="0.3"/>
    <x v="70"/>
  </r>
  <r>
    <s v="SP_SeatVillager"/>
    <s v="BoatFisher"/>
    <s v="PF_SeatVillager"/>
    <n v="130"/>
    <n v="130"/>
    <n v="15"/>
    <n v="50"/>
    <n v="0"/>
    <n v="0"/>
    <s v="-"/>
    <n v="2"/>
    <n v="0.1"/>
    <n v="0"/>
    <n v="0"/>
    <n v="0"/>
    <n v="0"/>
    <n v="2"/>
    <n v="0"/>
    <x v="7"/>
  </r>
  <r>
    <s v="SP_Shark"/>
    <s v="Shark"/>
    <s v="PF_Shark"/>
    <n v="180"/>
    <n v="180"/>
    <n v="150"/>
    <n v="195"/>
    <n v="4"/>
    <n v="4"/>
    <s v="-"/>
    <n v="0"/>
    <n v="0"/>
    <n v="0"/>
    <n v="0"/>
    <n v="8"/>
    <n v="0.8"/>
    <n v="8"/>
    <n v="0.1"/>
    <x v="71"/>
  </r>
  <r>
    <s v="SP_Sheep"/>
    <s v="Sheep"/>
    <s v="PF_Sheep"/>
    <n v="200"/>
    <n v="200"/>
    <n v="7"/>
    <n v="75"/>
    <n v="0"/>
    <n v="0"/>
    <s v="-"/>
    <n v="44"/>
    <n v="1.8"/>
    <n v="0"/>
    <n v="0"/>
    <n v="0"/>
    <n v="0"/>
    <n v="44"/>
    <n v="0.8"/>
    <x v="72"/>
  </r>
  <r>
    <s v="SP_Sheep_Static"/>
    <s v="Sheep"/>
    <s v="PF_Sheep_Static"/>
    <n v="200"/>
    <n v="200"/>
    <n v="7"/>
    <n v="75"/>
    <n v="0"/>
    <n v="0"/>
    <s v="-"/>
    <n v="1"/>
    <n v="0"/>
    <n v="0"/>
    <n v="0"/>
    <n v="0"/>
    <n v="0"/>
    <n v="1"/>
    <n v="0"/>
    <x v="72"/>
  </r>
  <r>
    <s v="SP_Shieldman"/>
    <s v="ShieldMan"/>
    <s v="PF_Shieldman"/>
    <n v="300"/>
    <n v="300"/>
    <n v="30"/>
    <n v="105"/>
    <n v="2"/>
    <n v="2"/>
    <s v="-"/>
    <n v="0"/>
    <n v="0"/>
    <n v="6"/>
    <n v="0.3"/>
    <n v="0"/>
    <n v="0"/>
    <n v="6"/>
    <n v="0.1"/>
    <x v="73"/>
  </r>
  <r>
    <s v="SP_Slime"/>
    <s v="Slime"/>
    <s v="PF_Slime"/>
    <n v="120"/>
    <n v="120"/>
    <n v="5"/>
    <n v="35"/>
    <n v="2"/>
    <n v="2"/>
    <s v="-"/>
    <n v="0"/>
    <n v="0"/>
    <n v="0"/>
    <n v="0"/>
    <n v="21"/>
    <n v="2"/>
    <n v="21"/>
    <n v="0.4"/>
    <x v="74"/>
  </r>
  <r>
    <s v="SP_SlimePoison"/>
    <s v="SlimePoison"/>
    <s v="PF_SlimePoison"/>
    <n v="120"/>
    <n v="120"/>
    <n v="35"/>
    <n v="130"/>
    <n v="4"/>
    <n v="4"/>
    <n v="50"/>
    <n v="0"/>
    <n v="0"/>
    <n v="0"/>
    <n v="0"/>
    <n v="7"/>
    <n v="0.7"/>
    <n v="7"/>
    <n v="0.1"/>
    <x v="75"/>
  </r>
  <r>
    <s v="SP_SnailUnka"/>
    <s v="SnailUnka"/>
    <s v="PF_SnailUnka"/>
    <n v="120"/>
    <n v="120"/>
    <n v="40"/>
    <n v="48"/>
    <n v="3"/>
    <n v="3"/>
    <s v="-"/>
    <n v="0"/>
    <n v="0"/>
    <n v="0"/>
    <n v="0"/>
    <n v="4"/>
    <n v="0.4"/>
    <n v="4"/>
    <n v="0.1"/>
    <x v="76"/>
  </r>
  <r>
    <s v="SP_Soldier01"/>
    <s v="Soldier"/>
    <s v="PF_Soldier01"/>
    <n v="310"/>
    <n v="310"/>
    <n v="50"/>
    <n v="70"/>
    <n v="2"/>
    <n v="1"/>
    <n v="55"/>
    <n v="0"/>
    <n v="0"/>
    <n v="4"/>
    <n v="0.2"/>
    <n v="0"/>
    <n v="0"/>
    <n v="4"/>
    <n v="0.1"/>
    <x v="77"/>
  </r>
  <r>
    <s v="SP_Soldier01_Static"/>
    <s v="Soldier"/>
    <s v="PF_Soldier01_Static"/>
    <n v="310"/>
    <n v="310"/>
    <n v="50"/>
    <n v="70"/>
    <n v="2"/>
    <n v="1"/>
    <n v="55"/>
    <n v="0"/>
    <n v="0"/>
    <n v="7"/>
    <n v="0.4"/>
    <n v="0"/>
    <n v="0"/>
    <n v="7"/>
    <n v="0.1"/>
    <x v="77"/>
  </r>
  <r>
    <s v="SP_Spartakus"/>
    <s v="Spartakus"/>
    <s v="PF_Spartakus"/>
    <n v="180"/>
    <n v="180"/>
    <n v="30"/>
    <n v="75"/>
    <n v="0"/>
    <n v="0"/>
    <n v="5"/>
    <n v="14"/>
    <n v="0.6"/>
    <n v="17"/>
    <n v="0.9"/>
    <n v="0"/>
    <n v="0"/>
    <n v="31"/>
    <n v="0.6"/>
    <x v="78"/>
  </r>
  <r>
    <s v="SP_SpiderGreenTurret"/>
    <s v="SpiderGreenTurret"/>
    <s v="PF_SpiderGreenTurret"/>
    <n v="170"/>
    <n v="170"/>
    <n v="20"/>
    <n v="70"/>
    <n v="2"/>
    <n v="2"/>
    <n v="10"/>
    <n v="10"/>
    <n v="0.4"/>
    <n v="22"/>
    <n v="1.1000000000000001"/>
    <n v="2"/>
    <n v="0.2"/>
    <n v="34"/>
    <n v="0.6"/>
    <x v="79"/>
  </r>
  <r>
    <s v="SP_SpiderRed"/>
    <s v="SpiderRed"/>
    <s v="PF_SpiderRed"/>
    <n v="170"/>
    <n v="170"/>
    <n v="20"/>
    <n v="70"/>
    <n v="2"/>
    <n v="2"/>
    <n v="25"/>
    <n v="66"/>
    <n v="2.7"/>
    <n v="37"/>
    <n v="1.9"/>
    <n v="9"/>
    <n v="0.8"/>
    <n v="112"/>
    <n v="2"/>
    <x v="80"/>
  </r>
  <r>
    <s v="SP_SpiderSmall"/>
    <s v="SpiderSmall"/>
    <s v="PF_SpiderSmall"/>
    <n v="150"/>
    <n v="150"/>
    <n v="4"/>
    <n v="25"/>
    <n v="0"/>
    <n v="0"/>
    <s v="-"/>
    <n v="254"/>
    <n v="10.3"/>
    <n v="179"/>
    <n v="9"/>
    <n v="27"/>
    <n v="2.5"/>
    <n v="460"/>
    <n v="8.3000000000000007"/>
    <x v="81"/>
  </r>
  <r>
    <s v="SP_SpiderSmallTurret"/>
    <s v="SpiderSmall"/>
    <s v="PF_SpiderSmallTurret"/>
    <n v="150"/>
    <n v="150"/>
    <n v="4"/>
    <n v="25"/>
    <n v="0"/>
    <n v="0"/>
    <s v="-"/>
    <n v="39"/>
    <n v="1.6"/>
    <n v="68"/>
    <n v="3.4"/>
    <n v="5"/>
    <n v="0.5"/>
    <n v="112"/>
    <n v="2"/>
    <x v="81"/>
  </r>
  <r>
    <s v="SP_Starling_Flock"/>
    <s v="Starling_Flock"/>
    <s v="PF_Starling_Flock"/>
    <n v="180"/>
    <n v="180"/>
    <n v="3"/>
    <n v="25"/>
    <n v="0"/>
    <n v="0"/>
    <s v="-"/>
    <n v="46"/>
    <n v="1.9"/>
    <n v="8"/>
    <n v="0.4"/>
    <n v="0"/>
    <n v="0"/>
    <n v="54"/>
    <n v="1"/>
    <x v="82"/>
  </r>
  <r>
    <s v="SP_StingrayLarge"/>
    <s v="StingrayLarge"/>
    <s v="PF_StingrayLarge"/>
    <n v="180"/>
    <n v="180"/>
    <n v="100"/>
    <n v="95"/>
    <n v="3"/>
    <n v="3"/>
    <n v="25"/>
    <n v="0"/>
    <n v="0"/>
    <n v="0"/>
    <n v="0"/>
    <n v="7"/>
    <n v="0.7"/>
    <n v="7"/>
    <n v="0.1"/>
    <x v="83"/>
  </r>
  <r>
    <s v="SP_StingraySmall"/>
    <s v="StingraySmall"/>
    <s v="PF_StingraySmall"/>
    <n v="120"/>
    <n v="120"/>
    <n v="35"/>
    <n v="35"/>
    <n v="2"/>
    <n v="2"/>
    <s v="-"/>
    <n v="0"/>
    <n v="0"/>
    <n v="0"/>
    <n v="0"/>
    <n v="35"/>
    <n v="3.3"/>
    <n v="35"/>
    <n v="0.6"/>
    <x v="84"/>
  </r>
  <r>
    <s v="SP_Troll"/>
    <s v="Troll"/>
    <s v="PF_Troll"/>
    <n v="420"/>
    <n v="420"/>
    <n v="300"/>
    <n v="83"/>
    <n v="1"/>
    <n v="1"/>
    <n v="60"/>
    <n v="15"/>
    <n v="0.6"/>
    <n v="0"/>
    <n v="0"/>
    <n v="3"/>
    <n v="0.3"/>
    <n v="18"/>
    <n v="0.3"/>
    <x v="85"/>
  </r>
  <r>
    <s v="SP_TubeMan"/>
    <s v="Villager01"/>
    <s v="PF_TubeMan"/>
    <n v="0"/>
    <n v="0"/>
    <n v="15"/>
    <n v="50"/>
    <n v="0"/>
    <n v="0"/>
    <s v="-"/>
    <n v="0"/>
    <n v="0"/>
    <n v="10"/>
    <n v="0.5"/>
    <n v="0"/>
    <n v="0"/>
    <n v="10"/>
    <n v="0.2"/>
    <x v="86"/>
  </r>
  <r>
    <s v="SP_Unka"/>
    <s v="Unka"/>
    <s v="PF_UnkasGarlicHead"/>
    <n v="120"/>
    <n v="120"/>
    <n v="40"/>
    <n v="48"/>
    <n v="3"/>
    <n v="3"/>
    <s v="-"/>
    <n v="0"/>
    <n v="0"/>
    <n v="0"/>
    <n v="0"/>
    <n v="23"/>
    <n v="2.2000000000000002"/>
    <n v="23"/>
    <n v="0.4"/>
    <x v="87"/>
  </r>
  <r>
    <s v="SP_Villager01"/>
    <s v="Villager01"/>
    <s v="PF_Villager01"/>
    <n v="220"/>
    <n v="220"/>
    <n v="15"/>
    <n v="50"/>
    <n v="0"/>
    <n v="0"/>
    <s v="-"/>
    <n v="34"/>
    <n v="1.4"/>
    <n v="5"/>
    <n v="0.3"/>
    <n v="0"/>
    <n v="0"/>
    <n v="39"/>
    <n v="0.7"/>
    <x v="86"/>
  </r>
  <r>
    <s v="SP_Villager01_Static"/>
    <s v="Villager01"/>
    <s v="PF_Villager01_Static"/>
    <n v="220"/>
    <n v="220"/>
    <n v="15"/>
    <n v="50"/>
    <n v="0"/>
    <n v="0"/>
    <s v="-"/>
    <n v="15"/>
    <n v="0.6"/>
    <n v="3"/>
    <n v="0.2"/>
    <n v="0"/>
    <n v="0"/>
    <n v="18"/>
    <n v="0.3"/>
    <x v="86"/>
  </r>
  <r>
    <s v="SP_Villager02"/>
    <s v="Villager02"/>
    <s v="PF_Villager02"/>
    <n v="220"/>
    <n v="220"/>
    <n v="15"/>
    <n v="50"/>
    <n v="0"/>
    <n v="0"/>
    <s v="-"/>
    <n v="3"/>
    <n v="0.1"/>
    <n v="0"/>
    <n v="0"/>
    <n v="0"/>
    <n v="0"/>
    <n v="3"/>
    <n v="0.1"/>
    <x v="86"/>
  </r>
  <r>
    <s v="SP_Villager02_Static"/>
    <s v="Villager02"/>
    <s v="PF_Villager02_Static"/>
    <n v="220"/>
    <n v="220"/>
    <n v="15"/>
    <n v="50"/>
    <n v="0"/>
    <n v="0"/>
    <s v="-"/>
    <n v="2"/>
    <n v="0.1"/>
    <n v="0"/>
    <n v="0"/>
    <n v="0"/>
    <n v="0"/>
    <n v="2"/>
    <n v="0"/>
    <x v="86"/>
  </r>
  <r>
    <s v="SP_Villager03"/>
    <s v="RichMan"/>
    <s v="PF_Villager03"/>
    <n v="220"/>
    <n v="220"/>
    <n v="15"/>
    <n v="50"/>
    <n v="0"/>
    <n v="0"/>
    <s v="-"/>
    <n v="0"/>
    <n v="0"/>
    <n v="0"/>
    <n v="0"/>
    <n v="0"/>
    <n v="0"/>
    <n v="0"/>
    <n v="0"/>
    <x v="69"/>
  </r>
  <r>
    <s v="SP_Villager03_Static"/>
    <s v="RichMan"/>
    <s v="PF_Villager03_Static"/>
    <n v="220"/>
    <n v="220"/>
    <n v="15"/>
    <n v="50"/>
    <n v="0"/>
    <n v="0"/>
    <s v="-"/>
    <n v="3"/>
    <n v="0.1"/>
    <n v="0"/>
    <n v="0"/>
    <n v="0"/>
    <n v="0"/>
    <n v="3"/>
    <n v="0.1"/>
    <x v="69"/>
  </r>
  <r>
    <s v="SP_Villager04"/>
    <s v="Villager01"/>
    <s v="PF_Villager04"/>
    <n v="220"/>
    <n v="220"/>
    <n v="15"/>
    <n v="50"/>
    <n v="0"/>
    <n v="0"/>
    <s v="-"/>
    <n v="0"/>
    <n v="0"/>
    <n v="2"/>
    <n v="0.1"/>
    <n v="3"/>
    <n v="0.3"/>
    <n v="5"/>
    <n v="0.1"/>
    <x v="86"/>
  </r>
  <r>
    <s v="SP_Villager04_Static"/>
    <s v="Villager01"/>
    <s v="PF_Villager04_Static"/>
    <n v="220"/>
    <n v="220"/>
    <n v="15"/>
    <n v="50"/>
    <n v="0"/>
    <n v="0"/>
    <s v="-"/>
    <n v="1"/>
    <n v="0"/>
    <n v="0"/>
    <n v="0"/>
    <n v="0"/>
    <n v="0"/>
    <n v="1"/>
    <n v="0"/>
    <x v="86"/>
  </r>
  <r>
    <s v="SP_VillagerGirl"/>
    <s v="Villager02"/>
    <s v="PF_VillagerGirl"/>
    <n v="220"/>
    <n v="220"/>
    <n v="15"/>
    <n v="50"/>
    <n v="0"/>
    <n v="0"/>
    <s v="-"/>
    <n v="2"/>
    <n v="0.1"/>
    <n v="0"/>
    <n v="0"/>
    <n v="0"/>
    <n v="0"/>
    <n v="2"/>
    <n v="0"/>
    <x v="86"/>
  </r>
  <r>
    <s v="SP_VillagerGirl_Static"/>
    <s v="Villager02"/>
    <s v="PF_VillagerGirl_Static"/>
    <n v="220"/>
    <n v="220"/>
    <n v="15"/>
    <n v="50"/>
    <n v="0"/>
    <n v="0"/>
    <s v="-"/>
    <n v="13"/>
    <n v="0.5"/>
    <n v="0"/>
    <n v="0"/>
    <n v="0"/>
    <n v="0"/>
    <n v="13"/>
    <n v="0.2"/>
    <x v="86"/>
  </r>
  <r>
    <s v="SP_Villager_Mix"/>
    <s v="Villager01"/>
    <s v="PF_Villager01"/>
    <n v="120"/>
    <n v="120"/>
    <n v="15"/>
    <n v="50"/>
    <n v="0"/>
    <n v="0"/>
    <s v="-"/>
    <n v="12"/>
    <n v="0.5"/>
    <n v="45"/>
    <n v="2.2999999999999998"/>
    <n v="0"/>
    <n v="0"/>
    <n v="57"/>
    <n v="1"/>
    <x v="86"/>
  </r>
  <r>
    <s v="SP_Vulture"/>
    <s v="Vulture"/>
    <s v="PF_Vulture"/>
    <n v="120"/>
    <n v="120"/>
    <n v="15"/>
    <n v="50"/>
    <n v="0"/>
    <n v="0"/>
    <s v="-"/>
    <n v="45"/>
    <n v="1.8"/>
    <n v="45"/>
    <n v="2.2999999999999998"/>
    <n v="13"/>
    <n v="1.2"/>
    <n v="103"/>
    <n v="1.9"/>
    <x v="88"/>
  </r>
  <r>
    <s v="SP_witch"/>
    <s v="Witch"/>
    <s v="PF_WitchAir"/>
    <n v="300"/>
    <n v="300"/>
    <n v="20"/>
    <n v="50"/>
    <n v="0"/>
    <n v="0"/>
    <n v="32"/>
    <n v="20"/>
    <n v="0.8"/>
    <n v="0"/>
    <n v="0"/>
    <n v="10"/>
    <n v="0.9"/>
    <n v="30"/>
    <n v="0.5"/>
    <x v="89"/>
  </r>
  <r>
    <s v="SP_Worker01"/>
    <s v="Worker"/>
    <s v="PF_Worker01"/>
    <n v="200"/>
    <n v="200"/>
    <n v="8"/>
    <n v="75"/>
    <n v="0"/>
    <n v="0"/>
    <s v="-"/>
    <n v="4"/>
    <n v="0.2"/>
    <n v="0"/>
    <n v="0"/>
    <n v="0"/>
    <n v="0"/>
    <n v="4"/>
    <n v="0.1"/>
    <x v="90"/>
  </r>
  <r>
    <s v="SP_Worker02"/>
    <s v="Worker"/>
    <s v="PF_Worker02"/>
    <n v="200"/>
    <n v="200"/>
    <n v="8"/>
    <n v="75"/>
    <n v="0"/>
    <n v="0"/>
    <s v="-"/>
    <n v="0"/>
    <n v="0"/>
    <n v="0"/>
    <n v="0"/>
    <n v="0"/>
    <n v="0"/>
    <n v="0"/>
    <n v="0"/>
    <x v="90"/>
  </r>
  <r>
    <s v="SP_WorkerWife"/>
    <s v="Worker"/>
    <s v="PF_WorkerWife"/>
    <n v="200"/>
    <n v="200"/>
    <n v="8"/>
    <n v="75"/>
    <n v="0"/>
    <n v="0"/>
    <s v="-"/>
    <n v="1"/>
    <n v="0"/>
    <n v="0"/>
    <n v="0"/>
    <n v="0"/>
    <n v="0"/>
    <n v="1"/>
    <n v="0"/>
    <x v="90"/>
  </r>
  <r>
    <s v="SP_Worker_Mix"/>
    <s v="Worker"/>
    <s v="PF_Worker01"/>
    <n v="200"/>
    <n v="200"/>
    <n v="8"/>
    <n v="75"/>
    <n v="0"/>
    <n v="0"/>
    <s v="-"/>
    <n v="79"/>
    <n v="3.2"/>
    <n v="16"/>
    <n v="0.8"/>
    <n v="0"/>
    <n v="0"/>
    <n v="95"/>
    <n v="1.7"/>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3"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4">
        <item x="46"/>
        <item x="0"/>
        <item m="1" x="99"/>
        <item m="1" x="109"/>
        <item x="1"/>
        <item x="2"/>
        <item x="3"/>
        <item x="4"/>
        <item x="5"/>
        <item x="6"/>
        <item x="7"/>
        <item x="8"/>
        <item x="37"/>
        <item x="9"/>
        <item m="1" x="102"/>
        <item x="10"/>
        <item x="11"/>
        <item x="12"/>
        <item m="1" x="107"/>
        <item x="13"/>
        <item x="14"/>
        <item x="15"/>
        <item x="16"/>
        <item m="1" x="104"/>
        <item m="1" x="112"/>
        <item x="17"/>
        <item x="18"/>
        <item m="1" x="101"/>
        <item x="19"/>
        <item x="20"/>
        <item x="21"/>
        <item x="22"/>
        <item x="23"/>
        <item x="24"/>
        <item x="25"/>
        <item x="26"/>
        <item x="27"/>
        <item m="1" x="106"/>
        <item x="28"/>
        <item x="29"/>
        <item m="1" x="103"/>
        <item x="30"/>
        <item x="31"/>
        <item x="32"/>
        <item x="33"/>
        <item x="34"/>
        <item x="35"/>
        <item x="36"/>
        <item x="38"/>
        <item x="39"/>
        <item x="42"/>
        <item x="44"/>
        <item m="1" x="108"/>
        <item x="45"/>
        <item m="1" x="98"/>
        <item x="47"/>
        <item m="1" x="93"/>
        <item x="48"/>
        <item x="49"/>
        <item m="1" x="110"/>
        <item x="50"/>
        <item x="51"/>
        <item x="52"/>
        <item x="53"/>
        <item x="54"/>
        <item x="55"/>
        <item x="56"/>
        <item x="57"/>
        <item x="58"/>
        <item x="59"/>
        <item x="60"/>
        <item x="61"/>
        <item x="62"/>
        <item x="63"/>
        <item m="1" x="91"/>
        <item m="1" x="96"/>
        <item x="64"/>
        <item m="1" x="94"/>
        <item x="65"/>
        <item m="1" x="92"/>
        <item x="66"/>
        <item m="1" x="100"/>
        <item x="67"/>
        <item x="68"/>
        <item x="69"/>
        <item x="40"/>
        <item m="1" x="111"/>
        <item x="41"/>
        <item x="70"/>
        <item x="71"/>
        <item x="72"/>
        <item x="73"/>
        <item x="74"/>
        <item x="75"/>
        <item x="76"/>
        <item x="77"/>
        <item x="78"/>
        <item x="79"/>
        <item x="80"/>
        <item x="81"/>
        <item m="1" x="105"/>
        <item x="82"/>
        <item x="43"/>
        <item x="83"/>
        <item x="84"/>
        <item x="85"/>
        <item m="1" x="95"/>
        <item x="87"/>
        <item x="86"/>
        <item x="88"/>
        <item x="89"/>
        <item x="90"/>
        <item m="1" x="97"/>
        <item t="default"/>
      </items>
    </pivotField>
  </pivotFields>
  <rowFields count="1">
    <field x="18"/>
  </rowFields>
  <rowItems count="92">
    <i>
      <x/>
    </i>
    <i>
      <x v="1"/>
    </i>
    <i>
      <x v="4"/>
    </i>
    <i>
      <x v="5"/>
    </i>
    <i>
      <x v="6"/>
    </i>
    <i>
      <x v="7"/>
    </i>
    <i>
      <x v="8"/>
    </i>
    <i>
      <x v="9"/>
    </i>
    <i>
      <x v="10"/>
    </i>
    <i>
      <x v="11"/>
    </i>
    <i>
      <x v="12"/>
    </i>
    <i>
      <x v="13"/>
    </i>
    <i>
      <x v="15"/>
    </i>
    <i>
      <x v="16"/>
    </i>
    <i>
      <x v="17"/>
    </i>
    <i>
      <x v="19"/>
    </i>
    <i>
      <x v="20"/>
    </i>
    <i>
      <x v="21"/>
    </i>
    <i>
      <x v="22"/>
    </i>
    <i>
      <x v="25"/>
    </i>
    <i>
      <x v="26"/>
    </i>
    <i>
      <x v="28"/>
    </i>
    <i>
      <x v="29"/>
    </i>
    <i>
      <x v="30"/>
    </i>
    <i>
      <x v="31"/>
    </i>
    <i>
      <x v="32"/>
    </i>
    <i>
      <x v="33"/>
    </i>
    <i>
      <x v="34"/>
    </i>
    <i>
      <x v="35"/>
    </i>
    <i>
      <x v="36"/>
    </i>
    <i>
      <x v="38"/>
    </i>
    <i>
      <x v="39"/>
    </i>
    <i>
      <x v="41"/>
    </i>
    <i>
      <x v="42"/>
    </i>
    <i>
      <x v="43"/>
    </i>
    <i>
      <x v="44"/>
    </i>
    <i>
      <x v="45"/>
    </i>
    <i>
      <x v="46"/>
    </i>
    <i>
      <x v="47"/>
    </i>
    <i>
      <x v="48"/>
    </i>
    <i>
      <x v="49"/>
    </i>
    <i>
      <x v="50"/>
    </i>
    <i>
      <x v="51"/>
    </i>
    <i>
      <x v="53"/>
    </i>
    <i>
      <x v="55"/>
    </i>
    <i>
      <x v="57"/>
    </i>
    <i>
      <x v="58"/>
    </i>
    <i>
      <x v="60"/>
    </i>
    <i>
      <x v="61"/>
    </i>
    <i>
      <x v="62"/>
    </i>
    <i>
      <x v="63"/>
    </i>
    <i>
      <x v="64"/>
    </i>
    <i>
      <x v="65"/>
    </i>
    <i>
      <x v="66"/>
    </i>
    <i>
      <x v="67"/>
    </i>
    <i>
      <x v="68"/>
    </i>
    <i>
      <x v="69"/>
    </i>
    <i>
      <x v="70"/>
    </i>
    <i>
      <x v="71"/>
    </i>
    <i>
      <x v="72"/>
    </i>
    <i>
      <x v="73"/>
    </i>
    <i>
      <x v="76"/>
    </i>
    <i>
      <x v="78"/>
    </i>
    <i>
      <x v="80"/>
    </i>
    <i>
      <x v="82"/>
    </i>
    <i>
      <x v="83"/>
    </i>
    <i>
      <x v="84"/>
    </i>
    <i>
      <x v="85"/>
    </i>
    <i>
      <x v="87"/>
    </i>
    <i>
      <x v="88"/>
    </i>
    <i>
      <x v="89"/>
    </i>
    <i>
      <x v="90"/>
    </i>
    <i>
      <x v="91"/>
    </i>
    <i>
      <x v="92"/>
    </i>
    <i>
      <x v="93"/>
    </i>
    <i>
      <x v="94"/>
    </i>
    <i>
      <x v="95"/>
    </i>
    <i>
      <x v="96"/>
    </i>
    <i>
      <x v="97"/>
    </i>
    <i>
      <x v="98"/>
    </i>
    <i>
      <x v="99"/>
    </i>
    <i>
      <x v="101"/>
    </i>
    <i>
      <x v="102"/>
    </i>
    <i>
      <x v="103"/>
    </i>
    <i>
      <x v="104"/>
    </i>
    <i>
      <x v="105"/>
    </i>
    <i>
      <x v="107"/>
    </i>
    <i>
      <x v="108"/>
    </i>
    <i>
      <x v="109"/>
    </i>
    <i>
      <x v="110"/>
    </i>
    <i>
      <x v="111"/>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4" totalsRowShown="0" headerRowDxfId="174" dataDxfId="172" headerRowBorderDxfId="173" tableBorderDxfId="171" totalsRowBorderDxfId="170">
  <autoFilter ref="W11:Z174"/>
  <sortState ref="W12:Z173">
    <sortCondition ref="W11:W173"/>
  </sortState>
  <tableColumns count="4">
    <tableColumn id="1" name="Entity Prefab" dataDxfId="169"/>
    <tableColumn id="2" name="AGRESSIVITY (VILLAGE)" dataDxfId="168"/>
    <tableColumn id="3" name="AGRESSIVITY (CASTLE)" dataDxfId="167"/>
    <tableColumn id="4" name="AGRESSIVITY (DARK)" dataDxfId="166"/>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9" totalsRowShown="0" headerRowDxfId="136">
  <autoFilter ref="B21:K619"/>
  <sortState ref="B22:K619">
    <sortCondition ref="B21:B619"/>
  </sortState>
  <tableColumns count="10">
    <tableColumn id="1" name="spawner_sku" dataDxfId="135"/>
    <tableColumn id="2" name="entity_spawned (AVG)"/>
    <tableColumn id="5" name="respawn_time"/>
    <tableColumn id="6" name="activating_chance"/>
    <tableColumn id="7" name="XP" dataDxfId="134">
      <calculatedColumnFormula>INDIRECT(ADDRESS(11+(MATCH(RIGHT(Table245[[#This Row],[spawner_sku]],LEN(Table245[[#This Row],[spawner_sku]])-FIND("/",Table245[[#This Row],[spawner_sku]])),Table1[Entity Prefab],0)),10,1,1,"Entities"))</calculatedColumnFormula>
    </tableColumn>
    <tableColumn id="8" name="total xp" dataDxfId="133">
      <calculatedColumnFormula>ROUND((Table245[[#This Row],[XP]]*Table245[[#This Row],[entity_spawned (AVG)]])*(Table245[[#This Row],[activating_chance]]/100),0)</calculatedColumnFormula>
    </tableColumn>
    <tableColumn id="3" name="Aggresive" dataDxfId="132">
      <calculatedColumnFormula>INDIRECT(ADDRESS(11+(MATCH(RIGHT(Table245[[#This Row],[spawner_sku]],LEN(Table245[[#This Row],[spawner_sku]])-FIND("/",Table245[[#This Row],[spawner_sku]])),Table28[Entity Prefab],0)),24,1,1,"Entities"))</calculatedColumnFormula>
    </tableColumn>
    <tableColumn id="4" name="min_entities" dataDxfId="131"/>
    <tableColumn id="9" name="max_entities" dataDxfId="130"/>
    <tableColumn id="10" name="hasBonus" dataDxfId="129"/>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28">
      <calculatedColumnFormula>INDIRECT(ADDRESS(11+(MATCH(RIGHT(Table2[[#This Row],[spawner_sku]],LEN(Table2[[#This Row],[spawner_sku]])-FIND("/",Table2[[#This Row],[spawner_sku]])),Table1[Entity Prefab],0)),10,1,1,"Entities"))</calculatedColumnFormula>
    </tableColumn>
    <tableColumn id="8" name="total xp" dataDxfId="127">
      <calculatedColumnFormula>ROUND((Table2[[#This Row],[XP]]*Table2[[#This Row],[entity_spawned (AVG)]])*(Table2[[#This Row],[activating_chance]]/100),0)</calculatedColumnFormula>
    </tableColumn>
    <tableColumn id="9" name="Aggressive" dataDxfId="126">
      <calculatedColumnFormula>INDIRECT(ADDRESS(11+(MATCH(RIGHT(Table2[[#This Row],[spawner_sku]],LEN(Table2[[#This Row],[spawner_sku]])-FIND("/",Table2[[#This Row],[spawner_sku]])),Table28[Entity Prefab],0)),24,1,1,"Entities"))</calculatedColumnFormula>
    </tableColumn>
    <tableColumn id="3" name="min_entities" dataDxfId="125"/>
    <tableColumn id="4" name="max_entities" dataDxfId="124"/>
    <tableColumn id="10" name="hasBonus" dataDxfId="123"/>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1" totalsRowShown="0">
  <autoFilter ref="AT21:BC171"/>
  <sortState ref="AT22:BC171">
    <sortCondition ref="AT21:AT171"/>
  </sortState>
  <tableColumns count="10">
    <tableColumn id="1" name="spawner_sku"/>
    <tableColumn id="2" name="entity_spawned (AVG)"/>
    <tableColumn id="5" name="respawn_time"/>
    <tableColumn id="6" name="activating_chance"/>
    <tableColumn id="7" name="XP" dataDxfId="122">
      <calculatedColumnFormula>INDIRECT(ADDRESS(11+(MATCH(RIGHT(Table6[[#This Row],[spawner_sku]],LEN(Table6[[#This Row],[spawner_sku]])-FIND("/",Table6[[#This Row],[spawner_sku]])),Table1[Entity Prefab],0)),10,1,1,"Entities"))</calculatedColumnFormula>
    </tableColumn>
    <tableColumn id="8" name="total xp" dataDxfId="121">
      <calculatedColumnFormula>ROUND((Table6[[#This Row],[XP]]*Table6[[#This Row],[entity_spawned (AVG)]])*(Table6[[#This Row],[activating_chance]]/100),0)</calculatedColumnFormula>
    </tableColumn>
    <tableColumn id="9" name="Aggressive" dataDxfId="120">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119">
      <calculatedColumnFormula>INDIRECT(ADDRESS(11+(MATCH(RIGHT(Table39[[#This Row],[spawner_sku]],LEN(Table39[[#This Row],[spawner_sku]])-FIND("/",Table39[[#This Row],[spawner_sku]])),Table1[Entity Prefab],0)),10,1,1,"Entities"))</calculatedColumnFormula>
    </tableColumn>
    <tableColumn id="9" name="total xp" dataDxfId="118">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117">
      <calculatedColumnFormula>INDIRECT(ADDRESS(11+(MATCH(RIGHT(Table610[[#This Row],[spawner_sku]],LEN(Table610[[#This Row],[spawner_sku]])-FIND("/",Table610[[#This Row],[spawner_sku]])),Table1[Entity Prefab],0)),10,1,1,"Entities"))</calculatedColumnFormula>
    </tableColumn>
    <tableColumn id="8" name="total xp" dataDxfId="116">
      <calculatedColumnFormula>ROUND((Table610[[#This Row],[XP]]*Table610[[#This Row],[entity_spawned (AVG)]])*(Table610[[#This Row],[activating_chance]]/100),0)</calculatedColumnFormula>
    </tableColumn>
    <tableColumn id="9" name="Aggressive" dataDxfId="115">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0" totalsRowShown="0">
  <autoFilter ref="BP21:BY450"/>
  <sortState ref="BP22:BY450">
    <sortCondition ref="BP21:BP450"/>
  </sortState>
  <tableColumns count="10">
    <tableColumn id="1" name="spawner_sku"/>
    <tableColumn id="2" name="entity_spawned (AVG)"/>
    <tableColumn id="5" name="respawn_time"/>
    <tableColumn id="6" name="activating_chance"/>
    <tableColumn id="7" name="XP" dataDxfId="114">
      <calculatedColumnFormula>INDIRECT(ADDRESS(11+(MATCH(RIGHT(Table61011[[#This Row],[spawner_sku]],LEN(Table61011[[#This Row],[spawner_sku]])-FIND("/",Table61011[[#This Row],[spawner_sku]])),Table1[Entity Prefab],0)),10,1,1,"Entities"))</calculatedColumnFormula>
    </tableColumn>
    <tableColumn id="8" name="total xp" dataDxfId="113">
      <calculatedColumnFormula>ROUND((Table61011[[#This Row],[XP]]*Table61011[[#This Row],[entity_spawned (AVG)]])*(Table61011[[#This Row],[activating_chance]]/100),0)</calculatedColumnFormula>
    </tableColumn>
    <tableColumn id="9" name="Aggressive" dataDxfId="112">
      <calculatedColumnFormula>INDIRECT(ADDRESS(11+(MATCH(RIGHT(Table61011[[#This Row],[spawner_sku]],LEN(Table61011[[#This Row],[spawner_sku]])-FIND("/",Table61011[[#This Row],[spawner_sku]])),Table28[Entity Prefab],0)),24,1,1,"Entities"))</calculatedColumnFormula>
    </tableColumn>
    <tableColumn id="3" name="min_entities" dataDxfId="111"/>
    <tableColumn id="4" name="max_entities" dataDxfId="110"/>
    <tableColumn id="10" name="hasBonus" dataDxfId="109"/>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35" totalsRowShown="0">
  <autoFilter ref="CL21:CU635"/>
  <sortState ref="CL22:CU635">
    <sortCondition ref="CL21:CL635"/>
  </sortState>
  <tableColumns count="10">
    <tableColumn id="1" name="spawner_sku"/>
    <tableColumn id="2" name="entity_spawned (AVG)"/>
    <tableColumn id="3" name="respawn_time"/>
    <tableColumn id="4" name="activating_chance"/>
    <tableColumn id="5" name="XP" dataDxfId="108">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107">
      <calculatedColumnFormula>INDIRECT(ADDRESS(11+(MATCH(RIGHT(Table11[[#This Row],[spawner_sku]],LEN(Table11[[#This Row],[spawner_sku]])-FIND("/",Table11[[#This Row],[spawner_sku]])),Table28[Entity Prefab],0)),25,1,1,"Entities"))</calculatedColumnFormula>
    </tableColumn>
    <tableColumn id="8" name="min_entities" dataDxfId="106"/>
    <tableColumn id="9" name="max_entities" dataDxfId="105"/>
    <tableColumn id="10" name="hasBonus" dataDxfId="104"/>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6" totalsRowShown="0">
  <autoFilter ref="CW21:DF226"/>
  <sortState ref="CW22:DF226">
    <sortCondition ref="CW21:CW226"/>
  </sortState>
  <tableColumns count="10">
    <tableColumn id="1" name="spawner_sku"/>
    <tableColumn id="2" name="entity_spawned (AVG)"/>
    <tableColumn id="3" name="respawn_time"/>
    <tableColumn id="4" name="activating_chance"/>
    <tableColumn id="5" name="XP" dataDxfId="103">
      <calculatedColumnFormula>INDIRECT(ADDRESS(11+(MATCH(RIGHT(Table12[[#This Row],[spawner_sku]],LEN(Table12[[#This Row],[spawner_sku]])-FIND("/",Table12[[#This Row],[spawner_sku]])),Table1[Entity Prefab],0)),10,1,1,"Entities"))</calculatedColumnFormula>
    </tableColumn>
    <tableColumn id="6" name="total xp" dataDxfId="102">
      <calculatedColumnFormula>ROUND((Table12[[#This Row],[XP]]*Table12[[#This Row],[entity_spawned (AVG)]])*(Table12[[#This Row],[activating_chance]]/100),0)</calculatedColumnFormula>
    </tableColumn>
    <tableColumn id="7" name="Aggressive" dataDxfId="101">
      <calculatedColumnFormula>INDIRECT(ADDRESS(11+(MATCH(RIGHT(Table12[[#This Row],[spawner_sku]],LEN(Table12[[#This Row],[spawner_sku]])-FIND("/",Table12[[#This Row],[spawner_sku]])),Table28[Entity Prefab],0)),25,1,1,"Entities"))</calculatedColumnFormula>
    </tableColumn>
    <tableColumn id="8" name="min_entities" dataDxfId="100"/>
    <tableColumn id="9" name="max_entities" dataDxfId="99"/>
    <tableColumn id="10" name="hasBonus" dataDxfId="9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6" totalsRowShown="0" headerRowDxfId="165" dataDxfId="164">
  <autoFilter ref="D11:V166"/>
  <sortState ref="D12:V167">
    <sortCondition ref="D11:D167"/>
  </sortState>
  <tableColumns count="19">
    <tableColumn id="1" name="Spawner Prefab" dataDxfId="163"/>
    <tableColumn id="2" name="Content Sku" dataDxfId="162"/>
    <tableColumn id="3" name="Entity Prefab" dataDxfId="161"/>
    <tableColumn id="4" name="Respawn Min" dataDxfId="160"/>
    <tableColumn id="5" name="Respawn Max" dataDxfId="159"/>
    <tableColumn id="6" name="HP Given" dataDxfId="158"/>
    <tableColumn id="7" name="XP Given" dataDxfId="157"/>
    <tableColumn id="8" name="Edible Tier" dataDxfId="156"/>
    <tableColumn id="9" name="BurnableTier" dataDxfId="155"/>
    <tableColumn id="10" name="Damage" dataDxfId="154"/>
    <tableColumn id="11" name="Total in &quot;Village&quot; scene" dataDxfId="153">
      <calculatedColumnFormula>COUNTIF(Table7[Spawner],Table1[[#This Row],[Spawner Prefab]])</calculatedColumnFormula>
    </tableColumn>
    <tableColumn id="12" name="Percentage1" dataDxfId="152">
      <calculatedColumnFormula>ROUND((Table1[[#This Row],[Total in "Village" scene]]/SUM(Table1[Total in "Village" scene]))*100,1)</calculatedColumnFormula>
    </tableColumn>
    <tableColumn id="13" name="Total in &quot;Castle&quot; scene" dataDxfId="151">
      <calculatedColumnFormula>COUNTIF(Table15[Spawner],Table1[[#This Row],[Spawner Prefab]])</calculatedColumnFormula>
    </tableColumn>
    <tableColumn id="14" name="Percentage2" dataDxfId="150">
      <calculatedColumnFormula>ROUND((Table1[[#This Row],[Total in "Castle" scene]]/SUM(Table1[Total in "Castle" scene]))*100,1)</calculatedColumnFormula>
    </tableColumn>
    <tableColumn id="17" name="Total in &quot;Dark&quot; scene" dataDxfId="149">
      <calculatedColumnFormula>COUNTIF(Table20[Spawner],Table1[[#This Row],[Spawner Prefab]])</calculatedColumnFormula>
    </tableColumn>
    <tableColumn id="18" name="Percentage3" dataDxfId="148">
      <calculatedColumnFormula>ROUND((Table1[[#This Row],[Total in "Dark" scene]]/SUM(Table1[Total in "Dark" scene]))*100,1)</calculatedColumnFormula>
    </tableColumn>
    <tableColumn id="15" name="Total in the game" dataDxfId="147">
      <calculatedColumnFormula>Table1[[#This Row],[Total in "Village" scene]]+Table1[[#This Row],[Total in "Castle" scene]]+Table1[[#This Row],[Total in "Dark" scene]]</calculatedColumnFormula>
    </tableColumn>
    <tableColumn id="16" name="Percentage4" dataDxfId="146">
      <calculatedColumnFormula>ROUND((Table1[[#This Row],[Total in the game]]/SUM(Table1[Total in the game]))*100,1)</calculatedColumnFormula>
    </tableColumn>
    <tableColumn id="19" name="Pivot Column" dataDxfId="145">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31" totalsRowShown="0">
  <autoFilter ref="DH21:DQ331"/>
  <sortState ref="DH22:DQ331">
    <sortCondition ref="DH21:DH331"/>
  </sortState>
  <tableColumns count="10">
    <tableColumn id="1" name="spawner_sku"/>
    <tableColumn id="2" name="entity_spawned (AVG)"/>
    <tableColumn id="3" name="respawn_time"/>
    <tableColumn id="4" name="activating_chance"/>
    <tableColumn id="5" name="XP" dataDxfId="97">
      <calculatedColumnFormula>INDIRECT(ADDRESS(11+(MATCH(RIGHT(Table13[[#This Row],[spawner_sku]],LEN(Table13[[#This Row],[spawner_sku]])-FIND("/",Table13[[#This Row],[spawner_sku]])),Table1[Entity Prefab],0)),10,1,1,"Entities"))</calculatedColumnFormula>
    </tableColumn>
    <tableColumn id="6" name="total xp" dataDxfId="96">
      <calculatedColumnFormula>ROUND((Table13[[#This Row],[XP]]*Table13[[#This Row],[entity_spawned (AVG)]])*(Table13[[#This Row],[activating_chance]]/100),0)</calculatedColumnFormula>
    </tableColumn>
    <tableColumn id="7" name="Aggressive" dataDxfId="95">
      <calculatedColumnFormula>INDIRECT(ADDRESS(11+(MATCH(RIGHT(Table13[[#This Row],[spawner_sku]],LEN(Table13[[#This Row],[spawner_sku]])-FIND("/",Table13[[#This Row],[spawner_sku]])),Table28[Entity Prefab],0)),25,1,1,"Entities"))</calculatedColumnFormula>
    </tableColumn>
    <tableColumn id="8" name="min_entities" dataDxfId="94"/>
    <tableColumn id="9" name="max_entities" dataDxfId="93"/>
    <tableColumn id="10" name="hasBonus" dataDxfId="92"/>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91">
      <calculatedColumnFormula>INDIRECT(ADDRESS(11+(MATCH(RIGHT(Table14[[#This Row],[spawner_sku]],LEN(Table14[[#This Row],[spawner_sku]])-FIND("/",Table14[[#This Row],[spawner_sku]])),Table1[Entity Prefab],0)),10,1,1,"Entities"))</calculatedColumnFormula>
    </tableColumn>
    <tableColumn id="6" name="total xp" dataDxfId="90">
      <calculatedColumnFormula>ROUND((Table14[[#This Row],[XP]]*Table14[[#This Row],[entity_spawned (AVG)]])*(Table14[[#This Row],[activating_chance]]/100),0)</calculatedColumnFormula>
    </tableColumn>
    <tableColumn id="7" name="Aggressive" dataDxfId="89">
      <calculatedColumnFormula>INDIRECT(ADDRESS(11+(MATCH(RIGHT(Table14[[#This Row],[spawner_sku]],LEN(Table14[[#This Row],[spawner_sku]])-FIND("/",Table14[[#This Row],[spawner_sku]])),Table28[Entity Prefab],0)),25,1,1,"Entities"))</calculatedColumnFormula>
    </tableColumn>
    <tableColumn id="8" name="min_entities" dataDxfId="88"/>
    <tableColumn id="9" name="max_entities" dataDxfId="87"/>
    <tableColumn id="10" name="hasBonus" dataDxfId="86"/>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85" headerRowBorderDxfId="84" tableBorderDxfId="83" totalsRowBorderDxfId="82">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81">
      <calculatedColumnFormula>INDIRECT(ADDRESS(11+(MATCH(RIGHT(Table18[[#This Row],[spawner_sku]],LEN(Table18[[#This Row],[spawner_sku]])-FIND("/",Table18[[#This Row],[spawner_sku]])),Table1[Entity Prefab],0)),10,1,1,"Entities"))</calculatedColumnFormula>
    </tableColumn>
    <tableColumn id="6" name="total xp" dataDxfId="80">
      <calculatedColumnFormula>ROUND((Table18[[#This Row],[XP]]*Table18[[#This Row],[entity_spawned (AVG)]])*(Table18[[#This Row],[activating_chance]]/100),0)</calculatedColumnFormula>
    </tableColumn>
    <tableColumn id="7" name="Aggressive" dataDxfId="79">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78" headerRowBorderDxfId="77" tableBorderDxfId="76" totalsRowBorderDxfId="75">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74">
      <calculatedColumnFormula>INDIRECT(ADDRESS(11+(MATCH(RIGHT(Table1820[[#This Row],[spawner_sku]],LEN(Table1820[[#This Row],[spawner_sku]])-FIND("/",Table1820[[#This Row],[spawner_sku]])),Table1[Entity Prefab],0)),10,1,1,"Entities"))</calculatedColumnFormula>
    </tableColumn>
    <tableColumn id="6" name="total xp" dataDxfId="73">
      <calculatedColumnFormula>ROUND((Table1820[[#This Row],[XP]]*Table1820[[#This Row],[entity_spawned (AVG)]])*(Table1820[[#This Row],[activating_chance]]/100),0)</calculatedColumnFormula>
    </tableColumn>
    <tableColumn id="7" name="Aggressive" dataDxfId="72">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5" totalsRowShown="0" headerRowDxfId="71" headerRowBorderDxfId="70" tableBorderDxfId="69" totalsRowBorderDxfId="68">
  <autoFilter ref="FV21:GE225"/>
  <sortState ref="FV22:GE225">
    <sortCondition ref="FV21:FV225"/>
  </sortState>
  <tableColumns count="10">
    <tableColumn id="1" name="spawner_sku"/>
    <tableColumn id="2" name="entity_spawned (AVG)"/>
    <tableColumn id="3" name="respawn_time"/>
    <tableColumn id="4" name="activating_chance"/>
    <tableColumn id="5" name="XP" dataDxfId="67">
      <calculatedColumnFormula>INDIRECT(ADDRESS(11+(MATCH(RIGHT(Table18202324[[#This Row],[spawner_sku]],LEN(Table18202324[[#This Row],[spawner_sku]])-FIND("/",Table18202324[[#This Row],[spawner_sku]])),Table1[Entity Prefab],0)),10,1,1,"Entities"))</calculatedColumnFormula>
    </tableColumn>
    <tableColumn id="6" name="total xp" dataDxfId="66">
      <calculatedColumnFormula>ROUND((Table18202324[[#This Row],[XP]]*Table18202324[[#This Row],[entity_spawned (AVG)]])*(Table18202324[[#This Row],[activating_chance]]/100),0)</calculatedColumnFormula>
    </tableColumn>
    <tableColumn id="7" name="Aggressive" dataDxfId="65">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64">
      <calculatedColumnFormula>INDIRECT(ADDRESS(11+(MATCH(RIGHT(Table3[[#This Row],[spawner_sku]],LEN(Table3[[#This Row],[spawner_sku]])-FIND("/",Table3[[#This Row],[spawner_sku]])),Table1[Entity Prefab],0)),10,1,1,"Entities"))</calculatedColumnFormula>
    </tableColumn>
    <tableColumn id="9" name="total xp" dataDxfId="63">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4" totalsRowShown="0" headerRowBorderDxfId="62" tableBorderDxfId="61" totalsRowBorderDxfId="60">
  <autoFilter ref="CA21:CJ334"/>
  <sortState ref="CA22:CJ334">
    <sortCondition ref="CA21:CA334"/>
  </sortState>
  <tableColumns count="10">
    <tableColumn id="1" name="spawner_sku" dataDxfId="59"/>
    <tableColumn id="2" name="entity_spawned (AVG)"/>
    <tableColumn id="3" name="respawn_time"/>
    <tableColumn id="4" name="activating_chance"/>
    <tableColumn id="5" name="XP" dataDxfId="58">
      <calculatedColumnFormula>INDIRECT(ADDRESS(11+(MATCH(RIGHT(Table35[[#This Row],[spawner_sku]],LEN(Table35[[#This Row],[spawner_sku]])-FIND("/",Table35[[#This Row],[spawner_sku]])),Table1[Entity Prefab],0)),10,1,1,"Entities"))</calculatedColumnFormula>
    </tableColumn>
    <tableColumn id="6" name="total xp" dataDxfId="57">
      <calculatedColumnFormula>ROUND((Table35[[#This Row],[XP]]*Table35[[#This Row],[entity_spawned (AVG)]])*(Table35[[#This Row],[activating_chance]]/100),0)</calculatedColumnFormula>
    </tableColumn>
    <tableColumn id="7" name="Aggressive" dataDxfId="56">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55"/>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0" totalsRowShown="0">
  <autoFilter ref="ED21:EM110"/>
  <sortState ref="ED22:EM110">
    <sortCondition ref="ED21:ED110"/>
  </sortState>
  <tableColumns count="10">
    <tableColumn id="1" name="spawner_sku" dataDxfId="54"/>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44">
      <calculatedColumnFormula>DATA_SCENES_UNITY_1!C7+DATA_SCENES_UNITY_1!N7+DATA_SCENES_UNITY_1!Y7+DATA_SCENES_UNITY_1!AJ7+DATA_SCENES_UNITY_1!AU7+DATA_SCENES_UNITY_1!BF7+DATA_SCENES_UNITY_1!BQ7</calculatedColumnFormula>
    </tableColumn>
    <tableColumn id="3" name="Total enemies" dataDxfId="143">
      <calculatedColumnFormula>DATA_SCENES_UNITY_1!CM7+DATA_SCENES_UNITY_1!CX7+DATA_SCENES_UNITY_1!DI7+DATA_SCENES_UNITY_1!DT7</calculatedColumnFormula>
    </tableColumn>
    <tableColumn id="5" name="Total preys" dataDxfId="142">
      <calculatedColumnFormula>DATA_SCENES_UNITY_1!C9+DATA_SCENES_UNITY_1!N9+DATA_SCENES_UNITY_1!Y9+DATA_SCENES_UNITY_1!AJ9+DATA_SCENES_UNITY_1!AU9+DATA_SCENES_UNITY_1!BF9+DATA_SCENES_UNITY_1!BQ9</calculatedColumnFormula>
    </tableColumn>
    <tableColumn id="7" name="Total entities" dataDxfId="141">
      <calculatedColumnFormula>DATA_SCENES_UNITY_1!C11+DATA_SCENES_UNITY_1!N11+DATA_SCENES_UNITY_1!Y11+DATA_SCENES_UNITY_1!AJ11+DATA_SCENES_UNITY_1!AU11+DATA_SCENES_UNITY_1!BF11+DATA_SCENES_UNITY_1!BQ11</calculatedColumnFormula>
    </tableColumn>
    <tableColumn id="8" name="Size" dataDxfId="140">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39">
      <calculatedColumnFormula>ROUND(Table51718[[#This Row],[Total xp available]]/Table51718[[#This Row],[Size]],2)</calculatedColumnFormula>
    </tableColumn>
    <tableColumn id="10" name="size/xp" dataDxfId="138">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6" totalsRowShown="0">
  <autoFilter ref="E7:I2466"/>
  <sortState ref="E8:I2466">
    <sortCondition ref="E7:E2466"/>
  </sortState>
  <tableColumns count="5">
    <tableColumn id="1" name="Spawner"/>
    <tableColumn id="2" name="Min"/>
    <tableColumn id="3" name="Max"/>
    <tableColumn id="4" name="Type"/>
    <tableColumn id="5" name="Control" dataDxfId="53">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02" totalsRowShown="0">
  <autoFilter ref="U7:Y2002"/>
  <sortState ref="U8:Y2002">
    <sortCondition ref="U7:U2002"/>
  </sortState>
  <tableColumns count="5">
    <tableColumn id="1" name="Spawner"/>
    <tableColumn id="2" name="Min"/>
    <tableColumn id="3" name="Max"/>
    <tableColumn id="4" name="Type"/>
    <tableColumn id="5" name="Control" dataDxfId="52">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22" totalsRowShown="0" headerRowDxfId="51" headerRowBorderDxfId="50" tableBorderDxfId="49" totalsRowBorderDxfId="48">
  <autoFilter ref="AK7:AO1122"/>
  <sortState ref="AK8:AO1122">
    <sortCondition ref="AK7:AK1122"/>
  </sortState>
  <tableColumns count="5">
    <tableColumn id="1" name="Spawner"/>
    <tableColumn id="2" name="Min"/>
    <tableColumn id="3" name="Max"/>
    <tableColumn id="4" name="Type"/>
    <tableColumn id="5" name="Control" dataDxfId="47">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7" totalsRowShown="0">
  <autoFilter ref="Z41:AB167"/>
  <sortState ref="Z42:AB167">
    <sortCondition ref="Z41:Z167"/>
  </sortState>
  <tableColumns count="3">
    <tableColumn id="1" name="SPAWNER"/>
    <tableColumn id="2" name="QUANTITY"/>
    <tableColumn id="3" name="COINS" dataDxfId="46">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90" totalsRowShown="0">
  <autoFilter ref="J41:L90"/>
  <sortState ref="J42:L90">
    <sortCondition ref="J41:J90"/>
  </sortState>
  <tableColumns count="3">
    <tableColumn id="1" name="SPAWNER"/>
    <tableColumn id="2" name="QUANTITY"/>
    <tableColumn id="3" name="COINS" dataDxfId="45">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44" dataDxfId="43">
  <autoFilter ref="A2:B5"/>
  <tableColumns count="2">
    <tableColumn id="1" name="SPAWNER" dataDxfId="42"/>
    <tableColumn id="2" name="COINS PER UNIT" dataDxfId="41"/>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40">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40.xml><?xml version="1.0" encoding="utf-8"?>
<table xmlns="http://schemas.openxmlformats.org/spreadsheetml/2006/main" id="41" name="Table41" displayName="Table41" ref="H6:L2406" totalsRowShown="0">
  <autoFilter ref="H6:L2406"/>
  <sortState ref="H6:L2405">
    <sortCondition ref="I5:I2405"/>
  </sortState>
  <tableColumns count="5">
    <tableColumn id="1" name="spawner"/>
    <tableColumn id="2" name="prefab1"/>
    <tableColumn id="3" name="prefab2"/>
    <tableColumn id="4" name="prefab3"/>
    <tableColumn id="5" name="prefab4"/>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37"/>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3"/>
  <sheetViews>
    <sheetView workbookViewId="0">
      <selection activeCell="D9" sqref="D9"/>
    </sheetView>
  </sheetViews>
  <sheetFormatPr defaultRowHeight="15" x14ac:dyDescent="0.25"/>
  <sheetData>
    <row r="4" spans="5:21" x14ac:dyDescent="0.25">
      <c r="H4" s="1" t="s">
        <v>4505</v>
      </c>
    </row>
    <row r="6" spans="5:21" ht="18.75" x14ac:dyDescent="0.3">
      <c r="E6" s="174" t="s">
        <v>4445</v>
      </c>
      <c r="F6" s="166"/>
      <c r="G6" s="166"/>
      <c r="H6" s="166"/>
      <c r="I6" s="166"/>
      <c r="J6" s="166"/>
      <c r="K6" s="166"/>
      <c r="L6" s="166"/>
      <c r="M6" s="166"/>
      <c r="N6" s="166"/>
      <c r="O6" s="166"/>
      <c r="P6" s="166"/>
      <c r="Q6" s="166"/>
      <c r="R6" s="166"/>
      <c r="S6" s="166"/>
      <c r="T6" s="166"/>
      <c r="U6" s="167"/>
    </row>
    <row r="7" spans="5:21" x14ac:dyDescent="0.25">
      <c r="E7" s="168" t="s">
        <v>4470</v>
      </c>
      <c r="F7" s="165"/>
      <c r="G7" s="165"/>
      <c r="H7" s="165"/>
      <c r="I7" s="165"/>
      <c r="J7" s="165"/>
      <c r="K7" s="165"/>
      <c r="L7" s="165"/>
      <c r="M7" s="165"/>
      <c r="N7" s="165"/>
      <c r="O7" s="165"/>
      <c r="P7" s="165"/>
      <c r="Q7" s="165"/>
      <c r="R7" s="165"/>
      <c r="S7" s="165"/>
      <c r="T7" s="165"/>
      <c r="U7" s="169"/>
    </row>
    <row r="8" spans="5:21" x14ac:dyDescent="0.25">
      <c r="E8" s="168"/>
      <c r="F8" s="165" t="s">
        <v>4452</v>
      </c>
      <c r="G8" s="165"/>
      <c r="H8" s="165"/>
      <c r="I8" s="165"/>
      <c r="J8" s="165"/>
      <c r="K8" s="165"/>
      <c r="L8" s="165"/>
      <c r="M8" s="165"/>
      <c r="N8" s="165"/>
      <c r="O8" s="165"/>
      <c r="P8" s="165"/>
      <c r="Q8" s="165"/>
      <c r="R8" s="165"/>
      <c r="S8" s="165"/>
      <c r="T8" s="165"/>
      <c r="U8" s="169"/>
    </row>
    <row r="9" spans="5:21" x14ac:dyDescent="0.25">
      <c r="E9" s="168"/>
      <c r="F9" s="165" t="s">
        <v>4446</v>
      </c>
      <c r="G9" s="165"/>
      <c r="H9" s="165"/>
      <c r="I9" s="165"/>
      <c r="J9" s="165"/>
      <c r="K9" s="165"/>
      <c r="L9" s="165"/>
      <c r="M9" s="165"/>
      <c r="N9" s="165"/>
      <c r="O9" s="165"/>
      <c r="P9" s="165"/>
      <c r="Q9" s="165"/>
      <c r="R9" s="165"/>
      <c r="S9" s="165"/>
      <c r="T9" s="165"/>
      <c r="U9" s="169"/>
    </row>
    <row r="10" spans="5:21" x14ac:dyDescent="0.25">
      <c r="E10" s="168"/>
      <c r="F10" s="165"/>
      <c r="G10" s="165" t="s">
        <v>4447</v>
      </c>
      <c r="H10" s="165"/>
      <c r="I10" s="165"/>
      <c r="J10" s="165"/>
      <c r="K10" s="165"/>
      <c r="L10" s="165"/>
      <c r="M10" s="165"/>
      <c r="N10" s="165"/>
      <c r="O10" s="165"/>
      <c r="P10" s="165"/>
      <c r="Q10" s="165"/>
      <c r="R10" s="165"/>
      <c r="S10" s="165"/>
      <c r="T10" s="165"/>
      <c r="U10" s="169"/>
    </row>
    <row r="11" spans="5:21" x14ac:dyDescent="0.25">
      <c r="E11" s="168"/>
      <c r="F11" s="165"/>
      <c r="G11" s="165" t="s">
        <v>4448</v>
      </c>
      <c r="H11" s="165"/>
      <c r="I11" s="165"/>
      <c r="J11" s="165"/>
      <c r="K11" s="165"/>
      <c r="L11" s="165"/>
      <c r="M11" s="165"/>
      <c r="N11" s="165"/>
      <c r="O11" s="165"/>
      <c r="P11" s="165"/>
      <c r="Q11" s="165"/>
      <c r="R11" s="165"/>
      <c r="S11" s="165"/>
      <c r="T11" s="165"/>
      <c r="U11" s="169"/>
    </row>
    <row r="12" spans="5:21" x14ac:dyDescent="0.25">
      <c r="E12" s="168"/>
      <c r="F12" s="165" t="s">
        <v>4469</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4471</v>
      </c>
      <c r="F14" s="165"/>
      <c r="G14" s="165"/>
      <c r="H14" s="165"/>
      <c r="I14" s="165"/>
      <c r="J14" s="165"/>
      <c r="K14" s="165"/>
      <c r="L14" s="165"/>
      <c r="M14" s="165"/>
      <c r="N14" s="165"/>
      <c r="O14" s="165"/>
      <c r="P14" s="165"/>
      <c r="Q14" s="165"/>
      <c r="R14" s="165"/>
      <c r="S14" s="165"/>
      <c r="T14" s="165"/>
      <c r="U14" s="169"/>
    </row>
    <row r="15" spans="5:21" x14ac:dyDescent="0.25">
      <c r="E15" s="168"/>
      <c r="F15" s="165" t="s">
        <v>4453</v>
      </c>
      <c r="G15" s="165"/>
      <c r="H15" s="165"/>
      <c r="I15" s="165"/>
      <c r="J15" s="165"/>
      <c r="K15" s="165"/>
      <c r="L15" s="165"/>
      <c r="M15" s="165"/>
      <c r="N15" s="165"/>
      <c r="O15" s="165"/>
      <c r="P15" s="165"/>
      <c r="Q15" s="165"/>
      <c r="R15" s="165"/>
      <c r="S15" s="165"/>
      <c r="T15" s="165"/>
      <c r="U15" s="169"/>
    </row>
    <row r="16" spans="5:21" x14ac:dyDescent="0.25">
      <c r="E16" s="168"/>
      <c r="F16" s="165" t="s">
        <v>4449</v>
      </c>
      <c r="G16" s="165"/>
      <c r="H16" s="165"/>
      <c r="I16" s="165"/>
      <c r="J16" s="165"/>
      <c r="K16" s="165"/>
      <c r="L16" s="165"/>
      <c r="M16" s="165"/>
      <c r="N16" s="165"/>
      <c r="O16" s="165"/>
      <c r="P16" s="165"/>
      <c r="Q16" s="165"/>
      <c r="R16" s="165"/>
      <c r="S16" s="165"/>
      <c r="T16" s="165"/>
      <c r="U16" s="169"/>
    </row>
    <row r="17" spans="5:21" x14ac:dyDescent="0.25">
      <c r="E17" s="168"/>
      <c r="F17" s="165" t="s">
        <v>4472</v>
      </c>
      <c r="G17" s="165"/>
      <c r="H17" s="165"/>
      <c r="I17" s="165"/>
      <c r="J17" s="165"/>
      <c r="K17" s="165"/>
      <c r="L17" s="165"/>
      <c r="M17" s="165"/>
      <c r="N17" s="165"/>
      <c r="O17" s="165"/>
      <c r="P17" s="165"/>
      <c r="Q17" s="165"/>
      <c r="R17" s="165"/>
      <c r="S17" s="165"/>
      <c r="T17" s="165"/>
      <c r="U17" s="169"/>
    </row>
    <row r="18" spans="5:21" x14ac:dyDescent="0.25">
      <c r="E18" s="168"/>
      <c r="F18" s="165" t="s">
        <v>4450</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4451</v>
      </c>
      <c r="F21" s="165"/>
      <c r="G21" s="165"/>
      <c r="H21" s="165"/>
      <c r="I21" s="165"/>
      <c r="J21" s="165"/>
      <c r="K21" s="165"/>
      <c r="L21" s="165"/>
      <c r="M21" s="165"/>
      <c r="N21" s="165"/>
      <c r="O21" s="165"/>
      <c r="P21" s="165"/>
      <c r="Q21" s="165"/>
      <c r="R21" s="165"/>
      <c r="S21" s="165"/>
      <c r="T21" s="165"/>
      <c r="U21" s="169"/>
    </row>
    <row r="22" spans="5:21" x14ac:dyDescent="0.25">
      <c r="E22" s="168" t="s">
        <v>4454</v>
      </c>
      <c r="F22" s="165"/>
      <c r="G22" s="165"/>
      <c r="H22" s="165"/>
      <c r="I22" s="165"/>
      <c r="J22" s="165"/>
      <c r="K22" s="165"/>
      <c r="L22" s="165"/>
      <c r="M22" s="165"/>
      <c r="N22" s="165"/>
      <c r="O22" s="165"/>
      <c r="P22" s="165"/>
      <c r="Q22" s="165"/>
      <c r="R22" s="165"/>
      <c r="S22" s="165"/>
      <c r="T22" s="165"/>
      <c r="U22" s="169"/>
    </row>
    <row r="23" spans="5:21" x14ac:dyDescent="0.25">
      <c r="E23" s="168"/>
      <c r="F23" s="165" t="s">
        <v>4455</v>
      </c>
      <c r="G23" s="165"/>
      <c r="H23" s="165"/>
      <c r="I23" s="165"/>
      <c r="J23" s="165"/>
      <c r="K23" s="165"/>
      <c r="L23" s="165"/>
      <c r="M23" s="165"/>
      <c r="N23" s="165"/>
      <c r="O23" s="165"/>
      <c r="P23" s="165"/>
      <c r="Q23" s="165"/>
      <c r="R23" s="165"/>
      <c r="S23" s="165"/>
      <c r="T23" s="165"/>
      <c r="U23" s="169"/>
    </row>
    <row r="24" spans="5:21" x14ac:dyDescent="0.25">
      <c r="E24" s="168"/>
      <c r="F24" s="165" t="s">
        <v>4456</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4457</v>
      </c>
      <c r="F26" s="165"/>
      <c r="G26" s="165"/>
      <c r="H26" s="165"/>
      <c r="I26" s="165"/>
      <c r="J26" s="165"/>
      <c r="K26" s="165"/>
      <c r="L26" s="165"/>
      <c r="M26" s="165"/>
      <c r="N26" s="165"/>
      <c r="O26" s="165"/>
      <c r="P26" s="165"/>
      <c r="Q26" s="165"/>
      <c r="R26" s="165"/>
      <c r="S26" s="165"/>
      <c r="T26" s="165"/>
      <c r="U26" s="169"/>
    </row>
    <row r="27" spans="5:21" x14ac:dyDescent="0.25">
      <c r="E27" s="168"/>
      <c r="F27" s="165" t="s">
        <v>4461</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4458</v>
      </c>
      <c r="F29" s="165"/>
      <c r="G29" s="165"/>
      <c r="H29" s="165"/>
      <c r="I29" s="165"/>
      <c r="J29" s="165"/>
      <c r="K29" s="165"/>
      <c r="L29" s="165"/>
      <c r="M29" s="165"/>
      <c r="N29" s="165"/>
      <c r="O29" s="165"/>
      <c r="P29" s="165"/>
      <c r="Q29" s="165"/>
      <c r="R29" s="165"/>
      <c r="S29" s="165"/>
      <c r="T29" s="165"/>
      <c r="U29" s="169"/>
    </row>
    <row r="30" spans="5:21" x14ac:dyDescent="0.25">
      <c r="E30" s="168"/>
      <c r="F30" s="165" t="s">
        <v>4459</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4460</v>
      </c>
      <c r="F32" s="165"/>
      <c r="G32" s="165"/>
      <c r="H32" s="165"/>
      <c r="I32" s="165"/>
      <c r="J32" s="165"/>
      <c r="K32" s="165"/>
      <c r="L32" s="165"/>
      <c r="M32" s="165"/>
      <c r="N32" s="165"/>
      <c r="O32" s="165"/>
      <c r="P32" s="165"/>
      <c r="Q32" s="165"/>
      <c r="R32" s="165"/>
      <c r="S32" s="165"/>
      <c r="T32" s="165"/>
      <c r="U32" s="169"/>
    </row>
    <row r="33" spans="5:21" x14ac:dyDescent="0.25">
      <c r="E33" s="168"/>
      <c r="F33" s="165" t="s">
        <v>4468</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4462</v>
      </c>
      <c r="F35" s="165"/>
      <c r="G35" s="165"/>
      <c r="H35" s="165"/>
      <c r="I35" s="165"/>
      <c r="J35" s="165"/>
      <c r="K35" s="165"/>
      <c r="L35" s="165"/>
      <c r="M35" s="165"/>
      <c r="N35" s="165"/>
      <c r="O35" s="165"/>
      <c r="P35" s="165"/>
      <c r="Q35" s="165"/>
      <c r="R35" s="165"/>
      <c r="S35" s="165"/>
      <c r="T35" s="165"/>
      <c r="U35" s="169"/>
    </row>
    <row r="36" spans="5:21" x14ac:dyDescent="0.25">
      <c r="E36" s="170"/>
      <c r="F36" s="171" t="s">
        <v>4473</v>
      </c>
      <c r="G36" s="171"/>
      <c r="H36" s="171"/>
      <c r="I36" s="171"/>
      <c r="J36" s="171"/>
      <c r="K36" s="171"/>
      <c r="L36" s="171"/>
      <c r="M36" s="171"/>
      <c r="N36" s="171"/>
      <c r="O36" s="171"/>
      <c r="P36" s="171"/>
      <c r="Q36" s="171"/>
      <c r="R36" s="171"/>
      <c r="S36" s="171"/>
      <c r="T36" s="171"/>
      <c r="U36" s="172"/>
    </row>
    <row r="40" spans="5:21" x14ac:dyDescent="0.25">
      <c r="H40" s="1" t="s">
        <v>4491</v>
      </c>
    </row>
    <row r="42" spans="5:21" x14ac:dyDescent="0.25">
      <c r="H42" t="s">
        <v>4493</v>
      </c>
    </row>
    <row r="43" spans="5:21" x14ac:dyDescent="0.25">
      <c r="I43" t="s">
        <v>4496</v>
      </c>
    </row>
    <row r="44" spans="5:21" x14ac:dyDescent="0.25">
      <c r="I44" t="s">
        <v>4494</v>
      </c>
    </row>
    <row r="45" spans="5:21" x14ac:dyDescent="0.25">
      <c r="I45" t="s">
        <v>4495</v>
      </c>
    </row>
    <row r="46" spans="5:21" x14ac:dyDescent="0.25">
      <c r="I46" t="s">
        <v>4499</v>
      </c>
    </row>
    <row r="47" spans="5:21" x14ac:dyDescent="0.25">
      <c r="H47" t="s">
        <v>4497</v>
      </c>
    </row>
    <row r="48" spans="5:21" x14ac:dyDescent="0.25">
      <c r="H48" t="s">
        <v>4492</v>
      </c>
    </row>
    <row r="49" spans="8:9" x14ac:dyDescent="0.25">
      <c r="I49" t="s">
        <v>4498</v>
      </c>
    </row>
    <row r="50" spans="8:9" x14ac:dyDescent="0.25">
      <c r="H50" t="s">
        <v>4507</v>
      </c>
    </row>
    <row r="51" spans="8:9" x14ac:dyDescent="0.25">
      <c r="I51" t="s">
        <v>4508</v>
      </c>
    </row>
    <row r="52" spans="8:9" x14ac:dyDescent="0.25">
      <c r="H52" t="s">
        <v>4506</v>
      </c>
    </row>
    <row r="53" spans="8:9" x14ac:dyDescent="0.25">
      <c r="I53" t="s">
        <v>4501</v>
      </c>
    </row>
    <row r="54" spans="8:9" x14ac:dyDescent="0.25">
      <c r="I54" t="s">
        <v>4502</v>
      </c>
    </row>
    <row r="55" spans="8:9" x14ac:dyDescent="0.25">
      <c r="I55" t="s">
        <v>4504</v>
      </c>
    </row>
    <row r="56" spans="8:9" x14ac:dyDescent="0.25">
      <c r="H56" t="s">
        <v>4509</v>
      </c>
    </row>
    <row r="57" spans="8:9" x14ac:dyDescent="0.25">
      <c r="I57" t="s">
        <v>4510</v>
      </c>
    </row>
    <row r="58" spans="8:9" x14ac:dyDescent="0.25">
      <c r="H58" t="s">
        <v>4511</v>
      </c>
    </row>
    <row r="59" spans="8:9" x14ac:dyDescent="0.25">
      <c r="I59" t="s">
        <v>4512</v>
      </c>
    </row>
    <row r="60" spans="8:9" x14ac:dyDescent="0.25">
      <c r="I60" t="s">
        <v>4513</v>
      </c>
    </row>
    <row r="61" spans="8:9" x14ac:dyDescent="0.25">
      <c r="H61" t="s">
        <v>4514</v>
      </c>
    </row>
    <row r="62" spans="8:9" x14ac:dyDescent="0.25">
      <c r="I62" t="s">
        <v>4515</v>
      </c>
    </row>
    <row r="63" spans="8:9" x14ac:dyDescent="0.25">
      <c r="H63" t="s">
        <v>4516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G229" sqref="GG229"/>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4475</v>
      </c>
      <c r="CX2" s="82"/>
    </row>
    <row r="4" spans="2:195" x14ac:dyDescent="0.25">
      <c r="B4" s="1" t="s">
        <v>252</v>
      </c>
      <c r="C4" s="1" t="s">
        <v>249</v>
      </c>
      <c r="F4" s="80"/>
      <c r="G4" s="80"/>
      <c r="M4" s="1" t="s">
        <v>252</v>
      </c>
      <c r="N4" s="1" t="s">
        <v>249</v>
      </c>
      <c r="Q4" s="80"/>
      <c r="R4" s="80"/>
      <c r="X4" s="1" t="s">
        <v>252</v>
      </c>
      <c r="Y4" s="1" t="s">
        <v>249</v>
      </c>
      <c r="AB4" s="80"/>
      <c r="AC4" s="80"/>
      <c r="AI4" s="1" t="s">
        <v>252</v>
      </c>
      <c r="AJ4" s="1" t="s">
        <v>249</v>
      </c>
      <c r="AM4" s="80"/>
      <c r="AN4" s="80"/>
      <c r="AT4" s="1" t="s">
        <v>252</v>
      </c>
      <c r="AU4" s="1" t="s">
        <v>249</v>
      </c>
      <c r="AX4" s="80"/>
      <c r="AY4" s="80"/>
      <c r="BE4" s="1" t="s">
        <v>252</v>
      </c>
      <c r="BF4" s="1" t="s">
        <v>249</v>
      </c>
      <c r="BI4" s="80"/>
      <c r="BJ4" s="80"/>
      <c r="BP4" s="1" t="s">
        <v>252</v>
      </c>
      <c r="BQ4" s="1" t="s">
        <v>249</v>
      </c>
      <c r="BT4" s="80"/>
      <c r="BU4" s="80"/>
      <c r="CA4" s="1" t="s">
        <v>252</v>
      </c>
      <c r="CB4" s="1" t="s">
        <v>249</v>
      </c>
      <c r="CE4" s="80"/>
      <c r="CF4" s="80"/>
      <c r="CL4" s="1" t="s">
        <v>252</v>
      </c>
      <c r="CM4" s="1" t="s">
        <v>8037</v>
      </c>
      <c r="CP4" s="80"/>
      <c r="CQ4" s="80"/>
      <c r="CW4" s="1" t="s">
        <v>252</v>
      </c>
      <c r="CX4" s="1" t="s">
        <v>8037</v>
      </c>
      <c r="DA4" s="80"/>
      <c r="DB4" s="80"/>
      <c r="DH4" s="1" t="s">
        <v>252</v>
      </c>
      <c r="DI4" s="1" t="s">
        <v>8037</v>
      </c>
      <c r="DL4" s="80"/>
      <c r="DM4" s="80"/>
      <c r="DS4" s="1" t="s">
        <v>252</v>
      </c>
      <c r="DT4" s="1" t="s">
        <v>8038</v>
      </c>
      <c r="DW4" s="80"/>
      <c r="DX4" s="80"/>
      <c r="ED4" s="1" t="s">
        <v>252</v>
      </c>
      <c r="EE4" s="1" t="s">
        <v>8037</v>
      </c>
      <c r="EH4" s="80"/>
      <c r="EI4" s="80"/>
      <c r="EO4" s="1" t="s">
        <v>252</v>
      </c>
      <c r="EP4" s="1" t="s">
        <v>527</v>
      </c>
      <c r="ES4" s="80"/>
      <c r="ET4" s="80"/>
      <c r="EZ4" s="1" t="s">
        <v>252</v>
      </c>
      <c r="FA4" s="1" t="s">
        <v>527</v>
      </c>
      <c r="FD4" s="80"/>
      <c r="FE4" s="80"/>
      <c r="FK4" s="1" t="s">
        <v>252</v>
      </c>
      <c r="FL4" s="1" t="s">
        <v>527</v>
      </c>
      <c r="FO4" s="80"/>
      <c r="FP4" s="80"/>
      <c r="FV4" s="1" t="s">
        <v>252</v>
      </c>
      <c r="FW4" s="1" t="s">
        <v>527</v>
      </c>
      <c r="FZ4" s="80"/>
      <c r="GA4" s="80"/>
      <c r="GG4" s="1" t="s">
        <v>252</v>
      </c>
      <c r="GH4" s="1" t="s">
        <v>527</v>
      </c>
      <c r="GK4" s="80"/>
      <c r="GL4" s="80"/>
    </row>
    <row r="5" spans="2:195" x14ac:dyDescent="0.25">
      <c r="B5" s="1" t="s">
        <v>206</v>
      </c>
      <c r="C5" s="1" t="s">
        <v>363</v>
      </c>
      <c r="E5" s="1" t="s">
        <v>469</v>
      </c>
      <c r="F5" s="1">
        <v>250</v>
      </c>
      <c r="G5" s="1">
        <v>130</v>
      </c>
      <c r="H5" s="1" t="s">
        <v>470</v>
      </c>
      <c r="I5" s="1"/>
      <c r="J5" s="1"/>
      <c r="K5" s="1"/>
      <c r="M5" s="1" t="s">
        <v>206</v>
      </c>
      <c r="N5" s="1" t="s">
        <v>364</v>
      </c>
      <c r="P5" s="1" t="s">
        <v>469</v>
      </c>
      <c r="Q5" s="1">
        <v>105</v>
      </c>
      <c r="R5" s="1">
        <v>130</v>
      </c>
      <c r="S5" s="1" t="s">
        <v>470</v>
      </c>
      <c r="T5" s="1"/>
      <c r="U5" s="1"/>
      <c r="V5" s="1"/>
      <c r="X5" s="1" t="s">
        <v>206</v>
      </c>
      <c r="Y5" s="1" t="s">
        <v>426</v>
      </c>
      <c r="AA5" s="1" t="s">
        <v>469</v>
      </c>
      <c r="AB5" s="1">
        <v>50</v>
      </c>
      <c r="AC5" s="1">
        <v>100</v>
      </c>
      <c r="AD5" s="1" t="s">
        <v>470</v>
      </c>
      <c r="AE5" s="1"/>
      <c r="AF5" s="1"/>
      <c r="AG5" s="1"/>
      <c r="AI5" s="1" t="s">
        <v>206</v>
      </c>
      <c r="AJ5" s="1" t="s">
        <v>374</v>
      </c>
      <c r="AL5" s="1" t="s">
        <v>469</v>
      </c>
      <c r="AM5" s="1">
        <v>215</v>
      </c>
      <c r="AN5" s="1">
        <v>100</v>
      </c>
      <c r="AO5" s="1" t="s">
        <v>470</v>
      </c>
      <c r="AP5" s="1"/>
      <c r="AQ5" s="1"/>
      <c r="AR5" s="1"/>
      <c r="AT5" s="1" t="s">
        <v>206</v>
      </c>
      <c r="AU5" s="1" t="s">
        <v>379</v>
      </c>
      <c r="AW5" s="1" t="s">
        <v>469</v>
      </c>
      <c r="AX5" s="1">
        <v>215</v>
      </c>
      <c r="AY5" s="1">
        <v>55</v>
      </c>
      <c r="AZ5" s="1" t="s">
        <v>470</v>
      </c>
      <c r="BA5" s="1"/>
      <c r="BB5" s="1"/>
      <c r="BC5" s="1"/>
      <c r="BE5" s="1" t="s">
        <v>206</v>
      </c>
      <c r="BF5" s="1" t="s">
        <v>560</v>
      </c>
      <c r="BH5" s="1" t="s">
        <v>469</v>
      </c>
      <c r="BI5" s="1">
        <v>245</v>
      </c>
      <c r="BJ5" s="1">
        <v>90</v>
      </c>
      <c r="BK5" s="1" t="s">
        <v>470</v>
      </c>
      <c r="BL5" s="1"/>
      <c r="BM5" s="1"/>
      <c r="BN5" s="1"/>
      <c r="BP5" s="1" t="s">
        <v>206</v>
      </c>
      <c r="BQ5" s="1" t="s">
        <v>561</v>
      </c>
      <c r="BS5" s="1" t="s">
        <v>469</v>
      </c>
      <c r="BT5" s="1">
        <v>270</v>
      </c>
      <c r="BU5" s="1">
        <v>130</v>
      </c>
      <c r="BV5" s="1" t="s">
        <v>470</v>
      </c>
      <c r="BW5" s="1"/>
      <c r="BX5" s="1"/>
      <c r="BY5" s="1"/>
      <c r="BZ5" s="1"/>
      <c r="CA5" s="1" t="s">
        <v>206</v>
      </c>
      <c r="CB5" s="1" t="s">
        <v>3820</v>
      </c>
      <c r="CD5" s="1" t="s">
        <v>469</v>
      </c>
      <c r="CE5" s="1">
        <v>895</v>
      </c>
      <c r="CF5" s="1">
        <v>250</v>
      </c>
      <c r="CG5" s="1" t="s">
        <v>470</v>
      </c>
      <c r="CH5" s="1"/>
      <c r="CI5" s="1"/>
      <c r="CJ5" s="1"/>
      <c r="CL5" s="1" t="s">
        <v>206</v>
      </c>
      <c r="CM5" s="1" t="s">
        <v>8023</v>
      </c>
      <c r="CO5" s="1" t="s">
        <v>469</v>
      </c>
      <c r="CP5" s="1">
        <v>300</v>
      </c>
      <c r="CQ5" s="1">
        <v>160</v>
      </c>
      <c r="CR5" s="1" t="s">
        <v>470</v>
      </c>
      <c r="CS5" s="1"/>
      <c r="CT5" s="1"/>
      <c r="CU5" s="1"/>
      <c r="CW5" s="1" t="s">
        <v>206</v>
      </c>
      <c r="CX5" s="1" t="s">
        <v>503</v>
      </c>
      <c r="CZ5" s="1" t="s">
        <v>469</v>
      </c>
      <c r="DA5" s="1">
        <v>190</v>
      </c>
      <c r="DB5" s="1">
        <v>75</v>
      </c>
      <c r="DC5" s="1" t="s">
        <v>470</v>
      </c>
      <c r="DD5" s="1"/>
      <c r="DE5" s="1"/>
      <c r="DF5" s="1"/>
      <c r="DH5" s="1" t="s">
        <v>206</v>
      </c>
      <c r="DI5" s="1" t="s">
        <v>507</v>
      </c>
      <c r="DK5" s="1" t="s">
        <v>469</v>
      </c>
      <c r="DL5" s="1">
        <v>320</v>
      </c>
      <c r="DM5" s="1">
        <v>70</v>
      </c>
      <c r="DN5" s="1" t="s">
        <v>470</v>
      </c>
      <c r="DO5" s="1"/>
      <c r="DP5" s="1"/>
      <c r="DQ5" s="1"/>
      <c r="DS5" s="1" t="s">
        <v>206</v>
      </c>
      <c r="DT5" s="1" t="s">
        <v>526</v>
      </c>
      <c r="DV5" s="1" t="s">
        <v>469</v>
      </c>
      <c r="DW5" s="1">
        <v>600</v>
      </c>
      <c r="DX5" s="1">
        <v>130</v>
      </c>
      <c r="DY5" s="1" t="s">
        <v>470</v>
      </c>
      <c r="DZ5" s="1"/>
      <c r="EA5" s="1"/>
      <c r="EB5" s="1"/>
      <c r="EC5" s="1"/>
      <c r="ED5" s="1" t="s">
        <v>206</v>
      </c>
      <c r="EE5" s="1" t="s">
        <v>3833</v>
      </c>
      <c r="EG5" s="1" t="s">
        <v>469</v>
      </c>
      <c r="EH5" s="1">
        <v>290</v>
      </c>
      <c r="EI5" s="1">
        <v>250</v>
      </c>
      <c r="EJ5" s="1" t="s">
        <v>470</v>
      </c>
      <c r="EK5" s="1"/>
      <c r="EL5" s="1"/>
      <c r="EM5" s="1"/>
      <c r="EO5" s="1" t="s">
        <v>206</v>
      </c>
      <c r="EP5" s="1" t="s">
        <v>564</v>
      </c>
      <c r="ER5" s="1" t="s">
        <v>469</v>
      </c>
      <c r="ES5" s="1">
        <v>315</v>
      </c>
      <c r="ET5" s="1">
        <v>95</v>
      </c>
      <c r="EU5" s="1" t="s">
        <v>470</v>
      </c>
      <c r="EV5" s="1"/>
      <c r="EW5" s="1"/>
      <c r="EX5" s="1"/>
      <c r="EZ5" s="1" t="s">
        <v>206</v>
      </c>
      <c r="FA5" s="1" t="s">
        <v>566</v>
      </c>
      <c r="FC5" s="1" t="s">
        <v>469</v>
      </c>
      <c r="FD5" s="1">
        <v>230</v>
      </c>
      <c r="FE5" s="1">
        <v>110</v>
      </c>
      <c r="FF5" s="1" t="s">
        <v>470</v>
      </c>
      <c r="FG5" s="1"/>
      <c r="FH5" s="1"/>
      <c r="FI5" s="1"/>
      <c r="FK5" s="1" t="s">
        <v>206</v>
      </c>
      <c r="FL5" s="1" t="s">
        <v>570</v>
      </c>
      <c r="FN5" s="1" t="s">
        <v>469</v>
      </c>
      <c r="FO5" s="1">
        <v>300</v>
      </c>
      <c r="FP5" s="1">
        <v>200</v>
      </c>
      <c r="FQ5" s="1" t="s">
        <v>470</v>
      </c>
      <c r="FR5" s="1"/>
      <c r="FS5" s="1"/>
      <c r="FT5" s="1"/>
      <c r="FV5" s="1" t="s">
        <v>206</v>
      </c>
      <c r="FW5" s="1" t="s">
        <v>571</v>
      </c>
      <c r="FY5" s="1" t="s">
        <v>469</v>
      </c>
      <c r="FZ5" s="1">
        <v>300</v>
      </c>
      <c r="GA5" s="1">
        <v>200</v>
      </c>
      <c r="GB5" s="1" t="s">
        <v>470</v>
      </c>
      <c r="GG5" s="1" t="s">
        <v>206</v>
      </c>
      <c r="GH5" s="1" t="s">
        <v>3837</v>
      </c>
      <c r="GJ5" s="1" t="s">
        <v>469</v>
      </c>
      <c r="GK5" s="1">
        <v>390</v>
      </c>
      <c r="GL5" s="1">
        <v>250</v>
      </c>
      <c r="GM5" s="1" t="s">
        <v>470</v>
      </c>
    </row>
    <row r="6" spans="2:195" x14ac:dyDescent="0.25">
      <c r="B6" s="1" t="s">
        <v>207</v>
      </c>
      <c r="C6" s="71">
        <f ca="1">ROUNDUP(SUM(Table245[total xp]),0)</f>
        <v>49942</v>
      </c>
      <c r="E6" s="1" t="s">
        <v>471</v>
      </c>
      <c r="F6" s="1">
        <f ca="1">ROUND(C6/(F5*G5),1)</f>
        <v>1.5</v>
      </c>
      <c r="G6" s="1" t="s">
        <v>472</v>
      </c>
      <c r="M6" s="1" t="s">
        <v>207</v>
      </c>
      <c r="N6" s="71">
        <f ca="1">ROUNDUP(SUM(Table3[total xp]),0)</f>
        <v>17474</v>
      </c>
      <c r="P6" s="1" t="s">
        <v>471</v>
      </c>
      <c r="Q6" s="1">
        <f ca="1">ROUND(N6/(Q5*R5),1)</f>
        <v>1.3</v>
      </c>
      <c r="R6" s="1" t="s">
        <v>472</v>
      </c>
      <c r="X6" s="1" t="s">
        <v>207</v>
      </c>
      <c r="Y6" s="71">
        <f ca="1">ROUNDUP(SUM(Table39[total xp]),0)</f>
        <v>4618</v>
      </c>
      <c r="AA6" s="1" t="s">
        <v>471</v>
      </c>
      <c r="AB6" s="1">
        <f ca="1">ROUND(Y6/(AB5*AC5),1)</f>
        <v>0.9</v>
      </c>
      <c r="AC6" s="1" t="s">
        <v>472</v>
      </c>
      <c r="AI6" s="1" t="s">
        <v>207</v>
      </c>
      <c r="AJ6" s="71">
        <f ca="1">ROUNDUP(SUM(Table2[total xp]),0)</f>
        <v>30448</v>
      </c>
      <c r="AL6" s="1" t="s">
        <v>471</v>
      </c>
      <c r="AM6" s="1">
        <f ca="1">ROUND(AJ6/(AM5*AN5),1)</f>
        <v>1.4</v>
      </c>
      <c r="AN6" s="1" t="s">
        <v>472</v>
      </c>
      <c r="AT6" s="1" t="s">
        <v>207</v>
      </c>
      <c r="AU6" s="71">
        <f ca="1">ROUNDUP(SUM(Table6[total xp]),0)</f>
        <v>11948</v>
      </c>
      <c r="AW6" s="1" t="s">
        <v>471</v>
      </c>
      <c r="AX6" s="1">
        <f ca="1">ROUND(AU6/(AX5*AY5),1)</f>
        <v>1</v>
      </c>
      <c r="AY6" s="1" t="s">
        <v>472</v>
      </c>
      <c r="BE6" s="1" t="s">
        <v>207</v>
      </c>
      <c r="BF6" s="71">
        <f ca="1">ROUNDUP(SUM(Table610[total xp]),0)</f>
        <v>22683</v>
      </c>
      <c r="BH6" s="1" t="s">
        <v>471</v>
      </c>
      <c r="BI6" s="1">
        <f ca="1">ROUND(BF6/(BI5*BJ5),1)</f>
        <v>1</v>
      </c>
      <c r="BJ6" s="1" t="s">
        <v>472</v>
      </c>
      <c r="BP6" s="1" t="s">
        <v>207</v>
      </c>
      <c r="BQ6" s="71">
        <f ca="1">ROUNDUP(SUM(Table61011[total xp]),0)</f>
        <v>39537</v>
      </c>
      <c r="BS6" s="1" t="s">
        <v>471</v>
      </c>
      <c r="BT6" s="1">
        <f ca="1">ROUND(BQ6/(BT5*BU5),1)</f>
        <v>1.1000000000000001</v>
      </c>
      <c r="BU6" s="1" t="s">
        <v>472</v>
      </c>
      <c r="CA6" s="1" t="s">
        <v>207</v>
      </c>
      <c r="CB6" s="71">
        <f ca="1">ROUNDUP(SUM(Table35[total xp]),0)</f>
        <v>15676</v>
      </c>
      <c r="CD6" s="1" t="s">
        <v>471</v>
      </c>
      <c r="CE6" s="1">
        <f ca="1">ROUND(CB6/(CE5*CF5),1)</f>
        <v>0.1</v>
      </c>
      <c r="CF6" s="1" t="s">
        <v>472</v>
      </c>
      <c r="CL6" s="1" t="s">
        <v>207</v>
      </c>
      <c r="CM6" s="71">
        <f ca="1">ROUNDUP(SUM(Table11[total xp]),0)</f>
        <v>41004</v>
      </c>
      <c r="CO6" s="1" t="s">
        <v>471</v>
      </c>
      <c r="CP6" s="1">
        <f ca="1">ROUND(CM6/(CP5*CQ5),1)</f>
        <v>0.9</v>
      </c>
      <c r="CQ6" s="1" t="s">
        <v>472</v>
      </c>
      <c r="CW6" s="1" t="s">
        <v>207</v>
      </c>
      <c r="CX6" s="71">
        <f ca="1">ROUNDUP(SUM(Table12[total xp]),0)</f>
        <v>12213</v>
      </c>
      <c r="CZ6" s="1" t="s">
        <v>471</v>
      </c>
      <c r="DA6" s="1">
        <f ca="1">ROUND(CX6/(DA5*DB5),1)</f>
        <v>0.9</v>
      </c>
      <c r="DB6" s="1" t="s">
        <v>472</v>
      </c>
      <c r="DH6" s="1" t="s">
        <v>207</v>
      </c>
      <c r="DI6" s="71">
        <f ca="1">ROUNDUP(SUM(Table13[total xp]),0)</f>
        <v>25410</v>
      </c>
      <c r="DK6" s="1" t="s">
        <v>471</v>
      </c>
      <c r="DL6" s="1">
        <f ca="1">ROUND(DI6/(DL5*DM5),1)</f>
        <v>1.1000000000000001</v>
      </c>
      <c r="DM6" s="1" t="s">
        <v>472</v>
      </c>
      <c r="DS6" s="1" t="s">
        <v>207</v>
      </c>
      <c r="DT6" s="71">
        <f ca="1">ROUNDUP(SUM(Table14[total xp]),0)</f>
        <v>56642</v>
      </c>
      <c r="DV6" s="1" t="s">
        <v>471</v>
      </c>
      <c r="DW6" s="1">
        <f ca="1">ROUND(DT6/(DW5*DX5),1)</f>
        <v>0.7</v>
      </c>
      <c r="DX6" s="1" t="s">
        <v>472</v>
      </c>
      <c r="ED6" s="1" t="s">
        <v>207</v>
      </c>
      <c r="EE6" s="71">
        <f ca="1">ROUNDUP(SUM(Table36[total xp]),0)</f>
        <v>4746</v>
      </c>
      <c r="EG6" s="1" t="s">
        <v>471</v>
      </c>
      <c r="EH6" s="1">
        <f ca="1">ROUND(EE6/(EH5*EI5),1)</f>
        <v>0.1</v>
      </c>
      <c r="EI6" s="1" t="s">
        <v>472</v>
      </c>
      <c r="EO6" s="1" t="s">
        <v>207</v>
      </c>
      <c r="EP6" s="71">
        <f ca="1">ROUNDUP(SUM(Table18[total xp]),0)</f>
        <v>43179</v>
      </c>
      <c r="ER6" s="1" t="s">
        <v>471</v>
      </c>
      <c r="ES6" s="1">
        <f ca="1">ROUND(EP6/(ES5*ET5),1)</f>
        <v>1.4</v>
      </c>
      <c r="ET6" s="1" t="s">
        <v>472</v>
      </c>
      <c r="EZ6" s="1" t="s">
        <v>207</v>
      </c>
      <c r="FA6" s="71">
        <f ca="1">ROUNDUP(SUM(Table1820[total xp]),0)</f>
        <v>26074</v>
      </c>
      <c r="FC6" s="1" t="s">
        <v>471</v>
      </c>
      <c r="FD6" s="1">
        <f ca="1">ROUND(FA6/(FD5*FE5),1)</f>
        <v>1</v>
      </c>
      <c r="FE6" s="1" t="s">
        <v>472</v>
      </c>
      <c r="FK6" s="1" t="s">
        <v>207</v>
      </c>
      <c r="FL6" s="71">
        <f ca="1">ROUNDUP(SUM(Table182023[total xp]),0)</f>
        <v>25023</v>
      </c>
      <c r="FN6" s="1" t="s">
        <v>471</v>
      </c>
      <c r="FO6" s="1">
        <f ca="1">ROUND(FL6/(FO5*FP5),1)</f>
        <v>0.4</v>
      </c>
      <c r="FP6" s="1" t="s">
        <v>472</v>
      </c>
      <c r="FV6" s="1" t="s">
        <v>207</v>
      </c>
      <c r="FW6" s="71">
        <f ca="1">ROUNDUP(SUM(Table18202324[total xp]),0)</f>
        <v>31505</v>
      </c>
      <c r="FY6" s="1" t="s">
        <v>471</v>
      </c>
      <c r="FZ6" s="1">
        <f ca="1">ROUND(FW6/(FZ5*GA5),1)</f>
        <v>0.5</v>
      </c>
      <c r="GA6" s="1" t="s">
        <v>472</v>
      </c>
      <c r="GG6" s="1" t="s">
        <v>207</v>
      </c>
      <c r="GH6" s="71">
        <f ca="1">ROUNDUP(SUM(Table37[total xp]),0)</f>
        <v>6921</v>
      </c>
      <c r="GJ6" s="1" t="s">
        <v>471</v>
      </c>
      <c r="GK6" s="1">
        <f ca="1">ROUND(GH6/(GK5*GL5),1)</f>
        <v>0.1</v>
      </c>
      <c r="GL6" s="1" t="s">
        <v>472</v>
      </c>
    </row>
    <row r="7" spans="2:195" x14ac:dyDescent="0.25">
      <c r="B7" s="1" t="s">
        <v>324</v>
      </c>
      <c r="C7" s="71">
        <f>COUNTA(Table245[spawner_sku])</f>
        <v>598</v>
      </c>
      <c r="E7" s="1" t="s">
        <v>473</v>
      </c>
      <c r="F7" s="1">
        <f>ROUND(C7/(F5*G5),4)</f>
        <v>1.84E-2</v>
      </c>
      <c r="G7" s="1" t="s">
        <v>474</v>
      </c>
      <c r="M7" s="1" t="s">
        <v>324</v>
      </c>
      <c r="N7" s="71">
        <f>COUNTA(Table3[spawner_sku])</f>
        <v>235</v>
      </c>
      <c r="P7" s="1" t="s">
        <v>473</v>
      </c>
      <c r="Q7" s="1">
        <f>ROUND(N7/(Q5*R5),4)</f>
        <v>1.72E-2</v>
      </c>
      <c r="R7" s="1" t="s">
        <v>474</v>
      </c>
      <c r="X7" s="1" t="s">
        <v>324</v>
      </c>
      <c r="Y7" s="71">
        <f>COUNTA(Table39[spawner_sku])</f>
        <v>71</v>
      </c>
      <c r="AA7" s="1" t="s">
        <v>473</v>
      </c>
      <c r="AB7" s="1">
        <f>ROUND(Y7/(AB5*AC5),4)</f>
        <v>1.4200000000000001E-2</v>
      </c>
      <c r="AC7" s="1" t="s">
        <v>474</v>
      </c>
      <c r="AI7" s="1" t="s">
        <v>324</v>
      </c>
      <c r="AJ7" s="71">
        <f>COUNTA(Table2[spawner_sku])</f>
        <v>382</v>
      </c>
      <c r="AL7" s="1" t="s">
        <v>473</v>
      </c>
      <c r="AM7" s="1">
        <f>ROUND(AJ7/(AM5*AN5),4)</f>
        <v>1.78E-2</v>
      </c>
      <c r="AN7" s="1" t="s">
        <v>474</v>
      </c>
      <c r="AT7" s="1" t="s">
        <v>324</v>
      </c>
      <c r="AU7" s="71">
        <f>COUNTA(Table6[spawner_sku])</f>
        <v>150</v>
      </c>
      <c r="AW7" s="1" t="s">
        <v>473</v>
      </c>
      <c r="AX7" s="1">
        <f>ROUND(AU7/(AX5*AY5),4)</f>
        <v>1.2699999999999999E-2</v>
      </c>
      <c r="AY7" s="1" t="s">
        <v>474</v>
      </c>
      <c r="BE7" s="1" t="s">
        <v>324</v>
      </c>
      <c r="BF7" s="71">
        <f>COUNTA(Table610[spawner_sku])</f>
        <v>225</v>
      </c>
      <c r="BH7" s="1" t="s">
        <v>473</v>
      </c>
      <c r="BI7" s="1">
        <f>ROUND(BF7/(BI5*BJ5),4)</f>
        <v>1.0200000000000001E-2</v>
      </c>
      <c r="BJ7" s="1" t="s">
        <v>474</v>
      </c>
      <c r="BP7" s="1" t="s">
        <v>324</v>
      </c>
      <c r="BQ7" s="71">
        <f>COUNTA(Table61011[spawner_sku])</f>
        <v>429</v>
      </c>
      <c r="BS7" s="1" t="s">
        <v>473</v>
      </c>
      <c r="BT7" s="1">
        <f>ROUND(BQ7/(BT5*BU5),4)</f>
        <v>1.2200000000000001E-2</v>
      </c>
      <c r="BU7" s="1" t="s">
        <v>474</v>
      </c>
      <c r="CA7" s="1" t="s">
        <v>324</v>
      </c>
      <c r="CB7" s="71">
        <f>COUNTA(Table35[spawner_sku])</f>
        <v>313</v>
      </c>
      <c r="CD7" s="1" t="s">
        <v>473</v>
      </c>
      <c r="CE7" s="1">
        <f>ROUND(CB7/(CE5*CF5),4)</f>
        <v>1.4E-3</v>
      </c>
      <c r="CF7" s="1" t="s">
        <v>474</v>
      </c>
      <c r="CL7" s="1" t="s">
        <v>324</v>
      </c>
      <c r="CM7" s="71">
        <f>COUNTA(Table11[spawner_sku])</f>
        <v>614</v>
      </c>
      <c r="CO7" s="1" t="s">
        <v>473</v>
      </c>
      <c r="CP7" s="1">
        <f>ROUND(CM7/(CP5*CQ5),4)</f>
        <v>1.2800000000000001E-2</v>
      </c>
      <c r="CQ7" s="1" t="s">
        <v>474</v>
      </c>
      <c r="CW7" s="1" t="s">
        <v>324</v>
      </c>
      <c r="CX7" s="71">
        <f>COUNTA(Table12[spawner_sku])</f>
        <v>205</v>
      </c>
      <c r="CZ7" s="1" t="s">
        <v>473</v>
      </c>
      <c r="DA7" s="1">
        <f>ROUND(CX7/(DA5*DB5),4)</f>
        <v>1.44E-2</v>
      </c>
      <c r="DB7" s="1" t="s">
        <v>474</v>
      </c>
      <c r="DH7" s="1" t="s">
        <v>324</v>
      </c>
      <c r="DI7" s="71">
        <f>COUNTA(Table13[spawner_sku])</f>
        <v>310</v>
      </c>
      <c r="DK7" s="1" t="s">
        <v>473</v>
      </c>
      <c r="DL7" s="1">
        <f>ROUND(DI7/(DL5*DM5),4)</f>
        <v>1.38E-2</v>
      </c>
      <c r="DM7" s="1" t="s">
        <v>474</v>
      </c>
      <c r="DS7" s="1" t="s">
        <v>324</v>
      </c>
      <c r="DT7" s="71">
        <f>COUNTA(Table14[spawner_sku])</f>
        <v>727</v>
      </c>
      <c r="DV7" s="1" t="s">
        <v>473</v>
      </c>
      <c r="DW7" s="1">
        <f>ROUND(DT7/(DW5*DX5),4)</f>
        <v>9.2999999999999992E-3</v>
      </c>
      <c r="DX7" s="1" t="s">
        <v>474</v>
      </c>
      <c r="ED7" s="1" t="s">
        <v>324</v>
      </c>
      <c r="EE7" s="71">
        <f>COUNTA(Table36[spawner_sku])</f>
        <v>89</v>
      </c>
      <c r="EG7" s="1" t="s">
        <v>473</v>
      </c>
      <c r="EH7" s="1">
        <f>ROUND(EE7/(EH5*EI5),4)</f>
        <v>1.1999999999999999E-3</v>
      </c>
      <c r="EI7" s="1" t="s">
        <v>474</v>
      </c>
      <c r="EO7" s="1" t="s">
        <v>324</v>
      </c>
      <c r="EP7" s="71">
        <f>COUNTA(Table18[spawner_sku])</f>
        <v>315</v>
      </c>
      <c r="ER7" s="1" t="s">
        <v>473</v>
      </c>
      <c r="ES7" s="1">
        <f>ROUND(EP7/(ES5*ET5),4)</f>
        <v>1.0500000000000001E-2</v>
      </c>
      <c r="ET7" s="1" t="s">
        <v>474</v>
      </c>
      <c r="EZ7" s="1" t="s">
        <v>324</v>
      </c>
      <c r="FA7" s="71">
        <f>COUNTA(Table1820[spawner_sku])</f>
        <v>220</v>
      </c>
      <c r="FC7" s="1" t="s">
        <v>473</v>
      </c>
      <c r="FD7" s="1">
        <f>ROUND(FA7/(FD5*FE5),4)</f>
        <v>8.6999999999999994E-3</v>
      </c>
      <c r="FE7" s="1" t="s">
        <v>474</v>
      </c>
      <c r="FK7" s="1" t="s">
        <v>324</v>
      </c>
      <c r="FL7" s="71">
        <f>COUNTA(Table182023[spawner_sku])</f>
        <v>153</v>
      </c>
      <c r="FN7" s="1" t="s">
        <v>473</v>
      </c>
      <c r="FO7" s="1">
        <f>ROUND(FL7/(FO5*FP5),4)</f>
        <v>2.5999999999999999E-3</v>
      </c>
      <c r="FP7" s="1" t="s">
        <v>474</v>
      </c>
      <c r="FV7" s="1" t="s">
        <v>324</v>
      </c>
      <c r="FW7" s="71">
        <f>COUNTA(Table18202324[spawner_sku])</f>
        <v>204</v>
      </c>
      <c r="FY7" s="1" t="s">
        <v>473</v>
      </c>
      <c r="FZ7" s="1">
        <f>ROUND(FW7/(FZ5*GA5),4)</f>
        <v>3.3999999999999998E-3</v>
      </c>
      <c r="GA7" s="1" t="s">
        <v>474</v>
      </c>
      <c r="GG7" s="1" t="s">
        <v>324</v>
      </c>
      <c r="GH7" s="71">
        <f>COUNTA(Table37[spawner_sku])</f>
        <v>133</v>
      </c>
      <c r="GJ7" s="1" t="s">
        <v>473</v>
      </c>
      <c r="GK7" s="1">
        <f>ROUND(GH7/(GK5*GL5),4)</f>
        <v>1.4E-3</v>
      </c>
      <c r="GL7" s="1" t="s">
        <v>474</v>
      </c>
    </row>
    <row r="8" spans="2:195" x14ac:dyDescent="0.25">
      <c r="B8" s="1" t="s">
        <v>329</v>
      </c>
      <c r="C8" s="74">
        <f ca="1">COUNTIF(Table245[Aggresive],"yes")</f>
        <v>223</v>
      </c>
      <c r="M8" s="1" t="s">
        <v>329</v>
      </c>
      <c r="N8" s="74">
        <f ca="1">COUNTIF(Table3[Aggressive],"yes")</f>
        <v>63</v>
      </c>
      <c r="X8" s="1" t="s">
        <v>329</v>
      </c>
      <c r="Y8" s="74">
        <f ca="1">COUNTIF(Table39[Aggressive],"yes")</f>
        <v>22</v>
      </c>
      <c r="AI8" s="1" t="s">
        <v>329</v>
      </c>
      <c r="AJ8" s="74">
        <f ca="1">COUNTIF(Table2[Aggressive],"yes")</f>
        <v>128</v>
      </c>
      <c r="AT8" s="1" t="s">
        <v>329</v>
      </c>
      <c r="AU8" s="74">
        <f ca="1">COUNTIF(Table6[Aggressive],"yes")</f>
        <v>59</v>
      </c>
      <c r="BE8" s="1" t="s">
        <v>329</v>
      </c>
      <c r="BF8" s="74">
        <f ca="1">COUNTIF(Table610[Aggressive],"yes")</f>
        <v>108</v>
      </c>
      <c r="BP8" s="1" t="s">
        <v>329</v>
      </c>
      <c r="BQ8" s="74">
        <f ca="1">COUNTIF(Table61011[Aggressive],"yes")</f>
        <v>177</v>
      </c>
      <c r="CA8" s="1" t="s">
        <v>329</v>
      </c>
      <c r="CB8" s="74">
        <f ca="1">COUNTIF(Table35[Aggressive],"yes")</f>
        <v>7</v>
      </c>
      <c r="CL8" s="1" t="s">
        <v>329</v>
      </c>
      <c r="CM8" s="74">
        <f ca="1">COUNTIF(Table11[Aggressive],"yes")</f>
        <v>165</v>
      </c>
      <c r="CW8" s="1" t="s">
        <v>329</v>
      </c>
      <c r="CX8" s="74">
        <f ca="1">COUNTIF(Table12[Aggressive],"yes")</f>
        <v>55</v>
      </c>
      <c r="DH8" s="1" t="s">
        <v>329</v>
      </c>
      <c r="DI8" s="74">
        <f ca="1">COUNTIF(Table13[Aggressive],"yes")</f>
        <v>101</v>
      </c>
      <c r="DS8" s="1" t="s">
        <v>329</v>
      </c>
      <c r="DT8" s="74">
        <f ca="1">COUNTIF(Table14[Aggressive],"yes")</f>
        <v>174</v>
      </c>
      <c r="ED8" s="1" t="s">
        <v>329</v>
      </c>
      <c r="EE8" s="74">
        <f ca="1">COUNTIF(Table36[Aggressive],"yes")</f>
        <v>2</v>
      </c>
      <c r="EO8" s="1" t="s">
        <v>329</v>
      </c>
      <c r="EP8" s="74">
        <f ca="1">COUNTIF(Table14[Aggressive],"yes")</f>
        <v>174</v>
      </c>
      <c r="EZ8" s="1" t="s">
        <v>329</v>
      </c>
      <c r="FA8" s="74">
        <f ca="1">COUNTIF(Table1820[Aggressive],"yes")</f>
        <v>62</v>
      </c>
      <c r="FK8" s="1" t="s">
        <v>329</v>
      </c>
      <c r="FL8" s="74">
        <f ca="1">COUNTIF(Table182023[Aggressive],"yes")</f>
        <v>47</v>
      </c>
      <c r="FV8" s="1" t="s">
        <v>329</v>
      </c>
      <c r="FW8" s="74">
        <f ca="1">COUNTIF(Table18202324[Aggressive],"yes")</f>
        <v>56</v>
      </c>
      <c r="GG8" s="1" t="s">
        <v>329</v>
      </c>
      <c r="GH8" s="74">
        <f ca="1">COUNTIF(Table37[Aggressive],"yes")</f>
        <v>2</v>
      </c>
    </row>
    <row r="9" spans="2:195" x14ac:dyDescent="0.25">
      <c r="B9" s="1" t="s">
        <v>330</v>
      </c>
      <c r="C9" s="74">
        <f ca="1">COUNTIF(Table245[Aggresive],"no")</f>
        <v>375</v>
      </c>
      <c r="E9" s="1" t="s">
        <v>2410</v>
      </c>
      <c r="F9" s="80" t="str">
        <f>CONCATENATE(ROUND((COUNTIF(Table245[hasBonus],"TRUE") /C7) * 100,2),"%")</f>
        <v>7,69%</v>
      </c>
      <c r="G9" s="129" t="s">
        <v>2420</v>
      </c>
      <c r="M9" s="1" t="s">
        <v>330</v>
      </c>
      <c r="N9" s="74">
        <f ca="1">COUNTIF(Table3[Aggressive],"no")</f>
        <v>172</v>
      </c>
      <c r="P9" s="1" t="s">
        <v>2410</v>
      </c>
      <c r="Q9" s="1" t="str">
        <f>CONCATENATE(ROUND((COUNTIF(Table3[hasBonus],"TRUE") /N7) * 100,2),"%")</f>
        <v>14,47%</v>
      </c>
      <c r="X9" s="1" t="s">
        <v>330</v>
      </c>
      <c r="Y9" s="74">
        <f ca="1">COUNTIF(Table39[Aggressive],"no")</f>
        <v>49</v>
      </c>
      <c r="AA9" s="1" t="s">
        <v>2410</v>
      </c>
      <c r="AB9" s="80" t="str">
        <f>CONCATENATE(ROUND((COUNTIF(Table39[hasBonus],"TRUE") /Y7) * 100,2),"%")</f>
        <v>7,04%</v>
      </c>
      <c r="AI9" s="1" t="s">
        <v>330</v>
      </c>
      <c r="AJ9" s="74">
        <f ca="1">COUNTIF(Table2[Aggressive],"no")</f>
        <v>254</v>
      </c>
      <c r="AL9" s="1" t="s">
        <v>2410</v>
      </c>
      <c r="AM9" s="80" t="str">
        <f>CONCATENATE(ROUND((COUNTIF(Table2[hasBonus],"TRUE") /AJ7) * 100,2),"%")</f>
        <v>6,81%</v>
      </c>
      <c r="AT9" s="1" t="s">
        <v>330</v>
      </c>
      <c r="AU9" s="74">
        <f ca="1">COUNTIF(Table6[Aggressive],"no")</f>
        <v>91</v>
      </c>
      <c r="AW9" s="1" t="s">
        <v>2410</v>
      </c>
      <c r="AX9" s="80" t="str">
        <f>CONCATENATE(ROUND((COUNTIF(Table6[hasBonus],"TRUE") /AU7) * 100,2),"%")</f>
        <v>8,67%</v>
      </c>
      <c r="BE9" s="1" t="s">
        <v>330</v>
      </c>
      <c r="BF9" s="74">
        <f ca="1">COUNTIF(Table610[Aggressive],"no")</f>
        <v>117</v>
      </c>
      <c r="BH9" s="1" t="s">
        <v>2410</v>
      </c>
      <c r="BI9" s="80" t="str">
        <f>CONCATENATE(ROUND((COUNTIF(Table610[hasBonus],"TRUE") /BF7) * 100,2),"%")</f>
        <v>8,89%</v>
      </c>
      <c r="BP9" s="1" t="s">
        <v>330</v>
      </c>
      <c r="BQ9" s="74">
        <f ca="1">COUNTIF(Table61011[Aggressive],"no")</f>
        <v>252</v>
      </c>
      <c r="BS9" s="1" t="s">
        <v>2410</v>
      </c>
      <c r="BT9" s="80" t="str">
        <f>CONCATENATE(ROUND((COUNTIF(Table61011[hasBonus],"TRUE") /BQ7) * 100,2),"%")</f>
        <v>11,19%</v>
      </c>
      <c r="CA9" s="1" t="s">
        <v>330</v>
      </c>
      <c r="CB9" s="74">
        <f ca="1">COUNTIF(Table35[Aggressive],"no")</f>
        <v>306</v>
      </c>
      <c r="CD9" s="1" t="s">
        <v>2410</v>
      </c>
      <c r="CE9" s="80" t="str">
        <f>CONCATENATE(ROUND((COUNTIF(Table35[hasBonus],"TRUE") /CB7) * 100,2),"%")</f>
        <v>6,39%</v>
      </c>
      <c r="CL9" s="1" t="s">
        <v>330</v>
      </c>
      <c r="CM9" s="74">
        <f ca="1">COUNTIF(Table11[Aggressive],"no")</f>
        <v>449</v>
      </c>
      <c r="CO9" s="1" t="s">
        <v>2410</v>
      </c>
      <c r="CP9" s="80" t="str">
        <f>CONCATENATE(ROUND((COUNTIF(Table11[hasBonus],"TRUE") /CM7) * 100,2),"%")</f>
        <v>7,49%</v>
      </c>
      <c r="CW9" s="1" t="s">
        <v>330</v>
      </c>
      <c r="CX9" s="74">
        <f ca="1">COUNTIF(Table12[Aggressive],"no")</f>
        <v>150</v>
      </c>
      <c r="CZ9" s="1" t="s">
        <v>2410</v>
      </c>
      <c r="DA9" s="80" t="str">
        <f>CONCATENATE(ROUND((COUNTIF(Table12[hasBonus],"TRUE") /CX7) * 100,2),"%")</f>
        <v>9,27%</v>
      </c>
      <c r="DH9" s="1" t="s">
        <v>330</v>
      </c>
      <c r="DI9" s="74">
        <f ca="1">COUNTIF(Table13[Aggressive],"no")</f>
        <v>209</v>
      </c>
      <c r="DK9" s="1" t="s">
        <v>2410</v>
      </c>
      <c r="DL9" s="80" t="str">
        <f>CONCATENATE(ROUND((COUNTIF(Table13[hasBonus],"TRUE") /DI7) * 100,2),"%")</f>
        <v>12,26%</v>
      </c>
      <c r="DS9" s="1" t="s">
        <v>330</v>
      </c>
      <c r="DT9" s="74">
        <f ca="1">COUNTIF(Table14[Aggressive],"no")</f>
        <v>553</v>
      </c>
      <c r="DV9" s="1" t="s">
        <v>2410</v>
      </c>
      <c r="DW9" s="80" t="str">
        <f>CONCATENATE(ROUND((COUNTIF(Table14[hasBonus],"TRUE") /DT7) * 100,2),"%")</f>
        <v>7,7%</v>
      </c>
      <c r="ED9" s="1" t="s">
        <v>330</v>
      </c>
      <c r="EE9" s="74">
        <f ca="1">COUNTIF(Table36[Aggressive],"no")</f>
        <v>87</v>
      </c>
      <c r="EG9" s="1" t="s">
        <v>2410</v>
      </c>
      <c r="EH9" s="80" t="str">
        <f>CONCATENATE(ROUND((COUNTIF(Table36[hasBonus],"TRUE") /EE7) * 100,2),"%")</f>
        <v>8,99%</v>
      </c>
      <c r="EO9" s="1" t="s">
        <v>330</v>
      </c>
      <c r="EP9" s="74">
        <f ca="1">COUNTIF(Table18[Aggressive],"no")</f>
        <v>193</v>
      </c>
      <c r="ER9" s="1" t="s">
        <v>2410</v>
      </c>
      <c r="ES9" s="80" t="str">
        <f>CONCATENATE(ROUND((COUNTIF(Table18[hasBonus],"TRUE") /EP7) * 100,2),"%")</f>
        <v>14,29%</v>
      </c>
      <c r="EZ9" s="1" t="s">
        <v>330</v>
      </c>
      <c r="FA9" s="74">
        <f ca="1">COUNTIF(Table1820[Aggressive],"no")</f>
        <v>158</v>
      </c>
      <c r="FC9" s="1" t="s">
        <v>2410</v>
      </c>
      <c r="FD9" s="80" t="str">
        <f>CONCATENATE(ROUND((COUNTIF(Table1820[hasBonus],"TRUE") /FA7) * 100,2),"%")</f>
        <v>12,73%</v>
      </c>
      <c r="FK9" s="1" t="s">
        <v>330</v>
      </c>
      <c r="FL9" s="74">
        <f ca="1">COUNTIF(Table182023[Aggressive],"no")</f>
        <v>106</v>
      </c>
      <c r="FN9" s="1" t="s">
        <v>2410</v>
      </c>
      <c r="FO9" s="80" t="str">
        <f>CONCATENATE(ROUND((COUNTIF(Table182023[hasBonus],"TRUE") /FL7) * 100,2),"%")</f>
        <v>9,8%</v>
      </c>
      <c r="FV9" s="1" t="s">
        <v>330</v>
      </c>
      <c r="FW9" s="74">
        <f ca="1">COUNTIF(Table18202324[Aggressive],"no")</f>
        <v>148</v>
      </c>
      <c r="FY9" s="1" t="s">
        <v>2410</v>
      </c>
      <c r="FZ9" s="80" t="str">
        <f>CONCATENATE(ROUND((COUNTIF(Table18202324[hasBonus],"TRUE") /FW7) * 100,2),"%")</f>
        <v>15,69%</v>
      </c>
      <c r="GG9" s="1" t="s">
        <v>330</v>
      </c>
      <c r="GH9" s="74">
        <f ca="1">COUNTIF(Table37[Aggressive],"no")</f>
        <v>131</v>
      </c>
      <c r="GJ9" s="1" t="s">
        <v>2410</v>
      </c>
      <c r="GK9" s="80" t="str">
        <f>CONCATENATE(ROUND((COUNTIF(Table37[hasBonus],"TRUE") /GH7) * 100,2),"%")</f>
        <v>3,01%</v>
      </c>
    </row>
    <row r="11" spans="2:195" x14ac:dyDescent="0.25">
      <c r="B11" s="1" t="s">
        <v>325</v>
      </c>
      <c r="C11" s="71">
        <f>SUM(Table245[entity_spawned (AVG)])</f>
        <v>1132</v>
      </c>
      <c r="E11" s="1" t="s">
        <v>475</v>
      </c>
      <c r="F11" s="1">
        <f>ROUND(C11/(F5*G5),4)</f>
        <v>3.4799999999999998E-2</v>
      </c>
      <c r="G11" s="1" t="s">
        <v>476</v>
      </c>
      <c r="M11" s="1" t="s">
        <v>325</v>
      </c>
      <c r="N11" s="71">
        <f>SUM(Table3[entity_spawned (AVG)])</f>
        <v>531</v>
      </c>
      <c r="P11" s="1" t="s">
        <v>475</v>
      </c>
      <c r="Q11" s="1">
        <f>ROUND(N11/(Q5*R5),4)</f>
        <v>3.8899999999999997E-2</v>
      </c>
      <c r="R11" s="1" t="s">
        <v>476</v>
      </c>
      <c r="X11" s="1" t="s">
        <v>325</v>
      </c>
      <c r="Y11" s="71">
        <f>SUM(Table39[entity_spawned (AVG)])</f>
        <v>126.5</v>
      </c>
      <c r="AA11" s="1" t="s">
        <v>475</v>
      </c>
      <c r="AB11" s="1">
        <f>ROUND(Y11/(AB5*AC5),4)</f>
        <v>2.53E-2</v>
      </c>
      <c r="AC11" s="1" t="s">
        <v>476</v>
      </c>
      <c r="AI11" s="1" t="s">
        <v>325</v>
      </c>
      <c r="AJ11" s="71">
        <f>SUM(Table2[entity_spawned (AVG)])</f>
        <v>676.5</v>
      </c>
      <c r="AL11" s="1" t="s">
        <v>475</v>
      </c>
      <c r="AM11" s="1">
        <f>ROUND(AJ11/(AM5*AN5),4)</f>
        <v>3.15E-2</v>
      </c>
      <c r="AN11" s="1" t="s">
        <v>476</v>
      </c>
      <c r="AT11" s="1" t="s">
        <v>325</v>
      </c>
      <c r="AU11" s="71">
        <f>SUM(Table6[entity_spawned (AVG)])</f>
        <v>289.5</v>
      </c>
      <c r="AW11" s="1" t="s">
        <v>475</v>
      </c>
      <c r="AX11" s="1">
        <f>ROUND(AU11/(AX5*AY5),4)</f>
        <v>2.4500000000000001E-2</v>
      </c>
      <c r="AY11" s="1" t="s">
        <v>476</v>
      </c>
      <c r="BE11" s="1" t="s">
        <v>325</v>
      </c>
      <c r="BF11" s="71">
        <f>SUM(Table610[entity_spawned (AVG)])</f>
        <v>436</v>
      </c>
      <c r="BH11" s="1" t="s">
        <v>475</v>
      </c>
      <c r="BI11" s="1">
        <f>ROUND(BF11/(BI5*BJ5),4)</f>
        <v>1.9800000000000002E-2</v>
      </c>
      <c r="BJ11" s="1" t="s">
        <v>476</v>
      </c>
      <c r="BP11" s="1" t="s">
        <v>325</v>
      </c>
      <c r="BQ11" s="71">
        <f>SUM(Table61011[entity_spawned (AVG)])</f>
        <v>833.5</v>
      </c>
      <c r="BS11" s="1" t="s">
        <v>475</v>
      </c>
      <c r="BT11" s="1">
        <f>ROUND(BQ11/(BT5*BU5),4)</f>
        <v>2.3699999999999999E-2</v>
      </c>
      <c r="BU11" s="1" t="s">
        <v>476</v>
      </c>
      <c r="CA11" s="1" t="s">
        <v>325</v>
      </c>
      <c r="CB11" s="71">
        <f>SUM(Table35[entity_spawned (AVG)])</f>
        <v>428</v>
      </c>
      <c r="CD11" s="1" t="s">
        <v>475</v>
      </c>
      <c r="CE11" s="1">
        <f>ROUND(CB11/(CE5*CF5),4)</f>
        <v>1.9E-3</v>
      </c>
      <c r="CF11" s="1" t="s">
        <v>476</v>
      </c>
      <c r="CL11" s="1" t="s">
        <v>325</v>
      </c>
      <c r="CM11" s="71">
        <f>SUM(Table11[entity_spawned (AVG)])</f>
        <v>1049</v>
      </c>
      <c r="CO11" s="1" t="s">
        <v>475</v>
      </c>
      <c r="CP11" s="1">
        <f>ROUND(CM11/(CP5*CQ5),4)</f>
        <v>2.1899999999999999E-2</v>
      </c>
      <c r="CQ11" s="1" t="s">
        <v>476</v>
      </c>
      <c r="CW11" s="1" t="s">
        <v>325</v>
      </c>
      <c r="CX11" s="71">
        <f>SUM(Table12[entity_spawned (AVG)])</f>
        <v>396</v>
      </c>
      <c r="CZ11" s="1" t="s">
        <v>475</v>
      </c>
      <c r="DA11" s="1">
        <f>ROUND(CX11/(DA5*DB5),4)</f>
        <v>2.7799999999999998E-2</v>
      </c>
      <c r="DB11" s="1" t="s">
        <v>476</v>
      </c>
      <c r="DH11" s="1" t="s">
        <v>325</v>
      </c>
      <c r="DI11" s="71">
        <f>SUM(Table13[entity_spawned (AVG)])</f>
        <v>692.5</v>
      </c>
      <c r="DK11" s="1" t="s">
        <v>475</v>
      </c>
      <c r="DL11" s="1">
        <f>ROUND(DI11/(DL5*DM5),4)</f>
        <v>3.09E-2</v>
      </c>
      <c r="DM11" s="1" t="s">
        <v>476</v>
      </c>
      <c r="DS11" s="1" t="s">
        <v>325</v>
      </c>
      <c r="DT11" s="71">
        <f>SUM(Table14[entity_spawned (AVG)])</f>
        <v>1359.5</v>
      </c>
      <c r="DV11" s="1" t="s">
        <v>475</v>
      </c>
      <c r="DW11" s="1">
        <f>ROUND(DT11/(DW5*DX5),4)</f>
        <v>1.7399999999999999E-2</v>
      </c>
      <c r="DX11" s="1" t="s">
        <v>476</v>
      </c>
      <c r="ED11" s="1" t="s">
        <v>325</v>
      </c>
      <c r="EE11" s="71">
        <f>SUM(Table36[entity_spawned (AVG)])</f>
        <v>160.5</v>
      </c>
      <c r="EG11" s="1" t="s">
        <v>475</v>
      </c>
      <c r="EH11" s="1">
        <f>ROUND(EE11/(EH5*EI5),4)</f>
        <v>2.2000000000000001E-3</v>
      </c>
      <c r="EI11" s="1" t="s">
        <v>476</v>
      </c>
      <c r="EO11" s="1" t="s">
        <v>325</v>
      </c>
      <c r="EP11" s="71">
        <f>SUM(Table18[entity_spawned (AVG)])</f>
        <v>849</v>
      </c>
      <c r="ER11" s="1" t="s">
        <v>475</v>
      </c>
      <c r="ES11" s="1">
        <f>ROUND(EP11/(ES5*ET5),4)</f>
        <v>2.8400000000000002E-2</v>
      </c>
      <c r="ET11" s="1" t="s">
        <v>476</v>
      </c>
      <c r="EZ11" s="1" t="s">
        <v>325</v>
      </c>
      <c r="FA11" s="71">
        <f>SUM(Table1820[entity_spawned (AVG)])</f>
        <v>560.5</v>
      </c>
      <c r="FC11" s="1" t="s">
        <v>475</v>
      </c>
      <c r="FD11" s="1">
        <f>ROUND(FA11/(FD5*FE5),4)</f>
        <v>2.2200000000000001E-2</v>
      </c>
      <c r="FE11" s="1" t="s">
        <v>476</v>
      </c>
      <c r="FK11" s="1" t="s">
        <v>325</v>
      </c>
      <c r="FL11" s="71">
        <f>SUM(Table182023[entity_spawned (AVG)])</f>
        <v>342</v>
      </c>
      <c r="FN11" s="1" t="s">
        <v>475</v>
      </c>
      <c r="FO11" s="1">
        <f>ROUND(FL11/(FO5*FP5),4)</f>
        <v>5.7000000000000002E-3</v>
      </c>
      <c r="FP11" s="1" t="s">
        <v>476</v>
      </c>
      <c r="FV11" s="1" t="s">
        <v>325</v>
      </c>
      <c r="FW11" s="71">
        <f>SUM(Table18202324[entity_spawned (AVG)])</f>
        <v>533</v>
      </c>
      <c r="FY11" s="1" t="s">
        <v>475</v>
      </c>
      <c r="FZ11" s="1">
        <f>ROUND(FW11/(FZ5*GA5),4)</f>
        <v>8.8999999999999999E-3</v>
      </c>
      <c r="GA11" s="1" t="s">
        <v>476</v>
      </c>
      <c r="GG11" s="1" t="s">
        <v>325</v>
      </c>
      <c r="GH11" s="71">
        <f>SUM(Table37[entity_spawned (AVG)])</f>
        <v>168</v>
      </c>
      <c r="GJ11" s="1" t="s">
        <v>475</v>
      </c>
      <c r="GK11" s="1">
        <f>ROUND(GH11/(GK5*GL5),4)</f>
        <v>1.6999999999999999E-3</v>
      </c>
      <c r="GL11" s="1" t="s">
        <v>476</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499</v>
      </c>
      <c r="C13" s="71" t="str">
        <f>CONCATENATE(ROUND(((COUNTIF(Table245[activating_chance],"=100"))/C7)*100,0),"%")</f>
        <v>77%</v>
      </c>
      <c r="M13" s="1" t="s">
        <v>499</v>
      </c>
      <c r="N13" s="71" t="str">
        <f>CONCATENATE(ROUND(((COUNTIF(Table3[activating_chance],"=100"))/N7)*100,0),"%")</f>
        <v>80%</v>
      </c>
      <c r="X13" s="1" t="s">
        <v>499</v>
      </c>
      <c r="Y13" s="71" t="str">
        <f>CONCATENATE(ROUND(((COUNTIF(Table39[activating_chance],"=100"))/Y7)*100,0),"%")</f>
        <v>80%</v>
      </c>
      <c r="AI13" s="1" t="s">
        <v>499</v>
      </c>
      <c r="AJ13" s="71" t="str">
        <f>CONCATENATE(ROUND(((COUNTIF(Table2[activating_chance],"=100"))/AJ7)*100,0),"%")</f>
        <v>83%</v>
      </c>
      <c r="AT13" s="1" t="s">
        <v>499</v>
      </c>
      <c r="AU13" s="71" t="str">
        <f>CONCATENATE(ROUND(((COUNTIF(Table6[activating_chance],"=100"))/AU7)*100,0),"%")</f>
        <v>85%</v>
      </c>
      <c r="BE13" s="1" t="s">
        <v>499</v>
      </c>
      <c r="BF13" s="71" t="str">
        <f>CONCATENATE(ROUND(((COUNTIF(Table610[activating_chance],"=100"))/BF7)*100,0),"%")</f>
        <v>81%</v>
      </c>
      <c r="BP13" s="1" t="s">
        <v>499</v>
      </c>
      <c r="BQ13" s="71" t="str">
        <f>CONCATENATE(ROUND(((COUNTIF(Table61011[activating_chance],"=100"))/BQ7)*100,0),"%")</f>
        <v>85%</v>
      </c>
      <c r="CA13" s="1" t="s">
        <v>499</v>
      </c>
      <c r="CB13" s="71" t="str">
        <f>CONCATENATE(ROUND(((COUNTIF(Table35[activating_chance],"=100"))/CB7)*100,0),"%")</f>
        <v>100%</v>
      </c>
      <c r="CL13" s="1" t="s">
        <v>499</v>
      </c>
      <c r="CM13" s="71" t="str">
        <f>CONCATENATE(ROUND(((COUNTIF(Table11[activating_chance],"=100"))/CM7)*100,0),"%")</f>
        <v>72%</v>
      </c>
      <c r="CW13" s="1" t="s">
        <v>499</v>
      </c>
      <c r="CX13" s="71" t="str">
        <f>CONCATENATE(ROUND(((COUNTIF(Table12[activating_chance],"=100"))/CX7)*100,0),"%")</f>
        <v>69%</v>
      </c>
      <c r="DH13" s="1" t="s">
        <v>499</v>
      </c>
      <c r="DI13" s="71" t="str">
        <f>CONCATENATE(ROUND(((COUNTIF(Table13[activating_chance],"=100"))/DI7)*100,0),"%")</f>
        <v>72%</v>
      </c>
      <c r="DS13" s="1" t="s">
        <v>499</v>
      </c>
      <c r="DT13" s="71" t="str">
        <f>CONCATENATE(ROUND(((COUNTIF(Table14[activating_chance],"=100"))/DT7)*100,0),"%")</f>
        <v>76%</v>
      </c>
      <c r="ED13" s="1" t="s">
        <v>499</v>
      </c>
      <c r="EE13" s="71" t="str">
        <f>CONCATENATE(ROUND(((COUNTIF(Table36[activating_chance],"=100"))/EE7)*100,0),"%")</f>
        <v>91%</v>
      </c>
      <c r="EO13" s="1" t="s">
        <v>499</v>
      </c>
      <c r="EP13" s="71" t="str">
        <f>CONCATENATE(ROUND(((COUNTIF(Table18[activating_chance],"=100"))/EP7)*100,0),"%")</f>
        <v>77%</v>
      </c>
      <c r="EZ13" s="1" t="s">
        <v>499</v>
      </c>
      <c r="FA13" s="71" t="str">
        <f>CONCATENATE(ROUND(((COUNTIF(Table1820[activating_chance],"=100"))/FA7)*100,0),"%")</f>
        <v>78%</v>
      </c>
      <c r="FK13" s="1" t="s">
        <v>499</v>
      </c>
      <c r="FL13" s="71" t="str">
        <f>CONCATENATE(ROUND(((COUNTIF(Table182023[activating_chance],"=100"))/FL7)*100,0),"%")</f>
        <v>77%</v>
      </c>
      <c r="FV13" s="1" t="s">
        <v>499</v>
      </c>
      <c r="FW13" s="71" t="str">
        <f>CONCATENATE(ROUND(((COUNTIF(Table18202324[activating_chance],"=100"))/FW7)*100,0),"%")</f>
        <v>80%</v>
      </c>
      <c r="GG13" s="1" t="s">
        <v>499</v>
      </c>
      <c r="GH13" s="71" t="str">
        <f>CONCATENATE(ROUND(((COUNTIF(Table37[activating_chance],"=100"))/GH7)*100,0),"%")</f>
        <v>100%</v>
      </c>
    </row>
    <row r="14" spans="2:195" x14ac:dyDescent="0.25">
      <c r="B14" s="1" t="s">
        <v>500</v>
      </c>
      <c r="C14" s="71" t="str">
        <f>CONCATENATE(ROUND((((COUNTIFS(Table245[activating_chance],"&lt;100",Table245[activating_chance],"&gt;=75")))/C7)*100,0),"%")</f>
        <v>14%</v>
      </c>
      <c r="M14" s="1" t="s">
        <v>500</v>
      </c>
      <c r="N14" s="71" t="str">
        <f>CONCATENATE(ROUND((((COUNTIFS(Table3[activating_chance],"&lt;100",Table3[activating_chance],"&gt;=75")))/N7)*100,0),"%")</f>
        <v>10%</v>
      </c>
      <c r="X14" s="1" t="s">
        <v>500</v>
      </c>
      <c r="Y14" s="71" t="str">
        <f>CONCATENATE(ROUND((((COUNTIFS(Table39[activating_chance],"&lt;100",Table39[activating_chance],"&gt;=75")))/Y7)*100,0),"%")</f>
        <v>8%</v>
      </c>
      <c r="AI14" s="1" t="s">
        <v>500</v>
      </c>
      <c r="AJ14" s="71" t="str">
        <f>CONCATENATE(ROUND((((COUNTIFS(Table2[activating_chance],"&lt;100",Table2[activating_chance],"&gt;=75")))/AJ7)*100,0),"%")</f>
        <v>11%</v>
      </c>
      <c r="AT14" s="1" t="s">
        <v>500</v>
      </c>
      <c r="AU14" s="71" t="str">
        <f>CONCATENATE(ROUND((((COUNTIFS(Table6[activating_chance],"&lt;100",Table6[activating_chance],"&gt;=75")))/AU7)*100,0),"%")</f>
        <v>6%</v>
      </c>
      <c r="BE14" s="1" t="s">
        <v>500</v>
      </c>
      <c r="BF14" s="71" t="str">
        <f>CONCATENATE(ROUND((((COUNTIFS(Table610[activating_chance],"&lt;100",Table610[activating_chance],"&gt;=75")))/BF7)*100,0),"%")</f>
        <v>9%</v>
      </c>
      <c r="BP14" s="1" t="s">
        <v>500</v>
      </c>
      <c r="BQ14" s="71" t="str">
        <f>CONCATENATE(ROUND((((COUNTIFS(Table61011[activating_chance],"&lt;100",Table61011[activating_chance],"&gt;=75")))/BQ7)*100,0),"%")</f>
        <v>9%</v>
      </c>
      <c r="CA14" s="1" t="s">
        <v>500</v>
      </c>
      <c r="CB14" s="71" t="str">
        <f>CONCATENATE(ROUND((((COUNTIFS(Table35[activating_chance],"&lt;100",Table35[activating_chance],"&gt;=75")))/CB7)*100,0),"%")</f>
        <v>0%</v>
      </c>
      <c r="CL14" s="1" t="s">
        <v>500</v>
      </c>
      <c r="CM14" s="71" t="str">
        <f>CONCATENATE(ROUND((((COUNTIFS(Table11[activating_chance],"&lt;100",Table11[activating_chance],"&gt;=75")))/CM7)*100,0),"%")</f>
        <v>11%</v>
      </c>
      <c r="CW14" s="1" t="s">
        <v>500</v>
      </c>
      <c r="CX14" s="71" t="str">
        <f>CONCATENATE(ROUND((((COUNTIFS(Table12[activating_chance],"&lt;100",Table12[activating_chance],"&gt;=75")))/CX7)*100,0),"%")</f>
        <v>18%</v>
      </c>
      <c r="DH14" s="1" t="s">
        <v>500</v>
      </c>
      <c r="DI14" s="71" t="str">
        <f>CONCATENATE(ROUND((((COUNTIFS(Table13[activating_chance],"&lt;100",Table13[activating_chance],"&gt;=75")))/DI7)*100,0),"%")</f>
        <v>18%</v>
      </c>
      <c r="DS14" s="1" t="s">
        <v>500</v>
      </c>
      <c r="DT14" s="71" t="str">
        <f>CONCATENATE(ROUND((((COUNTIFS(Table14[activating_chance],"&lt;100",Table14[activating_chance],"&gt;=75")))/DT7)*100,0),"%")</f>
        <v>14%</v>
      </c>
      <c r="ED14" s="1" t="s">
        <v>500</v>
      </c>
      <c r="EE14" s="71" t="str">
        <f>CONCATENATE(ROUND((((COUNTIFS(Table36[activating_chance],"&lt;100",Table36[activating_chance],"&gt;=75")))/EE7)*100,0),"%")</f>
        <v>0%</v>
      </c>
      <c r="EO14" s="1" t="s">
        <v>500</v>
      </c>
      <c r="EP14" s="71" t="str">
        <f>CONCATENATE(ROUND((((COUNTIFS(Table18[activating_chance],"&lt;100",Table18[activating_chance],"&gt;=75")))/EP7)*100,0),"%")</f>
        <v>16%</v>
      </c>
      <c r="EZ14" s="1" t="s">
        <v>500</v>
      </c>
      <c r="FA14" s="71" t="str">
        <f>CONCATENATE(ROUND((((COUNTIFS(Table1820[activating_chance],"&lt;100",Table1820[activating_chance],"&gt;=75")))/FA7)*100,0),"%")</f>
        <v>13%</v>
      </c>
      <c r="FK14" s="1" t="s">
        <v>500</v>
      </c>
      <c r="FL14" s="71" t="str">
        <f>CONCATENATE(ROUND((((COUNTIFS(Table182023[activating_chance],"&lt;100",Table182023[activating_chance],"&gt;=75")))/FL7)*100,0),"%")</f>
        <v>18%</v>
      </c>
      <c r="FV14" s="1" t="s">
        <v>500</v>
      </c>
      <c r="FW14" s="71" t="str">
        <f>CONCATENATE(ROUND((((COUNTIFS(Table18202324[activating_chance],"&lt;100",Table18202324[activating_chance],"&gt;=75")))/FW7)*100,0),"%")</f>
        <v>18%</v>
      </c>
      <c r="GG14" s="1" t="s">
        <v>500</v>
      </c>
      <c r="GH14" s="71" t="str">
        <f>CONCATENATE(ROUND((((COUNTIFS(Table37[activating_chance],"&lt;100",Table37[activating_chance],"&gt;=75")))/GH7)*100,0),"%")</f>
        <v>0%</v>
      </c>
    </row>
    <row r="15" spans="2:195" x14ac:dyDescent="0.25">
      <c r="B15" s="1" t="s">
        <v>501</v>
      </c>
      <c r="C15" s="1" t="str">
        <f>CONCATENATE(ROUND((((COUNTIFS(Table245[activating_chance],"&lt;75",Table245[activating_chance],"&gt;=25")))/C7)*100,0),"%")</f>
        <v>9%</v>
      </c>
      <c r="M15" s="1" t="s">
        <v>501</v>
      </c>
      <c r="N15" s="1" t="str">
        <f>CONCATENATE(ROUND((((COUNTIFS(Table3[activating_chance],"&lt;75",Table3[activating_chance],"&gt;=25")))/N7)*100,0),"%")</f>
        <v>9%</v>
      </c>
      <c r="X15" s="1" t="s">
        <v>501</v>
      </c>
      <c r="Y15" s="1" t="str">
        <f>CONCATENATE(ROUND((((COUNTIFS(Table39[activating_chance],"&lt;75",Table39[activating_chance],"&gt;=25")))/Y7)*100,0),"%")</f>
        <v>11%</v>
      </c>
      <c r="AI15" s="1" t="s">
        <v>501</v>
      </c>
      <c r="AJ15" s="1" t="str">
        <f>CONCATENATE(ROUND((((COUNTIFS(Table2[activating_chance],"&lt;75",Table2[activating_chance],"&gt;=25")))/AJ7)*100,0),"%")</f>
        <v>5%</v>
      </c>
      <c r="AT15" s="1" t="s">
        <v>501</v>
      </c>
      <c r="AU15" s="1" t="str">
        <f>CONCATENATE(ROUND((((COUNTIFS(Table6[activating_chance],"&lt;75",Table6[activating_chance],"&gt;=25")))/AU7)*100,0),"%")</f>
        <v>9%</v>
      </c>
      <c r="BE15" s="1" t="s">
        <v>501</v>
      </c>
      <c r="BF15" s="1" t="str">
        <f>CONCATENATE(ROUND((((COUNTIFS(Table610[activating_chance],"&lt;75",Table610[activating_chance],"&gt;=25")))/BF7)*100,0),"%")</f>
        <v>10%</v>
      </c>
      <c r="BP15" s="1" t="s">
        <v>501</v>
      </c>
      <c r="BQ15" s="1" t="str">
        <f>CONCATENATE(ROUND((((COUNTIFS(Table61011[activating_chance],"&lt;75",Table61011[activating_chance],"&gt;=25")))/BQ7)*100,0),"%")</f>
        <v>6%</v>
      </c>
      <c r="CA15" s="1" t="s">
        <v>501</v>
      </c>
      <c r="CB15" s="1" t="str">
        <f>CONCATENATE(ROUND((((COUNTIFS(Table35[activating_chance],"&lt;75",Table35[activating_chance],"&gt;=25")))/CB7)*100,0),"%")</f>
        <v>0%</v>
      </c>
      <c r="CL15" s="1" t="s">
        <v>501</v>
      </c>
      <c r="CM15" s="1" t="str">
        <f>CONCATENATE(ROUND((((COUNTIFS(Table11[activating_chance],"&lt;75",Table11[activating_chance],"&gt;=25")))/CM7)*100,0),"%")</f>
        <v>14%</v>
      </c>
      <c r="CW15" s="1" t="s">
        <v>501</v>
      </c>
      <c r="CX15" s="1" t="str">
        <f>CONCATENATE(ROUND((((COUNTIFS(Table12[activating_chance],"&lt;75",Table12[activating_chance],"&gt;=25")))/CX7)*100,0),"%")</f>
        <v>12%</v>
      </c>
      <c r="DH15" s="1" t="s">
        <v>501</v>
      </c>
      <c r="DI15" s="1" t="str">
        <f>CONCATENATE(ROUND((((COUNTIFS(Table13[activating_chance],"&lt;75",Table13[activating_chance],"&gt;=25")))/DI7)*100,0),"%")</f>
        <v>7%</v>
      </c>
      <c r="DS15" s="1" t="s">
        <v>501</v>
      </c>
      <c r="DT15" s="1" t="str">
        <f>CONCATENATE(ROUND((((COUNTIFS(Table14[activating_chance],"&lt;75",Table14[activating_chance],"&gt;=25")))/DT7)*100,0),"%")</f>
        <v>9%</v>
      </c>
      <c r="ED15" s="1" t="s">
        <v>501</v>
      </c>
      <c r="EE15" s="1" t="str">
        <f>CONCATENATE(ROUND((((COUNTIFS(Table36[activating_chance],"&lt;75",Table36[activating_chance],"&gt;=25")))/EE7)*100,0),"%")</f>
        <v>9%</v>
      </c>
      <c r="EO15" s="1" t="s">
        <v>501</v>
      </c>
      <c r="EP15" s="1" t="str">
        <f>CONCATENATE(ROUND((((COUNTIFS(Table18[activating_chance],"&lt;75",Table18[activating_chance],"&gt;=25")))/EP7)*100,0),"%")</f>
        <v>6%</v>
      </c>
      <c r="EZ15" s="1" t="s">
        <v>501</v>
      </c>
      <c r="FA15" s="1" t="str">
        <f>CONCATENATE(ROUND((((COUNTIFS(Table1820[activating_chance],"&lt;75",Table1820[activating_chance],"&gt;=25")))/FA7)*100,0),"%")</f>
        <v>8%</v>
      </c>
      <c r="FK15" s="1" t="s">
        <v>501</v>
      </c>
      <c r="FL15" s="1" t="str">
        <f>CONCATENATE(ROUND((((COUNTIFS(Table182023[activating_chance],"&lt;75",Table182023[activating_chance],"&gt;=25")))/FL7)*100,0),"%")</f>
        <v>5%</v>
      </c>
      <c r="FV15" s="1" t="s">
        <v>501</v>
      </c>
      <c r="FW15" s="1" t="str">
        <f>CONCATENATE(ROUND((((COUNTIFS(Table18202324[activating_chance],"&lt;75",Table18202324[activating_chance],"&gt;=25")))/FW7)*100,0),"%")</f>
        <v>2%</v>
      </c>
      <c r="GG15" s="1" t="s">
        <v>501</v>
      </c>
      <c r="GH15" s="1" t="str">
        <f>CONCATENATE(ROUND((((COUNTIFS(Table37[activating_chance],"&lt;75",Table37[activating_chance],"&gt;=25")))/GH7)*100,0),"%")</f>
        <v>0%</v>
      </c>
    </row>
    <row r="16" spans="2:195" x14ac:dyDescent="0.25">
      <c r="B16" s="1" t="s">
        <v>502</v>
      </c>
      <c r="C16" s="1" t="str">
        <f>CONCATENATE(ROUND((((COUNTIFS(Table245[activating_chance],"&gt;1",Table245[activating_chance],"&lt;25")))/C7)*100,0),"%")</f>
        <v>1%</v>
      </c>
      <c r="M16" s="1" t="s">
        <v>502</v>
      </c>
      <c r="N16" s="1" t="str">
        <f>CONCATENATE(ROUND((((COUNTIFS(Table3[activating_chance],"&gt;1",Table3[activating_chance],"&lt;25")))/N7)*100,0),"%")</f>
        <v>0%</v>
      </c>
      <c r="X16" s="1" t="s">
        <v>502</v>
      </c>
      <c r="Y16" s="1" t="str">
        <f>CONCATENATE(ROUND((((COUNTIFS(Table39[activating_chance],"&gt;1",Table39[activating_chance],"&lt;25")))/Y7)*100,0),"%")</f>
        <v>0%</v>
      </c>
      <c r="AI16" s="1" t="s">
        <v>502</v>
      </c>
      <c r="AJ16" s="1" t="str">
        <f>CONCATENATE(ROUND((((COUNTIFS(Table2[activating_chance],"&gt;1",Table2[activating_chance],"&lt;25")))/AJ7)*100,0),"%")</f>
        <v>1%</v>
      </c>
      <c r="AT16" s="1" t="s">
        <v>502</v>
      </c>
      <c r="AU16" s="1" t="str">
        <f>CONCATENATE(ROUND((((COUNTIFS(Table6[activating_chance],"&gt;1",Table6[activating_chance],"&lt;25")))/AU7)*100,0),"%")</f>
        <v>0%</v>
      </c>
      <c r="BE16" s="1" t="s">
        <v>502</v>
      </c>
      <c r="BF16" s="1" t="str">
        <f>CONCATENATE(ROUND((((COUNTIFS(Table610[activating_chance],"&gt;1",Table610[activating_chance],"&lt;25")))/BF7)*100,0),"%")</f>
        <v>0%</v>
      </c>
      <c r="BP16" s="1" t="s">
        <v>502</v>
      </c>
      <c r="BQ16" s="1" t="str">
        <f>CONCATENATE(ROUND((((COUNTIFS(Table61011[activating_chance],"&gt;1",Table61011[activating_chance],"&lt;25")))/BQ7)*100,0),"%")</f>
        <v>0%</v>
      </c>
      <c r="CA16" s="1" t="s">
        <v>502</v>
      </c>
      <c r="CB16" s="1" t="str">
        <f>CONCATENATE(ROUND((((COUNTIFS(Table35[activating_chance],"&gt;1",Table35[activating_chance],"&lt;25")))/CB7)*100,0),"%")</f>
        <v>0%</v>
      </c>
      <c r="CL16" s="1" t="s">
        <v>502</v>
      </c>
      <c r="CM16" s="1" t="str">
        <f>CONCATENATE(ROUND((((COUNTIFS(Table11[activating_chance],"&gt;1",Table11[activating_chance],"&lt;25")))/CM7)*100,0),"%")</f>
        <v>2%</v>
      </c>
      <c r="CW16" s="1" t="s">
        <v>502</v>
      </c>
      <c r="CX16" s="1" t="str">
        <f>CONCATENATE(ROUND((((COUNTIFS(Table12[activating_chance],"&gt;1",Table12[activating_chance],"&lt;25")))/CX7)*100,0),"%")</f>
        <v>0%</v>
      </c>
      <c r="DH16" s="1" t="s">
        <v>502</v>
      </c>
      <c r="DI16" s="1" t="str">
        <f>CONCATENATE(ROUND((((COUNTIFS(Table13[activating_chance],"&gt;1",Table13[activating_chance],"&lt;25")))/DI7)*100,0),"%")</f>
        <v>2%</v>
      </c>
      <c r="DS16" s="1" t="s">
        <v>502</v>
      </c>
      <c r="DT16" s="1" t="str">
        <f>CONCATENATE(ROUND((((COUNTIFS(Table14[activating_chance],"&gt;1",Table14[activating_chance],"&lt;25")))/DT7)*100,0),"%")</f>
        <v>1%</v>
      </c>
      <c r="ED16" s="1" t="s">
        <v>502</v>
      </c>
      <c r="EE16" s="1" t="str">
        <f>CONCATENATE(ROUND((((COUNTIFS(Table36[activating_chance],"&gt;1",Table36[activating_chance],"&lt;25")))/EE7)*100,0),"%")</f>
        <v>0%</v>
      </c>
      <c r="EO16" s="1" t="s">
        <v>502</v>
      </c>
      <c r="EP16" s="1" t="str">
        <f>CONCATENATE(ROUND((((COUNTIFS(Table18[activating_chance],"&gt;1",Table18[activating_chance],"&lt;25")))/EP7)*100,0),"%")</f>
        <v>1%</v>
      </c>
      <c r="EZ16" s="1" t="s">
        <v>502</v>
      </c>
      <c r="FA16" s="1" t="str">
        <f>CONCATENATE(ROUND((((COUNTIFS(Table1820[activating_chance],"&gt;1",Table1820[activating_chance],"&lt;25")))/FA7)*100,0),"%")</f>
        <v>1%</v>
      </c>
      <c r="FK16" s="1" t="s">
        <v>502</v>
      </c>
      <c r="FL16" s="1" t="str">
        <f>CONCATENATE(ROUND((((COUNTIFS(Table182023[activating_chance],"&gt;1",Table182023[activating_chance],"&lt;25")))/FL7)*100,0),"%")</f>
        <v>0%</v>
      </c>
      <c r="FV16" s="1" t="s">
        <v>502</v>
      </c>
      <c r="FW16" s="1" t="str">
        <f>CONCATENATE(ROUND((((COUNTIFS(Table18202324[activating_chance],"&gt;1",Table18202324[activating_chance],"&lt;25")))/FW7)*100,0),"%")</f>
        <v>0%</v>
      </c>
      <c r="GG16" s="1" t="s">
        <v>502</v>
      </c>
      <c r="GH16" s="1" t="str">
        <f>CONCATENATE(ROUND((((COUNTIFS(Table37[activating_chance],"&gt;1",Table37[activating_chance],"&lt;25")))/GH7)*100,0),"%")</f>
        <v>0%</v>
      </c>
    </row>
    <row r="17" spans="2:198" x14ac:dyDescent="0.25">
      <c r="C17" s="1"/>
    </row>
    <row r="18" spans="2:198" x14ac:dyDescent="0.25">
      <c r="B18" s="1" t="s">
        <v>436</v>
      </c>
      <c r="C18" s="1" t="s">
        <v>380</v>
      </c>
      <c r="I18" s="82" t="s">
        <v>2430</v>
      </c>
      <c r="M18" s="1" t="s">
        <v>436</v>
      </c>
      <c r="N18" s="1" t="s">
        <v>251</v>
      </c>
      <c r="X18" s="1" t="s">
        <v>436</v>
      </c>
      <c r="Y18" s="1" t="s">
        <v>437</v>
      </c>
      <c r="AI18" s="1" t="s">
        <v>436</v>
      </c>
      <c r="AJ18" s="1" t="s">
        <v>438</v>
      </c>
      <c r="AT18" s="1" t="s">
        <v>436</v>
      </c>
      <c r="AU18" s="1" t="s">
        <v>439</v>
      </c>
      <c r="BA18" s="114"/>
      <c r="BE18" s="1" t="s">
        <v>436</v>
      </c>
      <c r="BF18" s="1" t="s">
        <v>440</v>
      </c>
      <c r="BP18" s="1" t="s">
        <v>436</v>
      </c>
      <c r="BQ18" s="1" t="s">
        <v>441</v>
      </c>
      <c r="CA18" s="1" t="s">
        <v>436</v>
      </c>
      <c r="CB18" s="1" t="s">
        <v>3822</v>
      </c>
      <c r="CL18" s="1" t="s">
        <v>436</v>
      </c>
      <c r="CM18" s="1" t="s">
        <v>491</v>
      </c>
      <c r="CW18" s="1" t="s">
        <v>436</v>
      </c>
      <c r="CX18" s="1" t="s">
        <v>508</v>
      </c>
      <c r="DH18" s="1" t="s">
        <v>436</v>
      </c>
      <c r="DI18" s="1" t="s">
        <v>440</v>
      </c>
      <c r="DS18" s="1" t="s">
        <v>436</v>
      </c>
      <c r="DT18" s="1" t="s">
        <v>511</v>
      </c>
      <c r="ED18" s="1" t="s">
        <v>436</v>
      </c>
      <c r="EE18" s="1" t="s">
        <v>3834</v>
      </c>
      <c r="EO18" s="1" t="s">
        <v>436</v>
      </c>
      <c r="EP18" s="1" t="s">
        <v>565</v>
      </c>
      <c r="EZ18" s="1" t="s">
        <v>436</v>
      </c>
      <c r="FA18" s="1" t="s">
        <v>567</v>
      </c>
      <c r="FK18" s="1" t="s">
        <v>436</v>
      </c>
      <c r="FL18" s="1" t="s">
        <v>2695</v>
      </c>
      <c r="FV18" s="1" t="s">
        <v>436</v>
      </c>
      <c r="FW18" s="1" t="s">
        <v>3841</v>
      </c>
      <c r="GG18" s="1" t="s">
        <v>436</v>
      </c>
      <c r="GH18" s="1" t="s">
        <v>3836</v>
      </c>
    </row>
    <row r="19" spans="2:198" x14ac:dyDescent="0.25">
      <c r="I19" s="76" t="s">
        <v>2421</v>
      </c>
    </row>
    <row r="21" spans="2:198" x14ac:dyDescent="0.25">
      <c r="B21" s="1" t="s">
        <v>208</v>
      </c>
      <c r="C21" s="1" t="s">
        <v>209</v>
      </c>
      <c r="D21" s="1" t="s">
        <v>210</v>
      </c>
      <c r="E21" s="1" t="s">
        <v>211</v>
      </c>
      <c r="F21" s="1" t="s">
        <v>205</v>
      </c>
      <c r="G21" s="1" t="s">
        <v>212</v>
      </c>
      <c r="H21" s="1" t="s">
        <v>326</v>
      </c>
      <c r="I21" s="71" t="s">
        <v>2407</v>
      </c>
      <c r="J21" s="71" t="s">
        <v>2408</v>
      </c>
      <c r="K21" s="71" t="s">
        <v>2409</v>
      </c>
      <c r="M21" t="s">
        <v>208</v>
      </c>
      <c r="N21" t="s">
        <v>209</v>
      </c>
      <c r="O21" t="s">
        <v>210</v>
      </c>
      <c r="P21" t="s">
        <v>211</v>
      </c>
      <c r="Q21" t="s">
        <v>205</v>
      </c>
      <c r="R21" t="s">
        <v>212</v>
      </c>
      <c r="S21" t="s">
        <v>331</v>
      </c>
      <c r="T21" t="s">
        <v>2407</v>
      </c>
      <c r="U21" t="s">
        <v>2408</v>
      </c>
      <c r="V21" t="s">
        <v>2409</v>
      </c>
      <c r="X21" t="s">
        <v>208</v>
      </c>
      <c r="Y21" t="s">
        <v>209</v>
      </c>
      <c r="Z21" t="s">
        <v>210</v>
      </c>
      <c r="AA21" t="s">
        <v>211</v>
      </c>
      <c r="AB21" t="s">
        <v>205</v>
      </c>
      <c r="AC21" t="s">
        <v>212</v>
      </c>
      <c r="AD21" t="s">
        <v>331</v>
      </c>
      <c r="AE21" t="s">
        <v>2407</v>
      </c>
      <c r="AF21" t="s">
        <v>2408</v>
      </c>
      <c r="AG21" t="s">
        <v>2409</v>
      </c>
      <c r="AI21" t="s">
        <v>208</v>
      </c>
      <c r="AJ21" t="s">
        <v>209</v>
      </c>
      <c r="AK21" t="s">
        <v>210</v>
      </c>
      <c r="AL21" t="s">
        <v>211</v>
      </c>
      <c r="AM21" t="s">
        <v>205</v>
      </c>
      <c r="AN21" t="s">
        <v>212</v>
      </c>
      <c r="AO21" t="s">
        <v>331</v>
      </c>
      <c r="AP21" s="75" t="s">
        <v>2407</v>
      </c>
      <c r="AQ21" s="75" t="s">
        <v>2408</v>
      </c>
      <c r="AR21" s="114" t="s">
        <v>2409</v>
      </c>
      <c r="AT21" t="s">
        <v>208</v>
      </c>
      <c r="AU21" t="s">
        <v>209</v>
      </c>
      <c r="AV21" t="s">
        <v>210</v>
      </c>
      <c r="AW21" t="s">
        <v>211</v>
      </c>
      <c r="AX21" t="s">
        <v>205</v>
      </c>
      <c r="AY21" t="s">
        <v>212</v>
      </c>
      <c r="AZ21" t="s">
        <v>331</v>
      </c>
      <c r="BA21" s="75" t="s">
        <v>2407</v>
      </c>
      <c r="BB21" s="75" t="s">
        <v>2408</v>
      </c>
      <c r="BC21" s="114" t="s">
        <v>2409</v>
      </c>
      <c r="BE21" t="s">
        <v>208</v>
      </c>
      <c r="BF21" t="s">
        <v>209</v>
      </c>
      <c r="BG21" t="s">
        <v>210</v>
      </c>
      <c r="BH21" t="s">
        <v>211</v>
      </c>
      <c r="BI21" t="s">
        <v>205</v>
      </c>
      <c r="BJ21" t="s">
        <v>212</v>
      </c>
      <c r="BK21" t="s">
        <v>331</v>
      </c>
      <c r="BL21" s="75" t="s">
        <v>2407</v>
      </c>
      <c r="BM21" s="75" t="s">
        <v>2408</v>
      </c>
      <c r="BN21" s="114" t="s">
        <v>2409</v>
      </c>
      <c r="BP21" t="s">
        <v>208</v>
      </c>
      <c r="BQ21" t="s">
        <v>209</v>
      </c>
      <c r="BR21" t="s">
        <v>210</v>
      </c>
      <c r="BS21" t="s">
        <v>211</v>
      </c>
      <c r="BT21" t="s">
        <v>205</v>
      </c>
      <c r="BU21" t="s">
        <v>212</v>
      </c>
      <c r="BV21" t="s">
        <v>331</v>
      </c>
      <c r="BW21" s="75" t="s">
        <v>2407</v>
      </c>
      <c r="BX21" s="75" t="s">
        <v>2408</v>
      </c>
      <c r="BY21" s="114" t="s">
        <v>2409</v>
      </c>
      <c r="BZ21" s="114"/>
      <c r="CA21" s="91" t="s">
        <v>208</v>
      </c>
      <c r="CB21" s="91" t="s">
        <v>209</v>
      </c>
      <c r="CC21" s="91" t="s">
        <v>210</v>
      </c>
      <c r="CD21" s="91" t="s">
        <v>211</v>
      </c>
      <c r="CE21" s="91" t="s">
        <v>205</v>
      </c>
      <c r="CF21" s="91" t="s">
        <v>212</v>
      </c>
      <c r="CG21" s="91" t="s">
        <v>331</v>
      </c>
      <c r="CH21" s="117" t="s">
        <v>2407</v>
      </c>
      <c r="CI21" s="117" t="s">
        <v>2408</v>
      </c>
      <c r="CJ21" s="118" t="s">
        <v>2409</v>
      </c>
      <c r="CL21" t="s">
        <v>208</v>
      </c>
      <c r="CM21" t="s">
        <v>209</v>
      </c>
      <c r="CN21" t="s">
        <v>210</v>
      </c>
      <c r="CO21" t="s">
        <v>211</v>
      </c>
      <c r="CP21" t="s">
        <v>205</v>
      </c>
      <c r="CQ21" t="s">
        <v>212</v>
      </c>
      <c r="CR21" t="s">
        <v>331</v>
      </c>
      <c r="CS21" s="75" t="s">
        <v>2407</v>
      </c>
      <c r="CT21" s="75" t="s">
        <v>2408</v>
      </c>
      <c r="CU21" s="114" t="s">
        <v>2409</v>
      </c>
      <c r="CW21" t="s">
        <v>208</v>
      </c>
      <c r="CX21" t="s">
        <v>209</v>
      </c>
      <c r="CY21" t="s">
        <v>210</v>
      </c>
      <c r="CZ21" t="s">
        <v>211</v>
      </c>
      <c r="DA21" t="s">
        <v>205</v>
      </c>
      <c r="DB21" t="s">
        <v>212</v>
      </c>
      <c r="DC21" t="s">
        <v>331</v>
      </c>
      <c r="DD21" s="75" t="s">
        <v>2407</v>
      </c>
      <c r="DE21" s="75" t="s">
        <v>2408</v>
      </c>
      <c r="DF21" s="114" t="s">
        <v>2409</v>
      </c>
      <c r="DH21" t="s">
        <v>208</v>
      </c>
      <c r="DI21" t="s">
        <v>209</v>
      </c>
      <c r="DJ21" t="s">
        <v>210</v>
      </c>
      <c r="DK21" t="s">
        <v>211</v>
      </c>
      <c r="DL21" t="s">
        <v>205</v>
      </c>
      <c r="DM21" t="s">
        <v>212</v>
      </c>
      <c r="DN21" t="s">
        <v>331</v>
      </c>
      <c r="DO21" s="75" t="s">
        <v>2407</v>
      </c>
      <c r="DP21" s="75" t="s">
        <v>2408</v>
      </c>
      <c r="DQ21" s="114" t="s">
        <v>2409</v>
      </c>
      <c r="DS21" t="s">
        <v>208</v>
      </c>
      <c r="DT21" t="s">
        <v>209</v>
      </c>
      <c r="DU21" t="s">
        <v>210</v>
      </c>
      <c r="DV21" t="s">
        <v>211</v>
      </c>
      <c r="DW21" t="s">
        <v>205</v>
      </c>
      <c r="DX21" t="s">
        <v>212</v>
      </c>
      <c r="DY21" t="s">
        <v>331</v>
      </c>
      <c r="DZ21" s="75" t="s">
        <v>2407</v>
      </c>
      <c r="EA21" s="75" t="s">
        <v>2408</v>
      </c>
      <c r="EB21" s="114" t="s">
        <v>2409</v>
      </c>
      <c r="EC21" s="114"/>
      <c r="ED21" s="149" t="s">
        <v>208</v>
      </c>
      <c r="EE21" s="149" t="s">
        <v>209</v>
      </c>
      <c r="EF21" s="149" t="s">
        <v>210</v>
      </c>
      <c r="EG21" s="149" t="s">
        <v>211</v>
      </c>
      <c r="EH21" s="149" t="s">
        <v>205</v>
      </c>
      <c r="EI21" s="149" t="s">
        <v>212</v>
      </c>
      <c r="EJ21" s="149" t="s">
        <v>331</v>
      </c>
      <c r="EK21" s="150" t="s">
        <v>2407</v>
      </c>
      <c r="EL21" s="150" t="s">
        <v>2408</v>
      </c>
      <c r="EM21" s="151" t="s">
        <v>2409</v>
      </c>
      <c r="EO21" s="91" t="s">
        <v>208</v>
      </c>
      <c r="EP21" s="91" t="s">
        <v>209</v>
      </c>
      <c r="EQ21" s="91" t="s">
        <v>210</v>
      </c>
      <c r="ER21" s="91" t="s">
        <v>211</v>
      </c>
      <c r="ES21" s="91" t="s">
        <v>205</v>
      </c>
      <c r="ET21" s="91" t="s">
        <v>212</v>
      </c>
      <c r="EU21" s="91" t="s">
        <v>331</v>
      </c>
      <c r="EV21" s="117" t="s">
        <v>2407</v>
      </c>
      <c r="EW21" s="117" t="s">
        <v>2408</v>
      </c>
      <c r="EX21" s="118" t="s">
        <v>2409</v>
      </c>
      <c r="EZ21" s="91" t="s">
        <v>208</v>
      </c>
      <c r="FA21" s="91" t="s">
        <v>209</v>
      </c>
      <c r="FB21" s="91" t="s">
        <v>210</v>
      </c>
      <c r="FC21" s="91" t="s">
        <v>211</v>
      </c>
      <c r="FD21" s="91" t="s">
        <v>205</v>
      </c>
      <c r="FE21" s="91" t="s">
        <v>212</v>
      </c>
      <c r="FF21" s="91" t="s">
        <v>331</v>
      </c>
      <c r="FG21" s="117" t="s">
        <v>2407</v>
      </c>
      <c r="FH21" s="117" t="s">
        <v>2408</v>
      </c>
      <c r="FI21" s="118" t="s">
        <v>2409</v>
      </c>
      <c r="FK21" s="149" t="s">
        <v>208</v>
      </c>
      <c r="FL21" s="149" t="s">
        <v>209</v>
      </c>
      <c r="FM21" s="149" t="s">
        <v>210</v>
      </c>
      <c r="FN21" s="149" t="s">
        <v>211</v>
      </c>
      <c r="FO21" s="149" t="s">
        <v>205</v>
      </c>
      <c r="FP21" s="149" t="s">
        <v>212</v>
      </c>
      <c r="FQ21" s="149" t="s">
        <v>331</v>
      </c>
      <c r="FR21" s="150" t="s">
        <v>2407</v>
      </c>
      <c r="FS21" s="150" t="s">
        <v>2408</v>
      </c>
      <c r="FT21" s="151" t="s">
        <v>2409</v>
      </c>
      <c r="FV21" s="91" t="s">
        <v>208</v>
      </c>
      <c r="FW21" s="91" t="s">
        <v>209</v>
      </c>
      <c r="FX21" s="91" t="s">
        <v>210</v>
      </c>
      <c r="FY21" s="91" t="s">
        <v>211</v>
      </c>
      <c r="FZ21" s="91" t="s">
        <v>205</v>
      </c>
      <c r="GA21" s="91" t="s">
        <v>212</v>
      </c>
      <c r="GB21" s="91" t="s">
        <v>331</v>
      </c>
      <c r="GC21" s="117" t="s">
        <v>2407</v>
      </c>
      <c r="GD21" s="117" t="s">
        <v>2408</v>
      </c>
      <c r="GE21" s="118" t="s">
        <v>2409</v>
      </c>
      <c r="GG21" s="149" t="s">
        <v>208</v>
      </c>
      <c r="GH21" s="149" t="s">
        <v>209</v>
      </c>
      <c r="GI21" s="149" t="s">
        <v>210</v>
      </c>
      <c r="GJ21" s="149" t="s">
        <v>211</v>
      </c>
      <c r="GK21" s="149" t="s">
        <v>205</v>
      </c>
      <c r="GL21" s="149" t="s">
        <v>212</v>
      </c>
      <c r="GM21" s="149" t="s">
        <v>331</v>
      </c>
      <c r="GN21" s="150" t="s">
        <v>2407</v>
      </c>
      <c r="GO21" s="150" t="s">
        <v>2408</v>
      </c>
      <c r="GP21" s="151" t="s">
        <v>2409</v>
      </c>
    </row>
    <row r="22" spans="2:198" x14ac:dyDescent="0.25">
      <c r="B22" s="73" t="s">
        <v>214</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213</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213</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213</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213</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213</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215</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377</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214</v>
      </c>
      <c r="CM22">
        <v>6</v>
      </c>
      <c r="CN22">
        <v>280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5" t="str">
        <f ca="1">INDIRECT(ADDRESS(11+(MATCH(RIGHT(Table11[[#This Row],[spawner_sku]],LEN(Table11[[#This Row],[spawner_sku]])-FIND("/",Table11[[#This Row],[spawner_sku]])),Table28[Entity Prefab],0)),25,1,1,"Entities"))</f>
        <v>no</v>
      </c>
      <c r="CS22" s="72">
        <v>5</v>
      </c>
      <c r="CT22" s="72">
        <v>7</v>
      </c>
      <c r="CU22" s="72" t="b">
        <v>1</v>
      </c>
      <c r="CW22" t="s">
        <v>213</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213</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213</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230</v>
      </c>
      <c r="EE22" s="72">
        <v>1</v>
      </c>
      <c r="EF22" s="72">
        <v>200</v>
      </c>
      <c r="EG22" s="72">
        <v>100</v>
      </c>
      <c r="EH22" s="72">
        <f ca="1">INDIRECT(ADDRESS(11+(MATCH(RIGHT(Table36[[#This Row],[spawner_sku]],LEN(Table36[[#This Row],[spawner_sku]])-FIND("/",Table36[[#This Row],[spawner_sku]])),Table1[Entity Prefab],0)),10,1,1,"Entities"))</f>
        <v>28</v>
      </c>
      <c r="EI22" s="72">
        <f ca="1">ROUND((Table36[[#This Row],[XP]]*Table36[[#This Row],[entity_spawned (AVG)]])*(Table36[[#This Row],[activating_chance]]/100),0)</f>
        <v>28</v>
      </c>
      <c r="EJ22" s="72" t="str">
        <f ca="1">INDIRECT(ADDRESS(11+(MATCH(RIGHT(Table36[[#This Row],[spawner_sku]],LEN(Table36[[#This Row],[spawner_sku]])-FIND("/",Table36[[#This Row],[spawner_sku]])),Table28[Entity Prefab],0)),25,1,1,"Entities"))</f>
        <v>no</v>
      </c>
      <c r="EK22" s="72">
        <v>1</v>
      </c>
      <c r="EL22" s="72">
        <v>1</v>
      </c>
      <c r="EM22" s="72" t="b">
        <v>0</v>
      </c>
      <c r="EO22" t="s">
        <v>213</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213</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218</v>
      </c>
      <c r="FL22">
        <v>1</v>
      </c>
      <c r="FM22">
        <v>5000</v>
      </c>
      <c r="FN22">
        <v>60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45</v>
      </c>
      <c r="FQ22" t="str">
        <f ca="1">INDIRECT(ADDRESS(11+(MATCH(RIGHT(Table182023[[#This Row],[spawner_sku]],LEN(Table182023[[#This Row],[spawner_sku]])-FIND("/",Table182023[[#This Row],[spawner_sku]])),Table28[Entity Prefab],0)),26,1,1,"Entities"))</f>
        <v>no</v>
      </c>
      <c r="FR22">
        <v>1</v>
      </c>
      <c r="FS22">
        <v>1</v>
      </c>
      <c r="FT22" t="b">
        <v>0</v>
      </c>
      <c r="FV22" t="s">
        <v>218</v>
      </c>
      <c r="FW22">
        <v>1</v>
      </c>
      <c r="FX22">
        <v>5000</v>
      </c>
      <c r="FY22">
        <v>75</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56</v>
      </c>
      <c r="GB22" s="75" t="str">
        <f ca="1">INDIRECT(ADDRESS(11+(MATCH(RIGHT(Table18202324[[#This Row],[spawner_sku]],LEN(Table18202324[[#This Row],[spawner_sku]])-FIND("/",Table18202324[[#This Row],[spawner_sku]])),Table28[Entity Prefab],0)),26,1,1,"Entities"))</f>
        <v>no</v>
      </c>
      <c r="GC22">
        <v>1</v>
      </c>
      <c r="GD22">
        <v>1</v>
      </c>
      <c r="GE22" t="b">
        <v>0</v>
      </c>
      <c r="GG22" t="s">
        <v>377</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214</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213</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213</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213</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213</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213</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215</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377</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214</v>
      </c>
      <c r="CM23">
        <v>9</v>
      </c>
      <c r="CN23">
        <v>280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5" t="str">
        <f ca="1">INDIRECT(ADDRESS(11+(MATCH(RIGHT(Table11[[#This Row],[spawner_sku]],LEN(Table11[[#This Row],[spawner_sku]])-FIND("/",Table11[[#This Row],[spawner_sku]])),Table28[Entity Prefab],0)),25,1,1,"Entities"))</f>
        <v>no</v>
      </c>
      <c r="CS23" s="72">
        <v>8</v>
      </c>
      <c r="CT23" s="72">
        <v>10</v>
      </c>
      <c r="CU23" s="72" t="b">
        <v>1</v>
      </c>
      <c r="CW23" t="s">
        <v>213</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213</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213</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230</v>
      </c>
      <c r="EE23" s="72">
        <v>1</v>
      </c>
      <c r="EF23" s="72">
        <v>200</v>
      </c>
      <c r="EG23" s="72">
        <v>100</v>
      </c>
      <c r="EH23" s="72">
        <f ca="1">INDIRECT(ADDRESS(11+(MATCH(RIGHT(Table36[[#This Row],[spawner_sku]],LEN(Table36[[#This Row],[spawner_sku]])-FIND("/",Table36[[#This Row],[spawner_sku]])),Table1[Entity Prefab],0)),10,1,1,"Entities"))</f>
        <v>28</v>
      </c>
      <c r="EI23" s="72">
        <f ca="1">ROUND((Table36[[#This Row],[XP]]*Table36[[#This Row],[entity_spawned (AVG)]])*(Table36[[#This Row],[activating_chance]]/100),0)</f>
        <v>28</v>
      </c>
      <c r="EJ23" s="72" t="str">
        <f ca="1">INDIRECT(ADDRESS(11+(MATCH(RIGHT(Table36[[#This Row],[spawner_sku]],LEN(Table36[[#This Row],[spawner_sku]])-FIND("/",Table36[[#This Row],[spawner_sku]])),Table28[Entity Prefab],0)),25,1,1,"Entities"))</f>
        <v>no</v>
      </c>
      <c r="EK23" s="72">
        <v>1</v>
      </c>
      <c r="EL23" s="72">
        <v>1</v>
      </c>
      <c r="EM23" s="72" t="b">
        <v>0</v>
      </c>
      <c r="EO23" t="s">
        <v>213</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213</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218</v>
      </c>
      <c r="FL23">
        <v>1</v>
      </c>
      <c r="FM23">
        <v>5000</v>
      </c>
      <c r="FN23">
        <v>75</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56</v>
      </c>
      <c r="FQ23" t="str">
        <f ca="1">INDIRECT(ADDRESS(11+(MATCH(RIGHT(Table182023[[#This Row],[spawner_sku]],LEN(Table182023[[#This Row],[spawner_sku]])-FIND("/",Table182023[[#This Row],[spawner_sku]])),Table28[Entity Prefab],0)),26,1,1,"Entities"))</f>
        <v>no</v>
      </c>
      <c r="FR23">
        <v>1</v>
      </c>
      <c r="FS23">
        <v>1</v>
      </c>
      <c r="FT23" t="b">
        <v>0</v>
      </c>
      <c r="FV23" t="s">
        <v>218</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377</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215</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213</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213</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213</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213</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213</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215</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377</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214</v>
      </c>
      <c r="CM24">
        <v>6</v>
      </c>
      <c r="CN24">
        <v>280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5" t="str">
        <f ca="1">INDIRECT(ADDRESS(11+(MATCH(RIGHT(Table11[[#This Row],[spawner_sku]],LEN(Table11[[#This Row],[spawner_sku]])-FIND("/",Table11[[#This Row],[spawner_sku]])),Table28[Entity Prefab],0)),25,1,1,"Entities"))</f>
        <v>no</v>
      </c>
      <c r="CS24" s="72">
        <v>5</v>
      </c>
      <c r="CT24" s="72">
        <v>7</v>
      </c>
      <c r="CU24" s="72" t="b">
        <v>1</v>
      </c>
      <c r="CW24" t="s">
        <v>213</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213</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213</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230</v>
      </c>
      <c r="EE24" s="72">
        <v>1</v>
      </c>
      <c r="EF24" s="72">
        <v>200</v>
      </c>
      <c r="EG24" s="72">
        <v>100</v>
      </c>
      <c r="EH24" s="72">
        <f ca="1">INDIRECT(ADDRESS(11+(MATCH(RIGHT(Table36[[#This Row],[spawner_sku]],LEN(Table36[[#This Row],[spawner_sku]])-FIND("/",Table36[[#This Row],[spawner_sku]])),Table1[Entity Prefab],0)),10,1,1,"Entities"))</f>
        <v>28</v>
      </c>
      <c r="EI24" s="72">
        <f ca="1">ROUND((Table36[[#This Row],[XP]]*Table36[[#This Row],[entity_spawned (AVG)]])*(Table36[[#This Row],[activating_chance]]/100),0)</f>
        <v>28</v>
      </c>
      <c r="EJ24" s="72" t="str">
        <f ca="1">INDIRECT(ADDRESS(11+(MATCH(RIGHT(Table36[[#This Row],[spawner_sku]],LEN(Table36[[#This Row],[spawner_sku]])-FIND("/",Table36[[#This Row],[spawner_sku]])),Table28[Entity Prefab],0)),25,1,1,"Entities"))</f>
        <v>no</v>
      </c>
      <c r="EK24" s="72">
        <v>1</v>
      </c>
      <c r="EL24" s="72">
        <v>1</v>
      </c>
      <c r="EM24" s="72" t="b">
        <v>0</v>
      </c>
      <c r="EO24" t="s">
        <v>213</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213</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218</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218</v>
      </c>
      <c r="FW24">
        <v>1</v>
      </c>
      <c r="FX24">
        <v>5000</v>
      </c>
      <c r="FY24">
        <v>75</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56</v>
      </c>
      <c r="GB24" s="75" t="str">
        <f ca="1">INDIRECT(ADDRESS(11+(MATCH(RIGHT(Table18202324[[#This Row],[spawner_sku]],LEN(Table18202324[[#This Row],[spawner_sku]])-FIND("/",Table18202324[[#This Row],[spawner_sku]])),Table28[Entity Prefab],0)),26,1,1,"Entities"))</f>
        <v>no</v>
      </c>
      <c r="GC24">
        <v>1</v>
      </c>
      <c r="GD24">
        <v>1</v>
      </c>
      <c r="GE24" t="b">
        <v>0</v>
      </c>
      <c r="GG24" t="s">
        <v>377</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215</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213</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213</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213</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213</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213</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215</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377</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214</v>
      </c>
      <c r="CM25">
        <v>6</v>
      </c>
      <c r="CN25">
        <v>280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5" t="str">
        <f ca="1">INDIRECT(ADDRESS(11+(MATCH(RIGHT(Table11[[#This Row],[spawner_sku]],LEN(Table11[[#This Row],[spawner_sku]])-FIND("/",Table11[[#This Row],[spawner_sku]])),Table28[Entity Prefab],0)),25,1,1,"Entities"))</f>
        <v>no</v>
      </c>
      <c r="CS25" s="72">
        <v>5</v>
      </c>
      <c r="CT25" s="72">
        <v>7</v>
      </c>
      <c r="CU25" s="72" t="b">
        <v>1</v>
      </c>
      <c r="CW25" t="s">
        <v>213</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213</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213</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232</v>
      </c>
      <c r="EE25" s="72">
        <v>10</v>
      </c>
      <c r="EF25" s="72">
        <v>90</v>
      </c>
      <c r="EG25" s="72">
        <v>100</v>
      </c>
      <c r="EH25" s="72">
        <f ca="1">INDIRECT(ADDRESS(11+(MATCH(RIGHT(Table36[[#This Row],[spawner_sku]],LEN(Table36[[#This Row],[spawner_sku]])-FIND("/",Table36[[#This Row],[spawner_sku]])),Table1[Entity Prefab],0)),10,1,1,"Entities"))</f>
        <v>25</v>
      </c>
      <c r="EI25" s="72">
        <f ca="1">ROUND((Table36[[#This Row],[XP]]*Table36[[#This Row],[entity_spawned (AVG)]])*(Table36[[#This Row],[activating_chance]]/100),0)</f>
        <v>250</v>
      </c>
      <c r="EJ25" s="72" t="str">
        <f ca="1">INDIRECT(ADDRESS(11+(MATCH(RIGHT(Table36[[#This Row],[spawner_sku]],LEN(Table36[[#This Row],[spawner_sku]])-FIND("/",Table36[[#This Row],[spawner_sku]])),Table28[Entity Prefab],0)),25,1,1,"Entities"))</f>
        <v>no</v>
      </c>
      <c r="EK25" s="72">
        <v>10</v>
      </c>
      <c r="EL25" s="72">
        <v>10</v>
      </c>
      <c r="EM25" s="72" t="b">
        <v>1</v>
      </c>
      <c r="EO25" t="s">
        <v>213</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213</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218</v>
      </c>
      <c r="FL25">
        <v>1</v>
      </c>
      <c r="FM25">
        <v>5000</v>
      </c>
      <c r="FN25">
        <v>80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60</v>
      </c>
      <c r="FQ25" t="str">
        <f ca="1">INDIRECT(ADDRESS(11+(MATCH(RIGHT(Table182023[[#This Row],[spawner_sku]],LEN(Table182023[[#This Row],[spawner_sku]])-FIND("/",Table182023[[#This Row],[spawner_sku]])),Table28[Entity Prefab],0)),26,1,1,"Entities"))</f>
        <v>no</v>
      </c>
      <c r="FR25">
        <v>1</v>
      </c>
      <c r="FS25">
        <v>1</v>
      </c>
      <c r="FT25" t="b">
        <v>0</v>
      </c>
      <c r="FV25" t="s">
        <v>218</v>
      </c>
      <c r="FW25">
        <v>1</v>
      </c>
      <c r="FX25">
        <v>5000</v>
      </c>
      <c r="FY25">
        <v>75</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56</v>
      </c>
      <c r="GB25" s="75" t="str">
        <f ca="1">INDIRECT(ADDRESS(11+(MATCH(RIGHT(Table18202324[[#This Row],[spawner_sku]],LEN(Table18202324[[#This Row],[spawner_sku]])-FIND("/",Table18202324[[#This Row],[spawner_sku]])),Table28[Entity Prefab],0)),26,1,1,"Entities"))</f>
        <v>no</v>
      </c>
      <c r="GC25">
        <v>1</v>
      </c>
      <c r="GD25">
        <v>1</v>
      </c>
      <c r="GE25" t="b">
        <v>0</v>
      </c>
      <c r="GG25" t="s">
        <v>377</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215</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213</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214</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213</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213</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213</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215</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377</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214</v>
      </c>
      <c r="CM26">
        <v>5.5</v>
      </c>
      <c r="CN26">
        <v>280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5" t="str">
        <f ca="1">INDIRECT(ADDRESS(11+(MATCH(RIGHT(Table11[[#This Row],[spawner_sku]],LEN(Table11[[#This Row],[spawner_sku]])-FIND("/",Table11[[#This Row],[spawner_sku]])),Table28[Entity Prefab],0)),25,1,1,"Entities"))</f>
        <v>no</v>
      </c>
      <c r="CS26" s="72">
        <v>5</v>
      </c>
      <c r="CT26" s="72">
        <v>6</v>
      </c>
      <c r="CU26" s="72" t="b">
        <v>1</v>
      </c>
      <c r="CW26" t="s">
        <v>213</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213</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213</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232</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213</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214</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218</v>
      </c>
      <c r="FL26">
        <v>1</v>
      </c>
      <c r="FM26">
        <v>5000</v>
      </c>
      <c r="FN26">
        <v>75</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56</v>
      </c>
      <c r="FQ26" t="str">
        <f ca="1">INDIRECT(ADDRESS(11+(MATCH(RIGHT(Table182023[[#This Row],[spawner_sku]],LEN(Table182023[[#This Row],[spawner_sku]])-FIND("/",Table182023[[#This Row],[spawner_sku]])),Table28[Entity Prefab],0)),26,1,1,"Entities"))</f>
        <v>no</v>
      </c>
      <c r="FR26">
        <v>1</v>
      </c>
      <c r="FS26">
        <v>1</v>
      </c>
      <c r="FT26" t="b">
        <v>0</v>
      </c>
      <c r="FV26" t="s">
        <v>218</v>
      </c>
      <c r="FW26">
        <v>1</v>
      </c>
      <c r="FX26">
        <v>5000</v>
      </c>
      <c r="FY26">
        <v>60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45</v>
      </c>
      <c r="GB26" s="75" t="str">
        <f ca="1">INDIRECT(ADDRESS(11+(MATCH(RIGHT(Table18202324[[#This Row],[spawner_sku]],LEN(Table18202324[[#This Row],[spawner_sku]])-FIND("/",Table18202324[[#This Row],[spawner_sku]])),Table28[Entity Prefab],0)),26,1,1,"Entities"))</f>
        <v>no</v>
      </c>
      <c r="GC26">
        <v>1</v>
      </c>
      <c r="GD26">
        <v>1</v>
      </c>
      <c r="GE26" t="b">
        <v>0</v>
      </c>
      <c r="GG26" t="s">
        <v>3839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215</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214</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214</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213</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213</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215</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377</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214</v>
      </c>
      <c r="CM27">
        <v>6</v>
      </c>
      <c r="CN27">
        <v>280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5" t="str">
        <f ca="1">INDIRECT(ADDRESS(11+(MATCH(RIGHT(Table11[[#This Row],[spawner_sku]],LEN(Table11[[#This Row],[spawner_sku]])-FIND("/",Table11[[#This Row],[spawner_sku]])),Table28[Entity Prefab],0)),25,1,1,"Entities"))</f>
        <v>no</v>
      </c>
      <c r="CS27" s="72">
        <v>5</v>
      </c>
      <c r="CT27" s="72">
        <v>7</v>
      </c>
      <c r="CU27" s="72" t="b">
        <v>1</v>
      </c>
      <c r="CW27" t="s">
        <v>213</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214</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213</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232</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213</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214</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218</v>
      </c>
      <c r="FL27">
        <v>1</v>
      </c>
      <c r="FM27">
        <v>5000</v>
      </c>
      <c r="FN27">
        <v>75</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56</v>
      </c>
      <c r="FQ27" t="str">
        <f ca="1">INDIRECT(ADDRESS(11+(MATCH(RIGHT(Table182023[[#This Row],[spawner_sku]],LEN(Table182023[[#This Row],[spawner_sku]])-FIND("/",Table182023[[#This Row],[spawner_sku]])),Table28[Entity Prefab],0)),26,1,1,"Entities"))</f>
        <v>no</v>
      </c>
      <c r="FR27">
        <v>1</v>
      </c>
      <c r="FS27">
        <v>1</v>
      </c>
      <c r="FT27" t="b">
        <v>0</v>
      </c>
      <c r="FV27" t="s">
        <v>218</v>
      </c>
      <c r="FW27">
        <v>1</v>
      </c>
      <c r="FX27">
        <v>5000</v>
      </c>
      <c r="FY27">
        <v>80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60</v>
      </c>
      <c r="GB27" s="75" t="str">
        <f ca="1">INDIRECT(ADDRESS(11+(MATCH(RIGHT(Table18202324[[#This Row],[spawner_sku]],LEN(Table18202324[[#This Row],[spawner_sku]])-FIND("/",Table18202324[[#This Row],[spawner_sku]])),Table28[Entity Prefab],0)),26,1,1,"Entities"))</f>
        <v>no</v>
      </c>
      <c r="GC27">
        <v>1</v>
      </c>
      <c r="GD27">
        <v>1</v>
      </c>
      <c r="GE27" t="b">
        <v>0</v>
      </c>
      <c r="GG27" t="s">
        <v>3839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215</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214</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214</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215</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214</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213</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215</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377</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214</v>
      </c>
      <c r="CM28">
        <v>6</v>
      </c>
      <c r="CN28">
        <v>280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5" t="str">
        <f ca="1">INDIRECT(ADDRESS(11+(MATCH(RIGHT(Table11[[#This Row],[spawner_sku]],LEN(Table11[[#This Row],[spawner_sku]])-FIND("/",Table11[[#This Row],[spawner_sku]])),Table28[Entity Prefab],0)),25,1,1,"Entities"))</f>
        <v>no</v>
      </c>
      <c r="CS28" s="72">
        <v>5</v>
      </c>
      <c r="CT28" s="72">
        <v>7</v>
      </c>
      <c r="CU28" s="72" t="b">
        <v>1</v>
      </c>
      <c r="CW28" t="s">
        <v>213</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214</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213</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232</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213</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214</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218</v>
      </c>
      <c r="FL28">
        <v>1</v>
      </c>
      <c r="FM28">
        <v>5000</v>
      </c>
      <c r="FN28">
        <v>75</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56</v>
      </c>
      <c r="FQ28" t="str">
        <f ca="1">INDIRECT(ADDRESS(11+(MATCH(RIGHT(Table182023[[#This Row],[spawner_sku]],LEN(Table182023[[#This Row],[spawner_sku]])-FIND("/",Table182023[[#This Row],[spawner_sku]])),Table28[Entity Prefab],0)),26,1,1,"Entities"))</f>
        <v>no</v>
      </c>
      <c r="FR28">
        <v>1</v>
      </c>
      <c r="FS28">
        <v>1</v>
      </c>
      <c r="FT28" t="b">
        <v>0</v>
      </c>
      <c r="FV28" t="s">
        <v>218</v>
      </c>
      <c r="FW28">
        <v>1</v>
      </c>
      <c r="FX28">
        <v>5000</v>
      </c>
      <c r="FY28">
        <v>75</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56</v>
      </c>
      <c r="GB28" s="75" t="str">
        <f ca="1">INDIRECT(ADDRESS(11+(MATCH(RIGHT(Table18202324[[#This Row],[spawner_sku]],LEN(Table18202324[[#This Row],[spawner_sku]])-FIND("/",Table18202324[[#This Row],[spawner_sku]])),Table28[Entity Prefab],0)),26,1,1,"Entities"))</f>
        <v>no</v>
      </c>
      <c r="GC28">
        <v>1</v>
      </c>
      <c r="GD28">
        <v>1</v>
      </c>
      <c r="GE28" t="b">
        <v>0</v>
      </c>
      <c r="GG28" t="s">
        <v>577</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215</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214</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214</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215</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214</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213</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215</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377</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214</v>
      </c>
      <c r="CM29">
        <v>5.5</v>
      </c>
      <c r="CN29">
        <v>280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5" t="str">
        <f ca="1">INDIRECT(ADDRESS(11+(MATCH(RIGHT(Table11[[#This Row],[spawner_sku]],LEN(Table11[[#This Row],[spawner_sku]])-FIND("/",Table11[[#This Row],[spawner_sku]])),Table28[Entity Prefab],0)),25,1,1,"Entities"))</f>
        <v>no</v>
      </c>
      <c r="CS29" s="72">
        <v>5</v>
      </c>
      <c r="CT29" s="72">
        <v>6</v>
      </c>
      <c r="CU29" s="72" t="b">
        <v>1</v>
      </c>
      <c r="CW29" t="s">
        <v>214</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214</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213</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232</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213</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214</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218</v>
      </c>
      <c r="FL29">
        <v>1</v>
      </c>
      <c r="FM29">
        <v>5000</v>
      </c>
      <c r="FN29">
        <v>80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60</v>
      </c>
      <c r="FQ29" t="str">
        <f ca="1">INDIRECT(ADDRESS(11+(MATCH(RIGHT(Table182023[[#This Row],[spawner_sku]],LEN(Table182023[[#This Row],[spawner_sku]])-FIND("/",Table182023[[#This Row],[spawner_sku]])),Table28[Entity Prefab],0)),26,1,1,"Entities"))</f>
        <v>no</v>
      </c>
      <c r="FR29">
        <v>1</v>
      </c>
      <c r="FS29">
        <v>1</v>
      </c>
      <c r="FT29" t="b">
        <v>0</v>
      </c>
      <c r="FV29" t="s">
        <v>218</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577</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215</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214</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214</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215</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214</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214</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215</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377</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214</v>
      </c>
      <c r="CM30">
        <v>6</v>
      </c>
      <c r="CN30">
        <v>280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5" t="str">
        <f ca="1">INDIRECT(ADDRESS(11+(MATCH(RIGHT(Table11[[#This Row],[spawner_sku]],LEN(Table11[[#This Row],[spawner_sku]])-FIND("/",Table11[[#This Row],[spawner_sku]])),Table28[Entity Prefab],0)),25,1,1,"Entities"))</f>
        <v>no</v>
      </c>
      <c r="CS30" s="72">
        <v>5</v>
      </c>
      <c r="CT30" s="72">
        <v>7</v>
      </c>
      <c r="CU30" s="72" t="b">
        <v>1</v>
      </c>
      <c r="CW30" t="s">
        <v>214</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214</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213</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232</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213</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214</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218</v>
      </c>
      <c r="FL30">
        <v>1</v>
      </c>
      <c r="FM30">
        <v>5000</v>
      </c>
      <c r="FN30">
        <v>75</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56</v>
      </c>
      <c r="FQ30" t="str">
        <f ca="1">INDIRECT(ADDRESS(11+(MATCH(RIGHT(Table182023[[#This Row],[spawner_sku]],LEN(Table182023[[#This Row],[spawner_sku]])-FIND("/",Table182023[[#This Row],[spawner_sku]])),Table28[Entity Prefab],0)),26,1,1,"Entities"))</f>
        <v>no</v>
      </c>
      <c r="FR30">
        <v>1</v>
      </c>
      <c r="FS30">
        <v>1</v>
      </c>
      <c r="FT30" t="b">
        <v>0</v>
      </c>
      <c r="FV30" t="s">
        <v>218</v>
      </c>
      <c r="FW30">
        <v>1</v>
      </c>
      <c r="FX30">
        <v>5000</v>
      </c>
      <c r="FY30">
        <v>75</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56</v>
      </c>
      <c r="GB30" s="75" t="str">
        <f ca="1">INDIRECT(ADDRESS(11+(MATCH(RIGHT(Table18202324[[#This Row],[spawner_sku]],LEN(Table18202324[[#This Row],[spawner_sku]])-FIND("/",Table18202324[[#This Row],[spawner_sku]])),Table28[Entity Prefab],0)),26,1,1,"Entities"))</f>
        <v>no</v>
      </c>
      <c r="GC30">
        <v>1</v>
      </c>
      <c r="GD30">
        <v>1</v>
      </c>
      <c r="GE30" t="b">
        <v>0</v>
      </c>
      <c r="GG30" t="s">
        <v>577</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215</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214</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377</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215</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215</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214</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215</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230</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214</v>
      </c>
      <c r="CM31">
        <v>9</v>
      </c>
      <c r="CN31">
        <v>280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5" t="str">
        <f ca="1">INDIRECT(ADDRESS(11+(MATCH(RIGHT(Table11[[#This Row],[spawner_sku]],LEN(Table11[[#This Row],[spawner_sku]])-FIND("/",Table11[[#This Row],[spawner_sku]])),Table28[Entity Prefab],0)),25,1,1,"Entities"))</f>
        <v>no</v>
      </c>
      <c r="CS31" s="72">
        <v>8</v>
      </c>
      <c r="CT31" s="72">
        <v>10</v>
      </c>
      <c r="CU31" s="72" t="b">
        <v>1</v>
      </c>
      <c r="CW31" t="s">
        <v>214</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214</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213</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232</v>
      </c>
      <c r="EE31" s="72">
        <v>8</v>
      </c>
      <c r="EF31" s="72">
        <v>90</v>
      </c>
      <c r="EG31" s="72">
        <v>100</v>
      </c>
      <c r="EH31" s="72">
        <f ca="1">INDIRECT(ADDRESS(11+(MATCH(RIGHT(Table36[[#This Row],[spawner_sku]],LEN(Table36[[#This Row],[spawner_sku]])-FIND("/",Table36[[#This Row],[spawner_sku]])),Table1[Entity Prefab],0)),10,1,1,"Entities"))</f>
        <v>25</v>
      </c>
      <c r="EI31" s="72">
        <f ca="1">ROUND((Table36[[#This Row],[XP]]*Table36[[#This Row],[entity_spawned (AVG)]])*(Table36[[#This Row],[activating_chance]]/100),0)</f>
        <v>200</v>
      </c>
      <c r="EJ31" s="72" t="str">
        <f ca="1">INDIRECT(ADDRESS(11+(MATCH(RIGHT(Table36[[#This Row],[spawner_sku]],LEN(Table36[[#This Row],[spawner_sku]])-FIND("/",Table36[[#This Row],[spawner_sku]])),Table28[Entity Prefab],0)),25,1,1,"Entities"))</f>
        <v>no</v>
      </c>
      <c r="EK31" s="72">
        <v>6</v>
      </c>
      <c r="EL31" s="72">
        <v>10</v>
      </c>
      <c r="EM31" s="72" t="b">
        <v>1</v>
      </c>
      <c r="EO31" t="s">
        <v>213</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214</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495</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492</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577</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215</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214</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377</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215</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215</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214</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215</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230</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214</v>
      </c>
      <c r="CM32">
        <v>9</v>
      </c>
      <c r="CN32">
        <v>280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5" t="str">
        <f ca="1">INDIRECT(ADDRESS(11+(MATCH(RIGHT(Table11[[#This Row],[spawner_sku]],LEN(Table11[[#This Row],[spawner_sku]])-FIND("/",Table11[[#This Row],[spawner_sku]])),Table28[Entity Prefab],0)),25,1,1,"Entities"))</f>
        <v>no</v>
      </c>
      <c r="CS32" s="72">
        <v>8</v>
      </c>
      <c r="CT32" s="72">
        <v>10</v>
      </c>
      <c r="CU32" s="72" t="b">
        <v>1</v>
      </c>
      <c r="CW32" t="s">
        <v>214</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214</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213</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232</v>
      </c>
      <c r="EE32" s="72">
        <v>10</v>
      </c>
      <c r="EF32" s="72">
        <v>90</v>
      </c>
      <c r="EG32" s="72">
        <v>100</v>
      </c>
      <c r="EH32" s="72">
        <f ca="1">INDIRECT(ADDRESS(11+(MATCH(RIGHT(Table36[[#This Row],[spawner_sku]],LEN(Table36[[#This Row],[spawner_sku]])-FIND("/",Table36[[#This Row],[spawner_sku]])),Table1[Entity Prefab],0)),10,1,1,"Entities"))</f>
        <v>25</v>
      </c>
      <c r="EI32" s="72">
        <f ca="1">ROUND((Table36[[#This Row],[XP]]*Table36[[#This Row],[entity_spawned (AVG)]])*(Table36[[#This Row],[activating_chance]]/100),0)</f>
        <v>250</v>
      </c>
      <c r="EJ32" s="72" t="str">
        <f ca="1">INDIRECT(ADDRESS(11+(MATCH(RIGHT(Table36[[#This Row],[spawner_sku]],LEN(Table36[[#This Row],[spawner_sku]])-FIND("/",Table36[[#This Row],[spawner_sku]])),Table28[Entity Prefab],0)),25,1,1,"Entities"))</f>
        <v>no</v>
      </c>
      <c r="EK32" s="72">
        <v>10</v>
      </c>
      <c r="EL32" s="72">
        <v>10</v>
      </c>
      <c r="EM32" s="72" t="b">
        <v>1</v>
      </c>
      <c r="EO32" t="s">
        <v>213</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214</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495</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492</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577</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215</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214</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377</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215</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215</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214</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215</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230</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215</v>
      </c>
      <c r="CM33">
        <v>1.5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5" t="str">
        <f ca="1">INDIRECT(ADDRESS(11+(MATCH(RIGHT(Table11[[#This Row],[spawner_sku]],LEN(Table11[[#This Row],[spawner_sku]])-FIND("/",Table11[[#This Row],[spawner_sku]])),Table28[Entity Prefab],0)),25,1,1,"Entities"))</f>
        <v>no</v>
      </c>
      <c r="CS33" s="72">
        <v>1</v>
      </c>
      <c r="CT33" s="72">
        <v>2</v>
      </c>
      <c r="CU33" s="72" t="b">
        <v>0</v>
      </c>
      <c r="CW33" t="s">
        <v>214</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214</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213</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577</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213</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214</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233</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492</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3826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215</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215</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377</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215</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215</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214</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215</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230</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215</v>
      </c>
      <c r="CM34">
        <v>1.5</v>
      </c>
      <c r="CN34">
        <v>180</v>
      </c>
      <c r="CO34">
        <v>30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5" t="str">
        <f ca="1">INDIRECT(ADDRESS(11+(MATCH(RIGHT(Table11[[#This Row],[spawner_sku]],LEN(Table11[[#This Row],[spawner_sku]])-FIND("/",Table11[[#This Row],[spawner_sku]])),Table28[Entity Prefab],0)),25,1,1,"Entities"))</f>
        <v>no</v>
      </c>
      <c r="CS34" s="72">
        <v>1</v>
      </c>
      <c r="CT34" s="72">
        <v>2</v>
      </c>
      <c r="CU34" s="72" t="b">
        <v>0</v>
      </c>
      <c r="CW34" t="s">
        <v>214</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214</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213</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577</v>
      </c>
      <c r="EE34" s="72">
        <v>1</v>
      </c>
      <c r="EF34" s="72">
        <v>120</v>
      </c>
      <c r="EG34" s="72">
        <v>100</v>
      </c>
      <c r="EH34" s="72">
        <f ca="1">INDIRECT(ADDRESS(11+(MATCH(RIGHT(Table36[[#This Row],[spawner_sku]],LEN(Table36[[#This Row],[spawner_sku]])-FIND("/",Table36[[#This Row],[spawner_sku]])),Table1[Entity Prefab],0)),10,1,1,"Entities"))</f>
        <v>50</v>
      </c>
      <c r="EI34" s="72">
        <f ca="1">ROUND((Table36[[#This Row],[XP]]*Table36[[#This Row],[entity_spawned (AVG)]])*(Table36[[#This Row],[activating_chance]]/100),0)</f>
        <v>50</v>
      </c>
      <c r="EJ34" s="72" t="str">
        <f ca="1">INDIRECT(ADDRESS(11+(MATCH(RIGHT(Table36[[#This Row],[spawner_sku]],LEN(Table36[[#This Row],[spawner_sku]])-FIND("/",Table36[[#This Row],[spawner_sku]])),Table28[Entity Prefab],0)),25,1,1,"Entities"))</f>
        <v>no</v>
      </c>
      <c r="EK34" s="72">
        <v>1</v>
      </c>
      <c r="EL34" s="72">
        <v>1</v>
      </c>
      <c r="EM34" s="72" t="b">
        <v>0</v>
      </c>
      <c r="EO34" t="s">
        <v>214</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214</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233</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492</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3826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215</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215</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219</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215</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215</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214</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215</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230</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215</v>
      </c>
      <c r="CM35">
        <v>1.5</v>
      </c>
      <c r="CN35">
        <v>180</v>
      </c>
      <c r="CO35">
        <v>30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5" t="str">
        <f ca="1">INDIRECT(ADDRESS(11+(MATCH(RIGHT(Table11[[#This Row],[spawner_sku]],LEN(Table11[[#This Row],[spawner_sku]])-FIND("/",Table11[[#This Row],[spawner_sku]])),Table28[Entity Prefab],0)),25,1,1,"Entities"))</f>
        <v>no</v>
      </c>
      <c r="CS35" s="72">
        <v>1</v>
      </c>
      <c r="CT35" s="72">
        <v>2</v>
      </c>
      <c r="CU35" s="72" t="b">
        <v>0</v>
      </c>
      <c r="CW35" t="s">
        <v>214</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214</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213</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577</v>
      </c>
      <c r="EE35" s="72">
        <v>1</v>
      </c>
      <c r="EF35" s="72">
        <v>120</v>
      </c>
      <c r="EG35" s="72">
        <v>100</v>
      </c>
      <c r="EH35" s="72">
        <f ca="1">INDIRECT(ADDRESS(11+(MATCH(RIGHT(Table36[[#This Row],[spawner_sku]],LEN(Table36[[#This Row],[spawner_sku]])-FIND("/",Table36[[#This Row],[spawner_sku]])),Table1[Entity Prefab],0)),10,1,1,"Entities"))</f>
        <v>50</v>
      </c>
      <c r="EI35" s="72">
        <f ca="1">ROUND((Table36[[#This Row],[XP]]*Table36[[#This Row],[entity_spawned (AVG)]])*(Table36[[#This Row],[activating_chance]]/100),0)</f>
        <v>50</v>
      </c>
      <c r="EJ35" s="72" t="str">
        <f ca="1">INDIRECT(ADDRESS(11+(MATCH(RIGHT(Table36[[#This Row],[spawner_sku]],LEN(Table36[[#This Row],[spawner_sku]])-FIND("/",Table36[[#This Row],[spawner_sku]])),Table28[Entity Prefab],0)),25,1,1,"Entities"))</f>
        <v>no</v>
      </c>
      <c r="EK35" s="72">
        <v>1</v>
      </c>
      <c r="EL35" s="72">
        <v>1</v>
      </c>
      <c r="EM35" s="72" t="b">
        <v>0</v>
      </c>
      <c r="EO35" t="s">
        <v>214</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214</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233</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492</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3827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215</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215</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219</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215</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215</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214</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215</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230</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215</v>
      </c>
      <c r="CM36">
        <v>9</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5" t="str">
        <f ca="1">INDIRECT(ADDRESS(11+(MATCH(RIGHT(Table11[[#This Row],[spawner_sku]],LEN(Table11[[#This Row],[spawner_sku]])-FIND("/",Table11[[#This Row],[spawner_sku]])),Table28[Entity Prefab],0)),25,1,1,"Entities"))</f>
        <v>no</v>
      </c>
      <c r="CS36" s="72">
        <v>8</v>
      </c>
      <c r="CT36" s="72">
        <v>10</v>
      </c>
      <c r="CU36" s="72" t="b">
        <v>1</v>
      </c>
      <c r="CW36" t="s">
        <v>214</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214</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213</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577</v>
      </c>
      <c r="EE36" s="72">
        <v>1</v>
      </c>
      <c r="EF36" s="72">
        <v>120</v>
      </c>
      <c r="EG36" s="72">
        <v>100</v>
      </c>
      <c r="EH36" s="72">
        <f ca="1">INDIRECT(ADDRESS(11+(MATCH(RIGHT(Table36[[#This Row],[spawner_sku]],LEN(Table36[[#This Row],[spawner_sku]])-FIND("/",Table36[[#This Row],[spawner_sku]])),Table1[Entity Prefab],0)),10,1,1,"Entities"))</f>
        <v>50</v>
      </c>
      <c r="EI36" s="72">
        <f ca="1">ROUND((Table36[[#This Row],[XP]]*Table36[[#This Row],[entity_spawned (AVG)]])*(Table36[[#This Row],[activating_chance]]/100),0)</f>
        <v>50</v>
      </c>
      <c r="EJ36" s="72" t="str">
        <f ca="1">INDIRECT(ADDRESS(11+(MATCH(RIGHT(Table36[[#This Row],[spawner_sku]],LEN(Table36[[#This Row],[spawner_sku]])-FIND("/",Table36[[#This Row],[spawner_sku]])),Table28[Entity Prefab],0)),25,1,1,"Entities"))</f>
        <v>no</v>
      </c>
      <c r="EK36" s="72">
        <v>1</v>
      </c>
      <c r="EL36" s="72">
        <v>1</v>
      </c>
      <c r="EM36" s="72" t="b">
        <v>0</v>
      </c>
      <c r="EO36" t="s">
        <v>214</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214</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233</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492</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3827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215</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215</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321</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215</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215</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214</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215</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230</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215</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215</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214</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213</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577</v>
      </c>
      <c r="EE37" s="72">
        <v>1</v>
      </c>
      <c r="EF37" s="72">
        <v>120</v>
      </c>
      <c r="EG37" s="72">
        <v>100</v>
      </c>
      <c r="EH37" s="72">
        <f ca="1">INDIRECT(ADDRESS(11+(MATCH(RIGHT(Table36[[#This Row],[spawner_sku]],LEN(Table36[[#This Row],[spawner_sku]])-FIND("/",Table36[[#This Row],[spawner_sku]])),Table1[Entity Prefab],0)),10,1,1,"Entities"))</f>
        <v>50</v>
      </c>
      <c r="EI37" s="72">
        <f ca="1">ROUND((Table36[[#This Row],[XP]]*Table36[[#This Row],[entity_spawned (AVG)]])*(Table36[[#This Row],[activating_chance]]/100),0)</f>
        <v>50</v>
      </c>
      <c r="EJ37" s="72" t="str">
        <f ca="1">INDIRECT(ADDRESS(11+(MATCH(RIGHT(Table36[[#This Row],[spawner_sku]],LEN(Table36[[#This Row],[spawner_sku]])-FIND("/",Table36[[#This Row],[spawner_sku]])),Table28[Entity Prefab],0)),25,1,1,"Entities"))</f>
        <v>no</v>
      </c>
      <c r="EK37" s="72">
        <v>1</v>
      </c>
      <c r="EL37" s="72">
        <v>1</v>
      </c>
      <c r="EM37" s="72" t="b">
        <v>0</v>
      </c>
      <c r="EO37" t="s">
        <v>214</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214</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5017</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495</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3827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215</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215</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321</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215</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215</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214</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215</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230</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215</v>
      </c>
      <c r="CM38">
        <v>1.5</v>
      </c>
      <c r="CN38">
        <v>180</v>
      </c>
      <c r="CO38">
        <v>30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5" t="str">
        <f ca="1">INDIRECT(ADDRESS(11+(MATCH(RIGHT(Table11[[#This Row],[spawner_sku]],LEN(Table11[[#This Row],[spawner_sku]])-FIND("/",Table11[[#This Row],[spawner_sku]])),Table28[Entity Prefab],0)),25,1,1,"Entities"))</f>
        <v>no</v>
      </c>
      <c r="CS38" s="72">
        <v>1</v>
      </c>
      <c r="CT38" s="72">
        <v>2</v>
      </c>
      <c r="CU38" s="72" t="b">
        <v>0</v>
      </c>
      <c r="CW38" t="s">
        <v>215</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214</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213</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577</v>
      </c>
      <c r="EE38" s="72">
        <v>1</v>
      </c>
      <c r="EF38" s="72">
        <v>120</v>
      </c>
      <c r="EG38" s="72">
        <v>100</v>
      </c>
      <c r="EH38" s="72">
        <f ca="1">INDIRECT(ADDRESS(11+(MATCH(RIGHT(Table36[[#This Row],[spawner_sku]],LEN(Table36[[#This Row],[spawner_sku]])-FIND("/",Table36[[#This Row],[spawner_sku]])),Table1[Entity Prefab],0)),10,1,1,"Entities"))</f>
        <v>50</v>
      </c>
      <c r="EI38" s="72">
        <f ca="1">ROUND((Table36[[#This Row],[XP]]*Table36[[#This Row],[entity_spawned (AVG)]])*(Table36[[#This Row],[activating_chance]]/100),0)</f>
        <v>50</v>
      </c>
      <c r="EJ38" s="72" t="str">
        <f ca="1">INDIRECT(ADDRESS(11+(MATCH(RIGHT(Table36[[#This Row],[spawner_sku]],LEN(Table36[[#This Row],[spawner_sku]])-FIND("/",Table36[[#This Row],[spawner_sku]])),Table28[Entity Prefab],0)),25,1,1,"Entities"))</f>
        <v>no</v>
      </c>
      <c r="EK38" s="72">
        <v>1</v>
      </c>
      <c r="EL38" s="72">
        <v>1</v>
      </c>
      <c r="EM38" s="72" t="b">
        <v>0</v>
      </c>
      <c r="EO38" t="s">
        <v>214</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214</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5017</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495</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3827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215</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215</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384</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215</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215</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214</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215</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230</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215</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215</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214</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577</v>
      </c>
      <c r="EE39" s="72">
        <v>1</v>
      </c>
      <c r="EF39" s="72">
        <v>120</v>
      </c>
      <c r="EG39" s="72">
        <v>100</v>
      </c>
      <c r="EH39" s="72">
        <f ca="1">INDIRECT(ADDRESS(11+(MATCH(RIGHT(Table36[[#This Row],[spawner_sku]],LEN(Table36[[#This Row],[spawner_sku]])-FIND("/",Table36[[#This Row],[spawner_sku]])),Table1[Entity Prefab],0)),10,1,1,"Entities"))</f>
        <v>50</v>
      </c>
      <c r="EI39" s="72">
        <f ca="1">ROUND((Table36[[#This Row],[XP]]*Table36[[#This Row],[entity_spawned (AVG)]])*(Table36[[#This Row],[activating_chance]]/100),0)</f>
        <v>50</v>
      </c>
      <c r="EJ39" s="72" t="str">
        <f ca="1">INDIRECT(ADDRESS(11+(MATCH(RIGHT(Table36[[#This Row],[spawner_sku]],LEN(Table36[[#This Row],[spawner_sku]])-FIND("/",Table36[[#This Row],[spawner_sku]])),Table28[Entity Prefab],0)),25,1,1,"Entities"))</f>
        <v>no</v>
      </c>
      <c r="EK39" s="72">
        <v>1</v>
      </c>
      <c r="EL39" s="72">
        <v>1</v>
      </c>
      <c r="EM39" s="72" t="b">
        <v>0</v>
      </c>
      <c r="EO39" t="s">
        <v>214</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214</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5017</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495</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3827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215</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215</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447</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215</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215</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214</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215</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230</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215</v>
      </c>
      <c r="CM40">
        <v>5.5</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5" t="str">
        <f ca="1">INDIRECT(ADDRESS(11+(MATCH(RIGHT(Table11[[#This Row],[spawner_sku]],LEN(Table11[[#This Row],[spawner_sku]])-FIND("/",Table11[[#This Row],[spawner_sku]])),Table28[Entity Prefab],0)),25,1,1,"Entities"))</f>
        <v>no</v>
      </c>
      <c r="CS40" s="72">
        <v>5</v>
      </c>
      <c r="CT40" s="72">
        <v>6</v>
      </c>
      <c r="CU40" s="72" t="b">
        <v>1</v>
      </c>
      <c r="CW40" t="s">
        <v>215</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214</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577</v>
      </c>
      <c r="EE40" s="72">
        <v>1</v>
      </c>
      <c r="EF40" s="72">
        <v>120</v>
      </c>
      <c r="EG40" s="72">
        <v>100</v>
      </c>
      <c r="EH40" s="72">
        <f ca="1">INDIRECT(ADDRESS(11+(MATCH(RIGHT(Table36[[#This Row],[spawner_sku]],LEN(Table36[[#This Row],[spawner_sku]])-FIND("/",Table36[[#This Row],[spawner_sku]])),Table1[Entity Prefab],0)),10,1,1,"Entities"))</f>
        <v>50</v>
      </c>
      <c r="EI40" s="72">
        <f ca="1">ROUND((Table36[[#This Row],[XP]]*Table36[[#This Row],[entity_spawned (AVG)]])*(Table36[[#This Row],[activating_chance]]/100),0)</f>
        <v>50</v>
      </c>
      <c r="EJ40" s="72" t="str">
        <f ca="1">INDIRECT(ADDRESS(11+(MATCH(RIGHT(Table36[[#This Row],[spawner_sku]],LEN(Table36[[#This Row],[spawner_sku]])-FIND("/",Table36[[#This Row],[spawner_sku]])),Table28[Entity Prefab],0)),25,1,1,"Entities"))</f>
        <v>no</v>
      </c>
      <c r="EK40" s="72">
        <v>1</v>
      </c>
      <c r="EL40" s="72">
        <v>1</v>
      </c>
      <c r="EM40" s="72" t="b">
        <v>0</v>
      </c>
      <c r="EO40" t="s">
        <v>214</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214</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466</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495</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5017</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215</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215</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448</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215</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215</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214</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215</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232</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215</v>
      </c>
      <c r="CM41">
        <v>2.5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5" t="str">
        <f ca="1">INDIRECT(ADDRESS(11+(MATCH(RIGHT(Table11[[#This Row],[spawner_sku]],LEN(Table11[[#This Row],[spawner_sku]])-FIND("/",Table11[[#This Row],[spawner_sku]])),Table28[Entity Prefab],0)),25,1,1,"Entities"))</f>
        <v>no</v>
      </c>
      <c r="CS41" s="72">
        <v>1</v>
      </c>
      <c r="CT41" s="72">
        <v>4</v>
      </c>
      <c r="CU41" s="72" t="b">
        <v>0</v>
      </c>
      <c r="CW41" t="s">
        <v>215</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214</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577</v>
      </c>
      <c r="EE41" s="72">
        <v>1</v>
      </c>
      <c r="EF41" s="72">
        <v>120</v>
      </c>
      <c r="EG41" s="72">
        <v>100</v>
      </c>
      <c r="EH41" s="72">
        <f ca="1">INDIRECT(ADDRESS(11+(MATCH(RIGHT(Table36[[#This Row],[spawner_sku]],LEN(Table36[[#This Row],[spawner_sku]])-FIND("/",Table36[[#This Row],[spawner_sku]])),Table1[Entity Prefab],0)),10,1,1,"Entities"))</f>
        <v>50</v>
      </c>
      <c r="EI41" s="72">
        <f ca="1">ROUND((Table36[[#This Row],[XP]]*Table36[[#This Row],[entity_spawned (AVG)]])*(Table36[[#This Row],[activating_chance]]/100),0)</f>
        <v>50</v>
      </c>
      <c r="EJ41" s="72" t="str">
        <f ca="1">INDIRECT(ADDRESS(11+(MATCH(RIGHT(Table36[[#This Row],[spawner_sku]],LEN(Table36[[#This Row],[spawner_sku]])-FIND("/",Table36[[#This Row],[spawner_sku]])),Table28[Entity Prefab],0)),25,1,1,"Entities"))</f>
        <v>no</v>
      </c>
      <c r="EK41" s="72">
        <v>1</v>
      </c>
      <c r="EL41" s="72">
        <v>1</v>
      </c>
      <c r="EM41" s="72" t="b">
        <v>0</v>
      </c>
      <c r="EO41" t="s">
        <v>214</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214</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466</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495</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3828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215</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215</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372</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215</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215</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214</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215</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232</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215</v>
      </c>
      <c r="CM42">
        <v>6.5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5" t="str">
        <f ca="1">INDIRECT(ADDRESS(11+(MATCH(RIGHT(Table11[[#This Row],[spawner_sku]],LEN(Table11[[#This Row],[spawner_sku]])-FIND("/",Table11[[#This Row],[spawner_sku]])),Table28[Entity Prefab],0)),25,1,1,"Entities"))</f>
        <v>no</v>
      </c>
      <c r="CS42" s="72">
        <v>5</v>
      </c>
      <c r="CT42" s="72">
        <v>8</v>
      </c>
      <c r="CU42" s="72" t="b">
        <v>1</v>
      </c>
      <c r="CW42" t="s">
        <v>215</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214</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577</v>
      </c>
      <c r="EE42" s="72">
        <v>1</v>
      </c>
      <c r="EF42" s="72">
        <v>120</v>
      </c>
      <c r="EG42" s="72">
        <v>100</v>
      </c>
      <c r="EH42" s="72">
        <f ca="1">INDIRECT(ADDRESS(11+(MATCH(RIGHT(Table36[[#This Row],[spawner_sku]],LEN(Table36[[#This Row],[spawner_sku]])-FIND("/",Table36[[#This Row],[spawner_sku]])),Table1[Entity Prefab],0)),10,1,1,"Entities"))</f>
        <v>50</v>
      </c>
      <c r="EI42" s="72">
        <f ca="1">ROUND((Table36[[#This Row],[XP]]*Table36[[#This Row],[entity_spawned (AVG)]])*(Table36[[#This Row],[activating_chance]]/100),0)</f>
        <v>50</v>
      </c>
      <c r="EJ42" s="72" t="str">
        <f ca="1">INDIRECT(ADDRESS(11+(MATCH(RIGHT(Table36[[#This Row],[spawner_sku]],LEN(Table36[[#This Row],[spawner_sku]])-FIND("/",Table36[[#This Row],[spawner_sku]])),Table28[Entity Prefab],0)),25,1,1,"Entities"))</f>
        <v>no</v>
      </c>
      <c r="EK42" s="72">
        <v>1</v>
      </c>
      <c r="EL42" s="72">
        <v>1</v>
      </c>
      <c r="EM42" s="72" t="b">
        <v>0</v>
      </c>
      <c r="EO42" t="s">
        <v>214</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214</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466</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495</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215</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215</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372</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215</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215</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214</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215</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232</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215</v>
      </c>
      <c r="CM43">
        <v>2</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5" t="str">
        <f ca="1">INDIRECT(ADDRESS(11+(MATCH(RIGHT(Table11[[#This Row],[spawner_sku]],LEN(Table11[[#This Row],[spawner_sku]])-FIND("/",Table11[[#This Row],[spawner_sku]])),Table28[Entity Prefab],0)),25,1,1,"Entities"))</f>
        <v>no</v>
      </c>
      <c r="CS43" s="72">
        <v>2</v>
      </c>
      <c r="CT43" s="72">
        <v>2</v>
      </c>
      <c r="CU43" s="72" t="b">
        <v>0</v>
      </c>
      <c r="CW43" t="s">
        <v>215</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214</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577</v>
      </c>
      <c r="EE43" s="72">
        <v>1</v>
      </c>
      <c r="EF43" s="72">
        <v>120</v>
      </c>
      <c r="EG43" s="72">
        <v>100</v>
      </c>
      <c r="EH43" s="72">
        <f ca="1">INDIRECT(ADDRESS(11+(MATCH(RIGHT(Table36[[#This Row],[spawner_sku]],LEN(Table36[[#This Row],[spawner_sku]])-FIND("/",Table36[[#This Row],[spawner_sku]])),Table1[Entity Prefab],0)),10,1,1,"Entities"))</f>
        <v>50</v>
      </c>
      <c r="EI43" s="72">
        <f ca="1">ROUND((Table36[[#This Row],[XP]]*Table36[[#This Row],[entity_spawned (AVG)]])*(Table36[[#This Row],[activating_chance]]/100),0)</f>
        <v>50</v>
      </c>
      <c r="EJ43" s="72" t="str">
        <f ca="1">INDIRECT(ADDRESS(11+(MATCH(RIGHT(Table36[[#This Row],[spawner_sku]],LEN(Table36[[#This Row],[spawner_sku]])-FIND("/",Table36[[#This Row],[spawner_sku]])),Table28[Entity Prefab],0)),25,1,1,"Entities"))</f>
        <v>no</v>
      </c>
      <c r="EK43" s="72">
        <v>1</v>
      </c>
      <c r="EL43" s="72">
        <v>1</v>
      </c>
      <c r="EM43" s="72" t="b">
        <v>0</v>
      </c>
      <c r="EO43" t="s">
        <v>214</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214</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466</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495</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215</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215</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372</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215</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215</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214</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215</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232</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215</v>
      </c>
      <c r="CM44">
        <v>8</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5" t="str">
        <f ca="1">INDIRECT(ADDRESS(11+(MATCH(RIGHT(Table11[[#This Row],[spawner_sku]],LEN(Table11[[#This Row],[spawner_sku]])-FIND("/",Table11[[#This Row],[spawner_sku]])),Table28[Entity Prefab],0)),25,1,1,"Entities"))</f>
        <v>no</v>
      </c>
      <c r="CS44" s="72">
        <v>6</v>
      </c>
      <c r="CT44" s="72">
        <v>10</v>
      </c>
      <c r="CU44" s="72" t="b">
        <v>1</v>
      </c>
      <c r="CW44" t="s">
        <v>215</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214</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577</v>
      </c>
      <c r="EE44" s="72">
        <v>1</v>
      </c>
      <c r="EF44" s="72">
        <v>120</v>
      </c>
      <c r="EG44" s="72">
        <v>100</v>
      </c>
      <c r="EH44" s="72">
        <f ca="1">INDIRECT(ADDRESS(11+(MATCH(RIGHT(Table36[[#This Row],[spawner_sku]],LEN(Table36[[#This Row],[spawner_sku]])-FIND("/",Table36[[#This Row],[spawner_sku]])),Table1[Entity Prefab],0)),10,1,1,"Entities"))</f>
        <v>50</v>
      </c>
      <c r="EI44" s="72">
        <f ca="1">ROUND((Table36[[#This Row],[XP]]*Table36[[#This Row],[entity_spawned (AVG)]])*(Table36[[#This Row],[activating_chance]]/100),0)</f>
        <v>50</v>
      </c>
      <c r="EJ44" s="72" t="str">
        <f ca="1">INDIRECT(ADDRESS(11+(MATCH(RIGHT(Table36[[#This Row],[spawner_sku]],LEN(Table36[[#This Row],[spawner_sku]])-FIND("/",Table36[[#This Row],[spawner_sku]])),Table28[Entity Prefab],0)),25,1,1,"Entities"))</f>
        <v>no</v>
      </c>
      <c r="EK44" s="72">
        <v>1</v>
      </c>
      <c r="EL44" s="72">
        <v>1</v>
      </c>
      <c r="EM44" s="72" t="b">
        <v>0</v>
      </c>
      <c r="EO44" t="s">
        <v>214</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214</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2706</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495</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215</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215</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368</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215</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377</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214</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215</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232</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215</v>
      </c>
      <c r="CM45">
        <v>1.5</v>
      </c>
      <c r="CN45">
        <v>170</v>
      </c>
      <c r="CO45">
        <v>30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5" t="str">
        <f ca="1">INDIRECT(ADDRESS(11+(MATCH(RIGHT(Table11[[#This Row],[spawner_sku]],LEN(Table11[[#This Row],[spawner_sku]])-FIND("/",Table11[[#This Row],[spawner_sku]])),Table28[Entity Prefab],0)),25,1,1,"Entities"))</f>
        <v>no</v>
      </c>
      <c r="CS45" s="72">
        <v>1</v>
      </c>
      <c r="CT45" s="72">
        <v>2</v>
      </c>
      <c r="CU45" s="72" t="b">
        <v>0</v>
      </c>
      <c r="CW45" t="s">
        <v>215</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214</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577</v>
      </c>
      <c r="EE45" s="72">
        <v>1</v>
      </c>
      <c r="EF45" s="72">
        <v>120</v>
      </c>
      <c r="EG45" s="72">
        <v>100</v>
      </c>
      <c r="EH45" s="72">
        <f ca="1">INDIRECT(ADDRESS(11+(MATCH(RIGHT(Table36[[#This Row],[spawner_sku]],LEN(Table36[[#This Row],[spawner_sku]])-FIND("/",Table36[[#This Row],[spawner_sku]])),Table1[Entity Prefab],0)),10,1,1,"Entities"))</f>
        <v>50</v>
      </c>
      <c r="EI45" s="72">
        <f ca="1">ROUND((Table36[[#This Row],[XP]]*Table36[[#This Row],[entity_spawned (AVG)]])*(Table36[[#This Row],[activating_chance]]/100),0)</f>
        <v>50</v>
      </c>
      <c r="EJ45" s="72" t="str">
        <f ca="1">INDIRECT(ADDRESS(11+(MATCH(RIGHT(Table36[[#This Row],[spawner_sku]],LEN(Table36[[#This Row],[spawner_sku]])-FIND("/",Table36[[#This Row],[spawner_sku]])),Table28[Entity Prefab],0)),25,1,1,"Entities"))</f>
        <v>no</v>
      </c>
      <c r="EK45" s="72">
        <v>1</v>
      </c>
      <c r="EL45" s="72">
        <v>1</v>
      </c>
      <c r="EM45" s="72" t="b">
        <v>0</v>
      </c>
      <c r="EO45" t="s">
        <v>214</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214</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2706</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495</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215</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215</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368</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215</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377</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214</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215</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232</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215</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215</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427</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577</v>
      </c>
      <c r="EE46" s="72">
        <v>1</v>
      </c>
      <c r="EF46" s="72">
        <v>120</v>
      </c>
      <c r="EG46" s="72">
        <v>100</v>
      </c>
      <c r="EH46" s="72">
        <f ca="1">INDIRECT(ADDRESS(11+(MATCH(RIGHT(Table36[[#This Row],[spawner_sku]],LEN(Table36[[#This Row],[spawner_sku]])-FIND("/",Table36[[#This Row],[spawner_sku]])),Table1[Entity Prefab],0)),10,1,1,"Entities"))</f>
        <v>50</v>
      </c>
      <c r="EI46" s="72">
        <f ca="1">ROUND((Table36[[#This Row],[XP]]*Table36[[#This Row],[entity_spawned (AVG)]])*(Table36[[#This Row],[activating_chance]]/100),0)</f>
        <v>50</v>
      </c>
      <c r="EJ46" s="72" t="str">
        <f ca="1">INDIRECT(ADDRESS(11+(MATCH(RIGHT(Table36[[#This Row],[spawner_sku]],LEN(Table36[[#This Row],[spawner_sku]])-FIND("/",Table36[[#This Row],[spawner_sku]])),Table28[Entity Prefab],0)),25,1,1,"Entities"))</f>
        <v>no</v>
      </c>
      <c r="EK46" s="72">
        <v>1</v>
      </c>
      <c r="EL46" s="72">
        <v>1</v>
      </c>
      <c r="EM46" s="72" t="b">
        <v>0</v>
      </c>
      <c r="EO46" t="s">
        <v>214</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214</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2706</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495</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215</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215</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368</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215</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377</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214</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215</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232</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215</v>
      </c>
      <c r="CM47">
        <v>7</v>
      </c>
      <c r="CN47">
        <v>180</v>
      </c>
      <c r="CO47">
        <v>30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5" t="str">
        <f ca="1">INDIRECT(ADDRESS(11+(MATCH(RIGHT(Table11[[#This Row],[spawner_sku]],LEN(Table11[[#This Row],[spawner_sku]])-FIND("/",Table11[[#This Row],[spawner_sku]])),Table28[Entity Prefab],0)),25,1,1,"Entities"))</f>
        <v>no</v>
      </c>
      <c r="CS47" s="72">
        <v>6</v>
      </c>
      <c r="CT47" s="72">
        <v>8</v>
      </c>
      <c r="CU47" s="72" t="b">
        <v>1</v>
      </c>
      <c r="CW47" t="s">
        <v>215</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427</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577</v>
      </c>
      <c r="EE47" s="72">
        <v>1</v>
      </c>
      <c r="EF47" s="72">
        <v>120</v>
      </c>
      <c r="EG47" s="72">
        <v>100</v>
      </c>
      <c r="EH47" s="72">
        <f ca="1">INDIRECT(ADDRESS(11+(MATCH(RIGHT(Table36[[#This Row],[spawner_sku]],LEN(Table36[[#This Row],[spawner_sku]])-FIND("/",Table36[[#This Row],[spawner_sku]])),Table1[Entity Prefab],0)),10,1,1,"Entities"))</f>
        <v>50</v>
      </c>
      <c r="EI47" s="72">
        <f ca="1">ROUND((Table36[[#This Row],[XP]]*Table36[[#This Row],[entity_spawned (AVG)]])*(Table36[[#This Row],[activating_chance]]/100),0)</f>
        <v>50</v>
      </c>
      <c r="EJ47" s="72" t="str">
        <f ca="1">INDIRECT(ADDRESS(11+(MATCH(RIGHT(Table36[[#This Row],[spawner_sku]],LEN(Table36[[#This Row],[spawner_sku]])-FIND("/",Table36[[#This Row],[spawner_sku]])),Table28[Entity Prefab],0)),25,1,1,"Entities"))</f>
        <v>no</v>
      </c>
      <c r="EK47" s="72">
        <v>1</v>
      </c>
      <c r="EL47" s="72">
        <v>1</v>
      </c>
      <c r="EM47" s="72" t="b">
        <v>0</v>
      </c>
      <c r="EO47" t="s">
        <v>214</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214</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2706</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449</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215</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215</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368</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215</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377</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214</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215</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232</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215</v>
      </c>
      <c r="CM48">
        <v>3</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5" t="str">
        <f ca="1">INDIRECT(ADDRESS(11+(MATCH(RIGHT(Table11[[#This Row],[spawner_sku]],LEN(Table11[[#This Row],[spawner_sku]])-FIND("/",Table11[[#This Row],[spawner_sku]])),Table28[Entity Prefab],0)),25,1,1,"Entities"))</f>
        <v>no</v>
      </c>
      <c r="CS48" s="72">
        <v>2</v>
      </c>
      <c r="CT48" s="72">
        <v>4</v>
      </c>
      <c r="CU48" s="72" t="b">
        <v>0</v>
      </c>
      <c r="CW48" t="s">
        <v>215</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377</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577</v>
      </c>
      <c r="EE48" s="72">
        <v>1</v>
      </c>
      <c r="EF48" s="72">
        <v>120</v>
      </c>
      <c r="EG48" s="72">
        <v>100</v>
      </c>
      <c r="EH48" s="72">
        <f ca="1">INDIRECT(ADDRESS(11+(MATCH(RIGHT(Table36[[#This Row],[spawner_sku]],LEN(Table36[[#This Row],[spawner_sku]])-FIND("/",Table36[[#This Row],[spawner_sku]])),Table1[Entity Prefab],0)),10,1,1,"Entities"))</f>
        <v>50</v>
      </c>
      <c r="EI48" s="72">
        <f ca="1">ROUND((Table36[[#This Row],[XP]]*Table36[[#This Row],[entity_spawned (AVG)]])*(Table36[[#This Row],[activating_chance]]/100),0)</f>
        <v>50</v>
      </c>
      <c r="EJ48" s="72" t="str">
        <f ca="1">INDIRECT(ADDRESS(11+(MATCH(RIGHT(Table36[[#This Row],[spawner_sku]],LEN(Table36[[#This Row],[spawner_sku]])-FIND("/",Table36[[#This Row],[spawner_sku]])),Table28[Entity Prefab],0)),25,1,1,"Entities"))</f>
        <v>no</v>
      </c>
      <c r="EK48" s="72">
        <v>1</v>
      </c>
      <c r="EL48" s="72">
        <v>1</v>
      </c>
      <c r="EM48" s="72" t="b">
        <v>0</v>
      </c>
      <c r="EO48" t="s">
        <v>214</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214</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2708</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449</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215</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215</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368</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215</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377</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214</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215</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232</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215</v>
      </c>
      <c r="CM49">
        <v>3.5</v>
      </c>
      <c r="CN49">
        <v>180</v>
      </c>
      <c r="CO49">
        <v>80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5" t="str">
        <f ca="1">INDIRECT(ADDRESS(11+(MATCH(RIGHT(Table11[[#This Row],[spawner_sku]],LEN(Table11[[#This Row],[spawner_sku]])-FIND("/",Table11[[#This Row],[spawner_sku]])),Table28[Entity Prefab],0)),25,1,1,"Entities"))</f>
        <v>no</v>
      </c>
      <c r="CS49" s="72">
        <v>3</v>
      </c>
      <c r="CT49" s="72">
        <v>4</v>
      </c>
      <c r="CU49" s="72" t="b">
        <v>0</v>
      </c>
      <c r="CW49" t="s">
        <v>215</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377</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577</v>
      </c>
      <c r="EE49" s="72">
        <v>1</v>
      </c>
      <c r="EF49" s="72">
        <v>120</v>
      </c>
      <c r="EG49" s="72">
        <v>100</v>
      </c>
      <c r="EH49" s="72">
        <f ca="1">INDIRECT(ADDRESS(11+(MATCH(RIGHT(Table36[[#This Row],[spawner_sku]],LEN(Table36[[#This Row],[spawner_sku]])-FIND("/",Table36[[#This Row],[spawner_sku]])),Table1[Entity Prefab],0)),10,1,1,"Entities"))</f>
        <v>50</v>
      </c>
      <c r="EI49" s="72">
        <f ca="1">ROUND((Table36[[#This Row],[XP]]*Table36[[#This Row],[entity_spawned (AVG)]])*(Table36[[#This Row],[activating_chance]]/100),0)</f>
        <v>50</v>
      </c>
      <c r="EJ49" s="72" t="str">
        <f ca="1">INDIRECT(ADDRESS(11+(MATCH(RIGHT(Table36[[#This Row],[spawner_sku]],LEN(Table36[[#This Row],[spawner_sku]])-FIND("/",Table36[[#This Row],[spawner_sku]])),Table28[Entity Prefab],0)),25,1,1,"Entities"))</f>
        <v>no</v>
      </c>
      <c r="EK49" s="72">
        <v>1</v>
      </c>
      <c r="EL49" s="72">
        <v>1</v>
      </c>
      <c r="EM49" s="72" t="b">
        <v>0</v>
      </c>
      <c r="EO49" t="s">
        <v>214</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214</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2701</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450</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215</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215</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424</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215</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377</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214</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215</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232</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215</v>
      </c>
      <c r="CM50">
        <v>5</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5" t="str">
        <f ca="1">INDIRECT(ADDRESS(11+(MATCH(RIGHT(Table11[[#This Row],[spawner_sku]],LEN(Table11[[#This Row],[spawner_sku]])-FIND("/",Table11[[#This Row],[spawner_sku]])),Table28[Entity Prefab],0)),25,1,1,"Entities"))</f>
        <v>no</v>
      </c>
      <c r="CS50" s="72">
        <v>5</v>
      </c>
      <c r="CT50" s="72">
        <v>5</v>
      </c>
      <c r="CU50" s="72" t="b">
        <v>1</v>
      </c>
      <c r="CW50" t="s">
        <v>215</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377</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577</v>
      </c>
      <c r="EE50" s="72">
        <v>1</v>
      </c>
      <c r="EF50" s="72">
        <v>120</v>
      </c>
      <c r="EG50" s="72">
        <v>100</v>
      </c>
      <c r="EH50" s="72">
        <f ca="1">INDIRECT(ADDRESS(11+(MATCH(RIGHT(Table36[[#This Row],[spawner_sku]],LEN(Table36[[#This Row],[spawner_sku]])-FIND("/",Table36[[#This Row],[spawner_sku]])),Table1[Entity Prefab],0)),10,1,1,"Entities"))</f>
        <v>50</v>
      </c>
      <c r="EI50" s="72">
        <f ca="1">ROUND((Table36[[#This Row],[XP]]*Table36[[#This Row],[entity_spawned (AVG)]])*(Table36[[#This Row],[activating_chance]]/100),0)</f>
        <v>50</v>
      </c>
      <c r="EJ50" s="72" t="str">
        <f ca="1">INDIRECT(ADDRESS(11+(MATCH(RIGHT(Table36[[#This Row],[spawner_sku]],LEN(Table36[[#This Row],[spawner_sku]])-FIND("/",Table36[[#This Row],[spawner_sku]])),Table28[Entity Prefab],0)),25,1,1,"Entities"))</f>
        <v>no</v>
      </c>
      <c r="EK50" s="72">
        <v>1</v>
      </c>
      <c r="EL50" s="72">
        <v>1</v>
      </c>
      <c r="EM50" s="72" t="b">
        <v>0</v>
      </c>
      <c r="EO50" t="s">
        <v>214</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214</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2701</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450</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215</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215</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424</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215</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377</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214</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215</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232</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215</v>
      </c>
      <c r="CM51">
        <v>1.5</v>
      </c>
      <c r="CN51">
        <v>195</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5" t="str">
        <f ca="1">INDIRECT(ADDRESS(11+(MATCH(RIGHT(Table11[[#This Row],[spawner_sku]],LEN(Table11[[#This Row],[spawner_sku]])-FIND("/",Table11[[#This Row],[spawner_sku]])),Table28[Entity Prefab],0)),25,1,1,"Entities"))</f>
        <v>no</v>
      </c>
      <c r="CS51" s="72">
        <v>1</v>
      </c>
      <c r="CT51" s="72">
        <v>2</v>
      </c>
      <c r="CU51" s="72" t="b">
        <v>0</v>
      </c>
      <c r="CW51" t="s">
        <v>225</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377</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577</v>
      </c>
      <c r="EE51" s="72">
        <v>1</v>
      </c>
      <c r="EF51" s="72">
        <v>120</v>
      </c>
      <c r="EG51" s="72">
        <v>100</v>
      </c>
      <c r="EH51" s="72">
        <f ca="1">INDIRECT(ADDRESS(11+(MATCH(RIGHT(Table36[[#This Row],[spawner_sku]],LEN(Table36[[#This Row],[spawner_sku]])-FIND("/",Table36[[#This Row],[spawner_sku]])),Table1[Entity Prefab],0)),10,1,1,"Entities"))</f>
        <v>50</v>
      </c>
      <c r="EI51" s="72">
        <f ca="1">ROUND((Table36[[#This Row],[XP]]*Table36[[#This Row],[entity_spawned (AVG)]])*(Table36[[#This Row],[activating_chance]]/100),0)</f>
        <v>50</v>
      </c>
      <c r="EJ51" s="72" t="str">
        <f ca="1">INDIRECT(ADDRESS(11+(MATCH(RIGHT(Table36[[#This Row],[spawner_sku]],LEN(Table36[[#This Row],[spawner_sku]])-FIND("/",Table36[[#This Row],[spawner_sku]])),Table28[Entity Prefab],0)),25,1,1,"Entities"))</f>
        <v>no</v>
      </c>
      <c r="EK51" s="72">
        <v>1</v>
      </c>
      <c r="EL51" s="72">
        <v>1</v>
      </c>
      <c r="EM51" s="72" t="b">
        <v>0</v>
      </c>
      <c r="EO51" t="s">
        <v>214</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214</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2701</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450</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215</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216</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424</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215</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377</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214</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215</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577</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215</v>
      </c>
      <c r="CM52">
        <v>1.5</v>
      </c>
      <c r="CN52">
        <v>180</v>
      </c>
      <c r="CO52">
        <v>30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5" t="str">
        <f ca="1">INDIRECT(ADDRESS(11+(MATCH(RIGHT(Table11[[#This Row],[spawner_sku]],LEN(Table11[[#This Row],[spawner_sku]])-FIND("/",Table11[[#This Row],[spawner_sku]])),Table28[Entity Prefab],0)),25,1,1,"Entities"))</f>
        <v>no</v>
      </c>
      <c r="CS52" s="72">
        <v>1</v>
      </c>
      <c r="CT52" s="72">
        <v>2</v>
      </c>
      <c r="CU52" s="72" t="b">
        <v>0</v>
      </c>
      <c r="CW52" t="s">
        <v>225</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377</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214</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577</v>
      </c>
      <c r="EE52" s="72">
        <v>1</v>
      </c>
      <c r="EF52" s="72">
        <v>120</v>
      </c>
      <c r="EG52" s="72">
        <v>100</v>
      </c>
      <c r="EH52" s="72">
        <f ca="1">INDIRECT(ADDRESS(11+(MATCH(RIGHT(Table36[[#This Row],[spawner_sku]],LEN(Table36[[#This Row],[spawner_sku]])-FIND("/",Table36[[#This Row],[spawner_sku]])),Table1[Entity Prefab],0)),10,1,1,"Entities"))</f>
        <v>50</v>
      </c>
      <c r="EI52" s="72">
        <f ca="1">ROUND((Table36[[#This Row],[XP]]*Table36[[#This Row],[entity_spawned (AVG)]])*(Table36[[#This Row],[activating_chance]]/100),0)</f>
        <v>50</v>
      </c>
      <c r="EJ52" s="72" t="str">
        <f ca="1">INDIRECT(ADDRESS(11+(MATCH(RIGHT(Table36[[#This Row],[spawner_sku]],LEN(Table36[[#This Row],[spawner_sku]])-FIND("/",Table36[[#This Row],[spawner_sku]])),Table28[Entity Prefab],0)),25,1,1,"Entities"))</f>
        <v>no</v>
      </c>
      <c r="EK52" s="72">
        <v>1</v>
      </c>
      <c r="EL52" s="72">
        <v>1</v>
      </c>
      <c r="EM52" s="72" t="b">
        <v>0</v>
      </c>
      <c r="EO52" t="s">
        <v>214</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214</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2701</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451</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215</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216</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424</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215</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377</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377</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215</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577</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215</v>
      </c>
      <c r="CM53">
        <v>1.5</v>
      </c>
      <c r="CN53">
        <v>180</v>
      </c>
      <c r="CO53">
        <v>30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5" t="str">
        <f ca="1">INDIRECT(ADDRESS(11+(MATCH(RIGHT(Table11[[#This Row],[spawner_sku]],LEN(Table11[[#This Row],[spawner_sku]])-FIND("/",Table11[[#This Row],[spawner_sku]])),Table28[Entity Prefab],0)),25,1,1,"Entities"))</f>
        <v>no</v>
      </c>
      <c r="CS53" s="72">
        <v>1</v>
      </c>
      <c r="CT53" s="72">
        <v>2</v>
      </c>
      <c r="CU53" s="72" t="b">
        <v>0</v>
      </c>
      <c r="CW53" t="s">
        <v>225</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377</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214</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577</v>
      </c>
      <c r="EE53" s="72">
        <v>1</v>
      </c>
      <c r="EF53" s="72">
        <v>120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214</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214</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2701</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233</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215</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216</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233</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215</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377</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377</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215</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577</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215</v>
      </c>
      <c r="CM54">
        <v>1.5</v>
      </c>
      <c r="CN54">
        <v>180</v>
      </c>
      <c r="CO54">
        <v>30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5" t="str">
        <f ca="1">INDIRECT(ADDRESS(11+(MATCH(RIGHT(Table11[[#This Row],[spawner_sku]],LEN(Table11[[#This Row],[spawner_sku]])-FIND("/",Table11[[#This Row],[spawner_sku]])),Table28[Entity Prefab],0)),25,1,1,"Entities"))</f>
        <v>no</v>
      </c>
      <c r="CS54" s="72">
        <v>1</v>
      </c>
      <c r="CT54" s="72">
        <v>2</v>
      </c>
      <c r="CU54" s="72" t="b">
        <v>0</v>
      </c>
      <c r="CW54" t="s">
        <v>226</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377</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214</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577</v>
      </c>
      <c r="EE54" s="72">
        <v>1</v>
      </c>
      <c r="EF54" s="72">
        <v>120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214</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214</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2701</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233</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215</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216</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233</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215</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377</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377</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215</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577</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215</v>
      </c>
      <c r="CM55">
        <v>2.5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5" t="str">
        <f ca="1">INDIRECT(ADDRESS(11+(MATCH(RIGHT(Table11[[#This Row],[spawner_sku]],LEN(Table11[[#This Row],[spawner_sku]])-FIND("/",Table11[[#This Row],[spawner_sku]])),Table28[Entity Prefab],0)),25,1,1,"Entities"))</f>
        <v>no</v>
      </c>
      <c r="CS55" s="72">
        <v>1</v>
      </c>
      <c r="CT55" s="72">
        <v>4</v>
      </c>
      <c r="CU55" s="72" t="b">
        <v>0</v>
      </c>
      <c r="CW55" t="s">
        <v>226</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377</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214</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512</v>
      </c>
      <c r="EE55" s="72">
        <v>1</v>
      </c>
      <c r="EF55" s="72">
        <v>165</v>
      </c>
      <c r="EG55" s="72">
        <v>100</v>
      </c>
      <c r="EH55" s="72">
        <f ca="1">INDIRECT(ADDRESS(11+(MATCH(RIGHT(Table36[[#This Row],[spawner_sku]],LEN(Table36[[#This Row],[spawner_sku]])-FIND("/",Table36[[#This Row],[spawner_sku]])),Table1[Entity Prefab],0)),10,1,1,"Entities"))</f>
        <v>90</v>
      </c>
      <c r="EI55" s="72">
        <f ca="1">ROUND((Table36[[#This Row],[XP]]*Table36[[#This Row],[entity_spawned (AVG)]])*(Table36[[#This Row],[activating_chance]]/100),0)</f>
        <v>90</v>
      </c>
      <c r="EJ55" s="72" t="str">
        <f ca="1">INDIRECT(ADDRESS(11+(MATCH(RIGHT(Table36[[#This Row],[spawner_sku]],LEN(Table36[[#This Row],[spawner_sku]])-FIND("/",Table36[[#This Row],[spawner_sku]])),Table28[Entity Prefab],0)),25,1,1,"Entities"))</f>
        <v>no</v>
      </c>
      <c r="EK55" s="72">
        <v>1</v>
      </c>
      <c r="EL55" s="72">
        <v>1</v>
      </c>
      <c r="EM55" s="72" t="b">
        <v>0</v>
      </c>
      <c r="EO55" t="s">
        <v>214</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214</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2701</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233</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215</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217</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5017</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215</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377</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218</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215</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577</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215</v>
      </c>
      <c r="CM56">
        <v>8</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5" t="str">
        <f ca="1">INDIRECT(ADDRESS(11+(MATCH(RIGHT(Table11[[#This Row],[spawner_sku]],LEN(Table11[[#This Row],[spawner_sku]])-FIND("/",Table11[[#This Row],[spawner_sku]])),Table28[Entity Prefab],0)),25,1,1,"Entities"))</f>
        <v>no</v>
      </c>
      <c r="CS56" s="72">
        <v>6</v>
      </c>
      <c r="CT56" s="72">
        <v>10</v>
      </c>
      <c r="CU56" s="72" t="b">
        <v>1</v>
      </c>
      <c r="CW56" t="s">
        <v>227</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377</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214</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512</v>
      </c>
      <c r="EE56" s="72">
        <v>1</v>
      </c>
      <c r="EF56" s="72">
        <v>135</v>
      </c>
      <c r="EG56" s="72">
        <v>100</v>
      </c>
      <c r="EH56" s="72">
        <f ca="1">INDIRECT(ADDRESS(11+(MATCH(RIGHT(Table36[[#This Row],[spawner_sku]],LEN(Table36[[#This Row],[spawner_sku]])-FIND("/",Table36[[#This Row],[spawner_sku]])),Table1[Entity Prefab],0)),10,1,1,"Entities"))</f>
        <v>90</v>
      </c>
      <c r="EI56" s="72">
        <f ca="1">ROUND((Table36[[#This Row],[XP]]*Table36[[#This Row],[entity_spawned (AVG)]])*(Table36[[#This Row],[activating_chance]]/100),0)</f>
        <v>90</v>
      </c>
      <c r="EJ56" s="72" t="str">
        <f ca="1">INDIRECT(ADDRESS(11+(MATCH(RIGHT(Table36[[#This Row],[spawner_sku]],LEN(Table36[[#This Row],[spawner_sku]])-FIND("/",Table36[[#This Row],[spawner_sku]])),Table28[Entity Prefab],0)),25,1,1,"Entities"))</f>
        <v>no</v>
      </c>
      <c r="EK56" s="72">
        <v>1</v>
      </c>
      <c r="EL56" s="72">
        <v>1</v>
      </c>
      <c r="EM56" s="72" t="b">
        <v>0</v>
      </c>
      <c r="EO56" t="s">
        <v>214</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214</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2701</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233</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215</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217</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467</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215</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377</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218</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215</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577</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215</v>
      </c>
      <c r="CM57">
        <v>3</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5" t="str">
        <f ca="1">INDIRECT(ADDRESS(11+(MATCH(RIGHT(Table11[[#This Row],[spawner_sku]],LEN(Table11[[#This Row],[spawner_sku]])-FIND("/",Table11[[#This Row],[spawner_sku]])),Table28[Entity Prefab],0)),25,1,1,"Entities"))</f>
        <v>no</v>
      </c>
      <c r="CS57" s="72">
        <v>2</v>
      </c>
      <c r="CT57" s="72">
        <v>4</v>
      </c>
      <c r="CU57" s="72" t="b">
        <v>0</v>
      </c>
      <c r="CW57" t="s">
        <v>227</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218</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214</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512</v>
      </c>
      <c r="EE57" s="72">
        <v>1</v>
      </c>
      <c r="EF57" s="72">
        <v>150</v>
      </c>
      <c r="EG57" s="72">
        <v>100</v>
      </c>
      <c r="EH57" s="72">
        <f ca="1">INDIRECT(ADDRESS(11+(MATCH(RIGHT(Table36[[#This Row],[spawner_sku]],LEN(Table36[[#This Row],[spawner_sku]])-FIND("/",Table36[[#This Row],[spawner_sku]])),Table1[Entity Prefab],0)),10,1,1,"Entities"))</f>
        <v>90</v>
      </c>
      <c r="EI57" s="72">
        <f ca="1">ROUND((Table36[[#This Row],[XP]]*Table36[[#This Row],[entity_spawned (AVG)]])*(Table36[[#This Row],[activating_chance]]/100),0)</f>
        <v>90</v>
      </c>
      <c r="EJ57" s="72" t="str">
        <f ca="1">INDIRECT(ADDRESS(11+(MATCH(RIGHT(Table36[[#This Row],[spawner_sku]],LEN(Table36[[#This Row],[spawner_sku]])-FIND("/",Table36[[#This Row],[spawner_sku]])),Table28[Entity Prefab],0)),25,1,1,"Entities"))</f>
        <v>no</v>
      </c>
      <c r="EK57" s="72">
        <v>1</v>
      </c>
      <c r="EL57" s="72">
        <v>1</v>
      </c>
      <c r="EM57" s="72" t="b">
        <v>0</v>
      </c>
      <c r="EO57" t="s">
        <v>214</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214</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2701</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233</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215</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217</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468</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215</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377</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218</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215</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577</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215</v>
      </c>
      <c r="CM58">
        <v>3</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5" t="str">
        <f ca="1">INDIRECT(ADDRESS(11+(MATCH(RIGHT(Table11[[#This Row],[spawner_sku]],LEN(Table11[[#This Row],[spawner_sku]])-FIND("/",Table11[[#This Row],[spawner_sku]])),Table28[Entity Prefab],0)),25,1,1,"Entities"))</f>
        <v>no</v>
      </c>
      <c r="CS58" s="72">
        <v>2</v>
      </c>
      <c r="CT58" s="72">
        <v>4</v>
      </c>
      <c r="CU58" s="72" t="b">
        <v>0</v>
      </c>
      <c r="CW58" t="s">
        <v>229</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218</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214</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3826</v>
      </c>
      <c r="EE58" s="72">
        <v>1</v>
      </c>
      <c r="EF58" s="72">
        <v>240</v>
      </c>
      <c r="EG58" s="72">
        <v>100</v>
      </c>
      <c r="EH58" s="72">
        <f ca="1">INDIRECT(ADDRESS(11+(MATCH(RIGHT(Table36[[#This Row],[spawner_sku]],LEN(Table36[[#This Row],[spawner_sku]])-FIND("/",Table36[[#This Row],[spawner_sku]])),Table1[Entity Prefab],0)),10,1,1,"Entities"))</f>
        <v>10</v>
      </c>
      <c r="EI58" s="72">
        <f ca="1">ROUND((Table36[[#This Row],[XP]]*Table36[[#This Row],[entity_spawned (AVG)]])*(Table36[[#This Row],[activating_chance]]/100),0)</f>
        <v>10</v>
      </c>
      <c r="EJ58" s="72" t="str">
        <f ca="1">INDIRECT(ADDRESS(11+(MATCH(RIGHT(Table36[[#This Row],[spawner_sku]],LEN(Table36[[#This Row],[spawner_sku]])-FIND("/",Table36[[#This Row],[spawner_sku]])),Table28[Entity Prefab],0)),25,1,1,"Entities"))</f>
        <v>no</v>
      </c>
      <c r="EK58" s="72">
        <v>1</v>
      </c>
      <c r="EL58" s="72">
        <v>1</v>
      </c>
      <c r="EM58" s="72" t="b">
        <v>0</v>
      </c>
      <c r="EO58" t="s">
        <v>214</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214</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2701</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233</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215</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373</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468</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215</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377</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219</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215</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577</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215</v>
      </c>
      <c r="CM59">
        <v>7.5</v>
      </c>
      <c r="CN59">
        <v>190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5" t="str">
        <f ca="1">INDIRECT(ADDRESS(11+(MATCH(RIGHT(Table11[[#This Row],[spawner_sku]],LEN(Table11[[#This Row],[spawner_sku]])-FIND("/",Table11[[#This Row],[spawner_sku]])),Table28[Entity Prefab],0)),25,1,1,"Entities"))</f>
        <v>no</v>
      </c>
      <c r="CS59" s="72">
        <v>6</v>
      </c>
      <c r="CT59" s="72">
        <v>9</v>
      </c>
      <c r="CU59" s="72" t="b">
        <v>1</v>
      </c>
      <c r="CW59" t="s">
        <v>229</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219</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214</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3826</v>
      </c>
      <c r="EE59" s="72">
        <v>1</v>
      </c>
      <c r="EF59" s="72">
        <v>240</v>
      </c>
      <c r="EG59" s="72">
        <v>100</v>
      </c>
      <c r="EH59" s="72">
        <f ca="1">INDIRECT(ADDRESS(11+(MATCH(RIGHT(Table36[[#This Row],[spawner_sku]],LEN(Table36[[#This Row],[spawner_sku]])-FIND("/",Table36[[#This Row],[spawner_sku]])),Table1[Entity Prefab],0)),10,1,1,"Entities"))</f>
        <v>10</v>
      </c>
      <c r="EI59" s="72">
        <f ca="1">ROUND((Table36[[#This Row],[XP]]*Table36[[#This Row],[entity_spawned (AVG)]])*(Table36[[#This Row],[activating_chance]]/100),0)</f>
        <v>10</v>
      </c>
      <c r="EJ59" s="72" t="str">
        <f ca="1">INDIRECT(ADDRESS(11+(MATCH(RIGHT(Table36[[#This Row],[spawner_sku]],LEN(Table36[[#This Row],[spawner_sku]])-FIND("/",Table36[[#This Row],[spawner_sku]])),Table28[Entity Prefab],0)),25,1,1,"Entities"))</f>
        <v>no</v>
      </c>
      <c r="EK59" s="72">
        <v>1</v>
      </c>
      <c r="EL59" s="72">
        <v>1</v>
      </c>
      <c r="EM59" s="72" t="b">
        <v>0</v>
      </c>
      <c r="EO59" t="s">
        <v>214</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214</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2701</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233</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215</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373</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378</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215</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377</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219</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215</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577</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215</v>
      </c>
      <c r="CM60">
        <v>3.5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5" t="str">
        <f ca="1">INDIRECT(ADDRESS(11+(MATCH(RIGHT(Table11[[#This Row],[spawner_sku]],LEN(Table11[[#This Row],[spawner_sku]])-FIND("/",Table11[[#This Row],[spawner_sku]])),Table28[Entity Prefab],0)),25,1,1,"Entities"))</f>
        <v>no</v>
      </c>
      <c r="CS60" s="72">
        <v>3</v>
      </c>
      <c r="CT60" s="72">
        <v>4</v>
      </c>
      <c r="CU60" s="72" t="b">
        <v>0</v>
      </c>
      <c r="CW60" t="s">
        <v>229</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219</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214</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3826</v>
      </c>
      <c r="EE60" s="72">
        <v>1</v>
      </c>
      <c r="EF60" s="72">
        <v>240</v>
      </c>
      <c r="EG60" s="72">
        <v>100</v>
      </c>
      <c r="EH60" s="72">
        <f ca="1">INDIRECT(ADDRESS(11+(MATCH(RIGHT(Table36[[#This Row],[spawner_sku]],LEN(Table36[[#This Row],[spawner_sku]])-FIND("/",Table36[[#This Row],[spawner_sku]])),Table1[Entity Prefab],0)),10,1,1,"Entities"))</f>
        <v>10</v>
      </c>
      <c r="EI60" s="72">
        <f ca="1">ROUND((Table36[[#This Row],[XP]]*Table36[[#This Row],[entity_spawned (AVG)]])*(Table36[[#This Row],[activating_chance]]/100),0)</f>
        <v>10</v>
      </c>
      <c r="EJ60" s="72" t="str">
        <f ca="1">INDIRECT(ADDRESS(11+(MATCH(RIGHT(Table36[[#This Row],[spawner_sku]],LEN(Table36[[#This Row],[spawner_sku]])-FIND("/",Table36[[#This Row],[spawner_sku]])),Table28[Entity Prefab],0)),25,1,1,"Entities"))</f>
        <v>no</v>
      </c>
      <c r="EK60" s="72">
        <v>1</v>
      </c>
      <c r="EL60" s="72">
        <v>1</v>
      </c>
      <c r="EM60" s="72" t="b">
        <v>0</v>
      </c>
      <c r="EO60" t="s">
        <v>214</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214</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2701</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5017</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215</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373</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378</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215</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377</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219</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215</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577</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215</v>
      </c>
      <c r="CM61">
        <v>2.5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5" t="str">
        <f ca="1">INDIRECT(ADDRESS(11+(MATCH(RIGHT(Table11[[#This Row],[spawner_sku]],LEN(Table11[[#This Row],[spawner_sku]])-FIND("/",Table11[[#This Row],[spawner_sku]])),Table28[Entity Prefab],0)),25,1,1,"Entities"))</f>
        <v>no</v>
      </c>
      <c r="CS61" s="72">
        <v>2</v>
      </c>
      <c r="CT61" s="72">
        <v>3</v>
      </c>
      <c r="CU61" s="72" t="b">
        <v>0</v>
      </c>
      <c r="CW61" t="s">
        <v>229</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219</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214</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3826</v>
      </c>
      <c r="EE61" s="72">
        <v>1</v>
      </c>
      <c r="EF61" s="72">
        <v>240</v>
      </c>
      <c r="EG61" s="72">
        <v>100</v>
      </c>
      <c r="EH61" s="72">
        <f ca="1">INDIRECT(ADDRESS(11+(MATCH(RIGHT(Table36[[#This Row],[spawner_sku]],LEN(Table36[[#This Row],[spawner_sku]])-FIND("/",Table36[[#This Row],[spawner_sku]])),Table1[Entity Prefab],0)),10,1,1,"Entities"))</f>
        <v>10</v>
      </c>
      <c r="EI61" s="72">
        <f ca="1">ROUND((Table36[[#This Row],[XP]]*Table36[[#This Row],[entity_spawned (AVG)]])*(Table36[[#This Row],[activating_chance]]/100),0)</f>
        <v>10</v>
      </c>
      <c r="EJ61" s="72" t="str">
        <f ca="1">INDIRECT(ADDRESS(11+(MATCH(RIGHT(Table36[[#This Row],[spawner_sku]],LEN(Table36[[#This Row],[spawner_sku]])-FIND("/",Table36[[#This Row],[spawner_sku]])),Table28[Entity Prefab],0)),25,1,1,"Entities"))</f>
        <v>no</v>
      </c>
      <c r="EK61" s="72">
        <v>1</v>
      </c>
      <c r="EL61" s="72">
        <v>1</v>
      </c>
      <c r="EM61" s="72" t="b">
        <v>0</v>
      </c>
      <c r="EO61" t="s">
        <v>214</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214</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2701</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5017</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215</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373</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378</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215</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377</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219</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215</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577</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215</v>
      </c>
      <c r="CM62">
        <v>1.5</v>
      </c>
      <c r="CN62">
        <v>190</v>
      </c>
      <c r="CO62">
        <v>80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5" t="str">
        <f ca="1">INDIRECT(ADDRESS(11+(MATCH(RIGHT(Table11[[#This Row],[spawner_sku]],LEN(Table11[[#This Row],[spawner_sku]])-FIND("/",Table11[[#This Row],[spawner_sku]])),Table28[Entity Prefab],0)),25,1,1,"Entities"))</f>
        <v>no</v>
      </c>
      <c r="CS62" s="72">
        <v>1</v>
      </c>
      <c r="CT62" s="72">
        <v>2</v>
      </c>
      <c r="CU62" s="72" t="b">
        <v>0</v>
      </c>
      <c r="CW62" t="s">
        <v>229</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219</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214</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3827</v>
      </c>
      <c r="EE62" s="72">
        <v>1</v>
      </c>
      <c r="EF62" s="72">
        <v>240</v>
      </c>
      <c r="EG62" s="72">
        <v>100</v>
      </c>
      <c r="EH62" s="72">
        <f ca="1">INDIRECT(ADDRESS(11+(MATCH(RIGHT(Table36[[#This Row],[spawner_sku]],LEN(Table36[[#This Row],[spawner_sku]])-FIND("/",Table36[[#This Row],[spawner_sku]])),Table1[Entity Prefab],0)),10,1,1,"Entities"))</f>
        <v>10</v>
      </c>
      <c r="EI62" s="72">
        <f ca="1">ROUND((Table36[[#This Row],[XP]]*Table36[[#This Row],[entity_spawned (AVG)]])*(Table36[[#This Row],[activating_chance]]/100),0)</f>
        <v>10</v>
      </c>
      <c r="EJ62" s="72" t="str">
        <f ca="1">INDIRECT(ADDRESS(11+(MATCH(RIGHT(Table36[[#This Row],[spawner_sku]],LEN(Table36[[#This Row],[spawner_sku]])-FIND("/",Table36[[#This Row],[spawner_sku]])),Table28[Entity Prefab],0)),25,1,1,"Entities"))</f>
        <v>no</v>
      </c>
      <c r="EK62" s="72">
        <v>1</v>
      </c>
      <c r="EL62" s="72">
        <v>1</v>
      </c>
      <c r="EM62" s="72" t="b">
        <v>0</v>
      </c>
      <c r="EO62" t="s">
        <v>214</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214</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2701</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5017</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215</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373</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378</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215</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377</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219</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215</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577</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215</v>
      </c>
      <c r="CM63">
        <v>3</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5" t="str">
        <f ca="1">INDIRECT(ADDRESS(11+(MATCH(RIGHT(Table11[[#This Row],[spawner_sku]],LEN(Table11[[#This Row],[spawner_sku]])-FIND("/",Table11[[#This Row],[spawner_sku]])),Table28[Entity Prefab],0)),25,1,1,"Entities"))</f>
        <v>no</v>
      </c>
      <c r="CS63" s="72">
        <v>2</v>
      </c>
      <c r="CT63" s="72">
        <v>4</v>
      </c>
      <c r="CU63" s="72" t="b">
        <v>0</v>
      </c>
      <c r="CW63" t="s">
        <v>229</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219</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214</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3827</v>
      </c>
      <c r="EE63" s="72">
        <v>1</v>
      </c>
      <c r="EF63" s="72">
        <v>240</v>
      </c>
      <c r="EG63" s="72">
        <v>100</v>
      </c>
      <c r="EH63" s="72">
        <f ca="1">INDIRECT(ADDRESS(11+(MATCH(RIGHT(Table36[[#This Row],[spawner_sku]],LEN(Table36[[#This Row],[spawner_sku]])-FIND("/",Table36[[#This Row],[spawner_sku]])),Table1[Entity Prefab],0)),10,1,1,"Entities"))</f>
        <v>10</v>
      </c>
      <c r="EI63" s="72">
        <f ca="1">ROUND((Table36[[#This Row],[XP]]*Table36[[#This Row],[entity_spawned (AVG)]])*(Table36[[#This Row],[activating_chance]]/100),0)</f>
        <v>10</v>
      </c>
      <c r="EJ63" s="72" t="str">
        <f ca="1">INDIRECT(ADDRESS(11+(MATCH(RIGHT(Table36[[#This Row],[spawner_sku]],LEN(Table36[[#This Row],[spawner_sku]])-FIND("/",Table36[[#This Row],[spawner_sku]])),Table28[Entity Prefab],0)),25,1,1,"Entities"))</f>
        <v>no</v>
      </c>
      <c r="EK63" s="72">
        <v>1</v>
      </c>
      <c r="EL63" s="72">
        <v>1</v>
      </c>
      <c r="EM63" s="72" t="b">
        <v>0</v>
      </c>
      <c r="EO63" t="s">
        <v>214</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214</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2701</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466</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215</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373</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378</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215</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377</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219</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215</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577</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215</v>
      </c>
      <c r="CM64">
        <v>2</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5" t="str">
        <f ca="1">INDIRECT(ADDRESS(11+(MATCH(RIGHT(Table11[[#This Row],[spawner_sku]],LEN(Table11[[#This Row],[spawner_sku]])-FIND("/",Table11[[#This Row],[spawner_sku]])),Table28[Entity Prefab],0)),25,1,1,"Entities"))</f>
        <v>no</v>
      </c>
      <c r="CS64" s="72">
        <v>2</v>
      </c>
      <c r="CT64" s="72">
        <v>2</v>
      </c>
      <c r="CU64" s="72" t="b">
        <v>0</v>
      </c>
      <c r="CW64" t="s">
        <v>230</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219</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214</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3827</v>
      </c>
      <c r="EE64" s="72">
        <v>1</v>
      </c>
      <c r="EF64" s="72">
        <v>240</v>
      </c>
      <c r="EG64" s="72">
        <v>100</v>
      </c>
      <c r="EH64" s="72">
        <f ca="1">INDIRECT(ADDRESS(11+(MATCH(RIGHT(Table36[[#This Row],[spawner_sku]],LEN(Table36[[#This Row],[spawner_sku]])-FIND("/",Table36[[#This Row],[spawner_sku]])),Table1[Entity Prefab],0)),10,1,1,"Entities"))</f>
        <v>10</v>
      </c>
      <c r="EI64" s="72">
        <f ca="1">ROUND((Table36[[#This Row],[XP]]*Table36[[#This Row],[entity_spawned (AVG)]])*(Table36[[#This Row],[activating_chance]]/100),0)</f>
        <v>10</v>
      </c>
      <c r="EJ64" s="72" t="str">
        <f ca="1">INDIRECT(ADDRESS(11+(MATCH(RIGHT(Table36[[#This Row],[spawner_sku]],LEN(Table36[[#This Row],[spawner_sku]])-FIND("/",Table36[[#This Row],[spawner_sku]])),Table28[Entity Prefab],0)),25,1,1,"Entities"))</f>
        <v>no</v>
      </c>
      <c r="EK64" s="72">
        <v>1</v>
      </c>
      <c r="EL64" s="72">
        <v>1</v>
      </c>
      <c r="EM64" s="72" t="b">
        <v>0</v>
      </c>
      <c r="EO64" t="s">
        <v>214</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214</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2701</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466</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215</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373</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378</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215</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219</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219</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215</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577</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215</v>
      </c>
      <c r="CM65">
        <v>9</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5" t="str">
        <f ca="1">INDIRECT(ADDRESS(11+(MATCH(RIGHT(Table11[[#This Row],[spawner_sku]],LEN(Table11[[#This Row],[spawner_sku]])-FIND("/",Table11[[#This Row],[spawner_sku]])),Table28[Entity Prefab],0)),25,1,1,"Entities"))</f>
        <v>no</v>
      </c>
      <c r="CS65" s="72">
        <v>8</v>
      </c>
      <c r="CT65" s="72">
        <v>10</v>
      </c>
      <c r="CU65" s="72" t="b">
        <v>1</v>
      </c>
      <c r="CW65" t="s">
        <v>230</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219</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214</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3827</v>
      </c>
      <c r="EE65" s="72">
        <v>1</v>
      </c>
      <c r="EF65" s="72">
        <v>240</v>
      </c>
      <c r="EG65" s="72">
        <v>100</v>
      </c>
      <c r="EH65" s="72">
        <f ca="1">INDIRECT(ADDRESS(11+(MATCH(RIGHT(Table36[[#This Row],[spawner_sku]],LEN(Table36[[#This Row],[spawner_sku]])-FIND("/",Table36[[#This Row],[spawner_sku]])),Table1[Entity Prefab],0)),10,1,1,"Entities"))</f>
        <v>10</v>
      </c>
      <c r="EI65" s="72">
        <f ca="1">ROUND((Table36[[#This Row],[XP]]*Table36[[#This Row],[entity_spawned (AVG)]])*(Table36[[#This Row],[activating_chance]]/100),0)</f>
        <v>10</v>
      </c>
      <c r="EJ65" s="72" t="str">
        <f ca="1">INDIRECT(ADDRESS(11+(MATCH(RIGHT(Table36[[#This Row],[spawner_sku]],LEN(Table36[[#This Row],[spawner_sku]])-FIND("/",Table36[[#This Row],[spawner_sku]])),Table28[Entity Prefab],0)),25,1,1,"Entities"))</f>
        <v>no</v>
      </c>
      <c r="EK65" s="72">
        <v>1</v>
      </c>
      <c r="EL65" s="72">
        <v>1</v>
      </c>
      <c r="EM65" s="72" t="b">
        <v>0</v>
      </c>
      <c r="EO65" t="s">
        <v>214</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214</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2701</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466</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215</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219</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378</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215</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219</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219</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215</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577</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215</v>
      </c>
      <c r="CM66">
        <v>5.5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5" t="str">
        <f ca="1">INDIRECT(ADDRESS(11+(MATCH(RIGHT(Table11[[#This Row],[spawner_sku]],LEN(Table11[[#This Row],[spawner_sku]])-FIND("/",Table11[[#This Row],[spawner_sku]])),Table28[Entity Prefab],0)),25,1,1,"Entities"))</f>
        <v>no</v>
      </c>
      <c r="CS66" s="72">
        <v>5</v>
      </c>
      <c r="CT66" s="72">
        <v>6</v>
      </c>
      <c r="CU66" s="72" t="b">
        <v>1</v>
      </c>
      <c r="CW66" t="s">
        <v>230</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219</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214</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3827</v>
      </c>
      <c r="EE66" s="72">
        <v>1</v>
      </c>
      <c r="EF66" s="72">
        <v>240</v>
      </c>
      <c r="EG66" s="72">
        <v>100</v>
      </c>
      <c r="EH66" s="72">
        <f ca="1">INDIRECT(ADDRESS(11+(MATCH(RIGHT(Table36[[#This Row],[spawner_sku]],LEN(Table36[[#This Row],[spawner_sku]])-FIND("/",Table36[[#This Row],[spawner_sku]])),Table1[Entity Prefab],0)),10,1,1,"Entities"))</f>
        <v>10</v>
      </c>
      <c r="EI66" s="72">
        <f ca="1">ROUND((Table36[[#This Row],[XP]]*Table36[[#This Row],[entity_spawned (AVG)]])*(Table36[[#This Row],[activating_chance]]/100),0)</f>
        <v>10</v>
      </c>
      <c r="EJ66" s="72" t="str">
        <f ca="1">INDIRECT(ADDRESS(11+(MATCH(RIGHT(Table36[[#This Row],[spawner_sku]],LEN(Table36[[#This Row],[spawner_sku]])-FIND("/",Table36[[#This Row],[spawner_sku]])),Table28[Entity Prefab],0)),25,1,1,"Entities"))</f>
        <v>no</v>
      </c>
      <c r="EK66" s="72">
        <v>1</v>
      </c>
      <c r="EL66" s="72">
        <v>1</v>
      </c>
      <c r="EM66" s="72" t="b">
        <v>0</v>
      </c>
      <c r="EO66" t="s">
        <v>214</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214</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2701</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466</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215</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320</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378</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215</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219</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219</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215</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577</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215</v>
      </c>
      <c r="CM67">
        <v>3.5</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5" t="str">
        <f ca="1">INDIRECT(ADDRESS(11+(MATCH(RIGHT(Table11[[#This Row],[spawner_sku]],LEN(Table11[[#This Row],[spawner_sku]])-FIND("/",Table11[[#This Row],[spawner_sku]])),Table28[Entity Prefab],0)),25,1,1,"Entities"))</f>
        <v>no</v>
      </c>
      <c r="CS67" s="72">
        <v>3</v>
      </c>
      <c r="CT67" s="72">
        <v>4</v>
      </c>
      <c r="CU67" s="72" t="b">
        <v>0</v>
      </c>
      <c r="CW67" t="s">
        <v>230</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219</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214</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3827</v>
      </c>
      <c r="EE67" s="72">
        <v>1</v>
      </c>
      <c r="EF67" s="72">
        <v>240</v>
      </c>
      <c r="EG67" s="72">
        <v>100</v>
      </c>
      <c r="EH67" s="72">
        <f ca="1">INDIRECT(ADDRESS(11+(MATCH(RIGHT(Table36[[#This Row],[spawner_sku]],LEN(Table36[[#This Row],[spawner_sku]])-FIND("/",Table36[[#This Row],[spawner_sku]])),Table1[Entity Prefab],0)),10,1,1,"Entities"))</f>
        <v>10</v>
      </c>
      <c r="EI67" s="72">
        <f ca="1">ROUND((Table36[[#This Row],[XP]]*Table36[[#This Row],[entity_spawned (AVG)]])*(Table36[[#This Row],[activating_chance]]/100),0)</f>
        <v>10</v>
      </c>
      <c r="EJ67" s="72" t="str">
        <f ca="1">INDIRECT(ADDRESS(11+(MATCH(RIGHT(Table36[[#This Row],[spawner_sku]],LEN(Table36[[#This Row],[spawner_sku]])-FIND("/",Table36[[#This Row],[spawner_sku]])),Table28[Entity Prefab],0)),25,1,1,"Entities"))</f>
        <v>no</v>
      </c>
      <c r="EK67" s="72">
        <v>1</v>
      </c>
      <c r="EL67" s="72">
        <v>1</v>
      </c>
      <c r="EM67" s="72" t="b">
        <v>0</v>
      </c>
      <c r="EO67" t="s">
        <v>214</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214</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2701</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2706</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215</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320</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429</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215</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219</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219</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215</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577</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215</v>
      </c>
      <c r="CM68">
        <v>2.5</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5" t="str">
        <f ca="1">INDIRECT(ADDRESS(11+(MATCH(RIGHT(Table11[[#This Row],[spawner_sku]],LEN(Table11[[#This Row],[spawner_sku]])-FIND("/",Table11[[#This Row],[spawner_sku]])),Table28[Entity Prefab],0)),25,1,1,"Entities"))</f>
        <v>no</v>
      </c>
      <c r="CS68" s="72">
        <v>1</v>
      </c>
      <c r="CT68" s="72">
        <v>4</v>
      </c>
      <c r="CU68" s="72" t="b">
        <v>0</v>
      </c>
      <c r="CW68" t="s">
        <v>230</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219</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214</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148" t="s">
        <v>3829</v>
      </c>
      <c r="EE68" s="72">
        <v>1</v>
      </c>
      <c r="EF68" s="72">
        <v>240</v>
      </c>
      <c r="EG68" s="72">
        <v>100</v>
      </c>
      <c r="EH68" s="72">
        <f ca="1">INDIRECT(ADDRESS(11+(MATCH(RIGHT(Table36[[#This Row],[spawner_sku]],LEN(Table36[[#This Row],[spawner_sku]])-FIND("/",Table36[[#This Row],[spawner_sku]])),Table1[Entity Prefab],0)),10,1,1,"Entities"))</f>
        <v>10</v>
      </c>
      <c r="EI68" s="72">
        <f ca="1">ROUND((Table36[[#This Row],[XP]]*Table36[[#This Row],[entity_spawned (AVG)]])*(Table36[[#This Row],[activating_chance]]/100),0)</f>
        <v>10</v>
      </c>
      <c r="EJ68" s="72" t="str">
        <f ca="1">INDIRECT(ADDRESS(11+(MATCH(RIGHT(Table36[[#This Row],[spawner_sku]],LEN(Table36[[#This Row],[spawner_sku]])-FIND("/",Table36[[#This Row],[spawner_sku]])),Table28[Entity Prefab],0)),25,1,1,"Entities"))</f>
        <v>no</v>
      </c>
      <c r="EK68" s="72">
        <v>1</v>
      </c>
      <c r="EL68" s="72">
        <v>1</v>
      </c>
      <c r="EM68" s="72" t="b">
        <v>0</v>
      </c>
      <c r="EO68" t="s">
        <v>214</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214</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2701</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2706</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215</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320</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429</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215</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219</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219</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215</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3826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215</v>
      </c>
      <c r="CM69">
        <v>1.5</v>
      </c>
      <c r="CN69">
        <v>180</v>
      </c>
      <c r="CO69">
        <v>10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5" t="str">
        <f ca="1">INDIRECT(ADDRESS(11+(MATCH(RIGHT(Table11[[#This Row],[spawner_sku]],LEN(Table11[[#This Row],[spawner_sku]])-FIND("/",Table11[[#This Row],[spawner_sku]])),Table28[Entity Prefab],0)),25,1,1,"Entities"))</f>
        <v>no</v>
      </c>
      <c r="CS69" s="72">
        <v>1</v>
      </c>
      <c r="CT69" s="72">
        <v>2</v>
      </c>
      <c r="CU69" s="72" t="b">
        <v>0</v>
      </c>
      <c r="CW69" t="s">
        <v>230</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219</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214</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148" t="s">
        <v>3829</v>
      </c>
      <c r="EE69" s="72">
        <v>1</v>
      </c>
      <c r="EF69" s="72">
        <v>240</v>
      </c>
      <c r="EG69" s="72">
        <v>100</v>
      </c>
      <c r="EH69" s="72">
        <f ca="1">INDIRECT(ADDRESS(11+(MATCH(RIGHT(Table36[[#This Row],[spawner_sku]],LEN(Table36[[#This Row],[spawner_sku]])-FIND("/",Table36[[#This Row],[spawner_sku]])),Table1[Entity Prefab],0)),10,1,1,"Entities"))</f>
        <v>10</v>
      </c>
      <c r="EI69" s="72">
        <f ca="1">ROUND((Table36[[#This Row],[XP]]*Table36[[#This Row],[entity_spawned (AVG)]])*(Table36[[#This Row],[activating_chance]]/100),0)</f>
        <v>10</v>
      </c>
      <c r="EJ69" s="72" t="str">
        <f ca="1">INDIRECT(ADDRESS(11+(MATCH(RIGHT(Table36[[#This Row],[spawner_sku]],LEN(Table36[[#This Row],[spawner_sku]])-FIND("/",Table36[[#This Row],[spawner_sku]])),Table28[Entity Prefab],0)),25,1,1,"Entities"))</f>
        <v>no</v>
      </c>
      <c r="EK69" s="72">
        <v>1</v>
      </c>
      <c r="EL69" s="72">
        <v>1</v>
      </c>
      <c r="EM69" s="72" t="b">
        <v>0</v>
      </c>
      <c r="EO69" t="s">
        <v>214</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214</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2705</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2706</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215</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320</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428</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215</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219</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219</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215</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3826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215</v>
      </c>
      <c r="CM70">
        <v>2.5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5" t="str">
        <f ca="1">INDIRECT(ADDRESS(11+(MATCH(RIGHT(Table11[[#This Row],[spawner_sku]],LEN(Table11[[#This Row],[spawner_sku]])-FIND("/",Table11[[#This Row],[spawner_sku]])),Table28[Entity Prefab],0)),25,1,1,"Entities"))</f>
        <v>no</v>
      </c>
      <c r="CS70" s="72">
        <v>2</v>
      </c>
      <c r="CT70" s="72">
        <v>3</v>
      </c>
      <c r="CU70" s="72" t="b">
        <v>0</v>
      </c>
      <c r="CW70" t="s">
        <v>230</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219</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214</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148" t="s">
        <v>3829</v>
      </c>
      <c r="EE70" s="72">
        <v>1</v>
      </c>
      <c r="EF70" s="72">
        <v>240</v>
      </c>
      <c r="EG70" s="72">
        <v>100</v>
      </c>
      <c r="EH70" s="72">
        <f ca="1">INDIRECT(ADDRESS(11+(MATCH(RIGHT(Table36[[#This Row],[spawner_sku]],LEN(Table36[[#This Row],[spawner_sku]])-FIND("/",Table36[[#This Row],[spawner_sku]])),Table1[Entity Prefab],0)),10,1,1,"Entities"))</f>
        <v>10</v>
      </c>
      <c r="EI70" s="72">
        <f ca="1">ROUND((Table36[[#This Row],[XP]]*Table36[[#This Row],[entity_spawned (AVG)]])*(Table36[[#This Row],[activating_chance]]/100),0)</f>
        <v>10</v>
      </c>
      <c r="EJ70" s="72" t="str">
        <f ca="1">INDIRECT(ADDRESS(11+(MATCH(RIGHT(Table36[[#This Row],[spawner_sku]],LEN(Table36[[#This Row],[spawner_sku]])-FIND("/",Table36[[#This Row],[spawner_sku]])),Table28[Entity Prefab],0)),25,1,1,"Entities"))</f>
        <v>no</v>
      </c>
      <c r="EK70" s="72">
        <v>1</v>
      </c>
      <c r="EL70" s="72">
        <v>1</v>
      </c>
      <c r="EM70" s="72" t="b">
        <v>0</v>
      </c>
      <c r="EO70" t="s">
        <v>214</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214</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2705</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2706</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215</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220</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428</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215</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219</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219</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216</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3826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215</v>
      </c>
      <c r="CM71">
        <v>1.5</v>
      </c>
      <c r="CN71">
        <v>180</v>
      </c>
      <c r="CO71">
        <v>30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5" t="str">
        <f ca="1">INDIRECT(ADDRESS(11+(MATCH(RIGHT(Table11[[#This Row],[spawner_sku]],LEN(Table11[[#This Row],[spawner_sku]])-FIND("/",Table11[[#This Row],[spawner_sku]])),Table28[Entity Prefab],0)),25,1,1,"Entities"))</f>
        <v>no</v>
      </c>
      <c r="CS71" s="72">
        <v>1</v>
      </c>
      <c r="CT71" s="72">
        <v>2</v>
      </c>
      <c r="CU71" s="72" t="b">
        <v>0</v>
      </c>
      <c r="CW71" t="s">
        <v>231</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219</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214</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148" t="s">
        <v>3829</v>
      </c>
      <c r="EE71" s="72">
        <v>1</v>
      </c>
      <c r="EF71" s="72">
        <v>240</v>
      </c>
      <c r="EG71" s="72">
        <v>100</v>
      </c>
      <c r="EH71" s="72">
        <f ca="1">INDIRECT(ADDRESS(11+(MATCH(RIGHT(Table36[[#This Row],[spawner_sku]],LEN(Table36[[#This Row],[spawner_sku]])-FIND("/",Table36[[#This Row],[spawner_sku]])),Table1[Entity Prefab],0)),10,1,1,"Entities"))</f>
        <v>10</v>
      </c>
      <c r="EI71" s="72">
        <f ca="1">ROUND((Table36[[#This Row],[XP]]*Table36[[#This Row],[entity_spawned (AVG)]])*(Table36[[#This Row],[activating_chance]]/100),0)</f>
        <v>10</v>
      </c>
      <c r="EJ71" s="72" t="str">
        <f ca="1">INDIRECT(ADDRESS(11+(MATCH(RIGHT(Table36[[#This Row],[spawner_sku]],LEN(Table36[[#This Row],[spawner_sku]])-FIND("/",Table36[[#This Row],[spawner_sku]])),Table28[Entity Prefab],0)),25,1,1,"Entities"))</f>
        <v>no</v>
      </c>
      <c r="EK71" s="72">
        <v>1</v>
      </c>
      <c r="EL71" s="72">
        <v>1</v>
      </c>
      <c r="EM71" s="72" t="b">
        <v>0</v>
      </c>
      <c r="EO71" t="s">
        <v>214</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214</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2705</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2706</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215</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220</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428</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215</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219</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219</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216</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3826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215</v>
      </c>
      <c r="CM72">
        <v>2.5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5" t="str">
        <f ca="1">INDIRECT(ADDRESS(11+(MATCH(RIGHT(Table11[[#This Row],[spawner_sku]],LEN(Table11[[#This Row],[spawner_sku]])-FIND("/",Table11[[#This Row],[spawner_sku]])),Table28[Entity Prefab],0)),25,1,1,"Entities"))</f>
        <v>no</v>
      </c>
      <c r="CS72" s="72">
        <v>2</v>
      </c>
      <c r="CT72" s="72">
        <v>3</v>
      </c>
      <c r="CU72" s="72" t="b">
        <v>0</v>
      </c>
      <c r="CW72" t="s">
        <v>231</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220</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214</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148" t="s">
        <v>3828</v>
      </c>
      <c r="EE72" s="72">
        <v>1</v>
      </c>
      <c r="EF72" s="72">
        <v>240</v>
      </c>
      <c r="EG72" s="72">
        <v>100</v>
      </c>
      <c r="EH72" s="72">
        <f ca="1">INDIRECT(ADDRESS(11+(MATCH(RIGHT(Table36[[#This Row],[spawner_sku]],LEN(Table36[[#This Row],[spawner_sku]])-FIND("/",Table36[[#This Row],[spawner_sku]])),Table1[Entity Prefab],0)),10,1,1,"Entities"))</f>
        <v>10</v>
      </c>
      <c r="EI72" s="72">
        <f ca="1">ROUND((Table36[[#This Row],[XP]]*Table36[[#This Row],[entity_spawned (AVG)]])*(Table36[[#This Row],[activating_chance]]/100),0)</f>
        <v>10</v>
      </c>
      <c r="EJ72" s="72" t="str">
        <f ca="1">INDIRECT(ADDRESS(11+(MATCH(RIGHT(Table36[[#This Row],[spawner_sku]],LEN(Table36[[#This Row],[spawner_sku]])-FIND("/",Table36[[#This Row],[spawner_sku]])),Table28[Entity Prefab],0)),25,1,1,"Entities"))</f>
        <v>no</v>
      </c>
      <c r="EK72" s="72">
        <v>1</v>
      </c>
      <c r="EL72" s="72">
        <v>1</v>
      </c>
      <c r="EM72" s="72" t="b">
        <v>0</v>
      </c>
      <c r="EO72" t="s">
        <v>214</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214</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2705</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2708</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215</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220</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240</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215</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219</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219</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216</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3826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215</v>
      </c>
      <c r="CM73">
        <v>1.5</v>
      </c>
      <c r="CN73">
        <v>180</v>
      </c>
      <c r="CO73">
        <v>30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5" t="str">
        <f ca="1">INDIRECT(ADDRESS(11+(MATCH(RIGHT(Table11[[#This Row],[spawner_sku]],LEN(Table11[[#This Row],[spawner_sku]])-FIND("/",Table11[[#This Row],[spawner_sku]])),Table28[Entity Prefab],0)),25,1,1,"Entities"))</f>
        <v>no</v>
      </c>
      <c r="CS73" s="72">
        <v>1</v>
      </c>
      <c r="CT73" s="72">
        <v>2</v>
      </c>
      <c r="CU73" s="72" t="b">
        <v>0</v>
      </c>
      <c r="CW73" t="s">
        <v>231</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220</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214</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148" t="s">
        <v>3828</v>
      </c>
      <c r="EE73" s="72">
        <v>1</v>
      </c>
      <c r="EF73" s="72">
        <v>240</v>
      </c>
      <c r="EG73" s="72">
        <v>100</v>
      </c>
      <c r="EH73" s="72">
        <f ca="1">INDIRECT(ADDRESS(11+(MATCH(RIGHT(Table36[[#This Row],[spawner_sku]],LEN(Table36[[#This Row],[spawner_sku]])-FIND("/",Table36[[#This Row],[spawner_sku]])),Table1[Entity Prefab],0)),10,1,1,"Entities"))</f>
        <v>10</v>
      </c>
      <c r="EI73" s="72">
        <f ca="1">ROUND((Table36[[#This Row],[XP]]*Table36[[#This Row],[entity_spawned (AVG)]])*(Table36[[#This Row],[activating_chance]]/100),0)</f>
        <v>10</v>
      </c>
      <c r="EJ73" s="72" t="str">
        <f ca="1">INDIRECT(ADDRESS(11+(MATCH(RIGHT(Table36[[#This Row],[spawner_sku]],LEN(Table36[[#This Row],[spawner_sku]])-FIND("/",Table36[[#This Row],[spawner_sku]])),Table28[Entity Prefab],0)),25,1,1,"Entities"))</f>
        <v>no</v>
      </c>
      <c r="EK73" s="72">
        <v>1</v>
      </c>
      <c r="EL73" s="72">
        <v>1</v>
      </c>
      <c r="EM73" s="72" t="b">
        <v>0</v>
      </c>
      <c r="EO73" t="s">
        <v>214</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214</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2702</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2708</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215</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321</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240</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215</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219</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219</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216</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3826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215</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1</v>
      </c>
      <c r="CT74" s="72">
        <v>4</v>
      </c>
      <c r="CU74" s="72" t="b">
        <v>0</v>
      </c>
      <c r="CW74" t="s">
        <v>231</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220</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214</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148" t="s">
        <v>3828</v>
      </c>
      <c r="EE74" s="72">
        <v>1</v>
      </c>
      <c r="EF74" s="72">
        <v>240</v>
      </c>
      <c r="EG74" s="72">
        <v>100</v>
      </c>
      <c r="EH74" s="72">
        <f ca="1">INDIRECT(ADDRESS(11+(MATCH(RIGHT(Table36[[#This Row],[spawner_sku]],LEN(Table36[[#This Row],[spawner_sku]])-FIND("/",Table36[[#This Row],[spawner_sku]])),Table1[Entity Prefab],0)),10,1,1,"Entities"))</f>
        <v>10</v>
      </c>
      <c r="EI74" s="72">
        <f ca="1">ROUND((Table36[[#This Row],[XP]]*Table36[[#This Row],[entity_spawned (AVG)]])*(Table36[[#This Row],[activating_chance]]/100),0)</f>
        <v>10</v>
      </c>
      <c r="EJ74" s="72" t="str">
        <f ca="1">INDIRECT(ADDRESS(11+(MATCH(RIGHT(Table36[[#This Row],[spawner_sku]],LEN(Table36[[#This Row],[spawner_sku]])-FIND("/",Table36[[#This Row],[spawner_sku]])),Table28[Entity Prefab],0)),25,1,1,"Entities"))</f>
        <v>no</v>
      </c>
      <c r="EK74" s="72">
        <v>1</v>
      </c>
      <c r="EL74" s="72">
        <v>1</v>
      </c>
      <c r="EM74" s="72" t="b">
        <v>0</v>
      </c>
      <c r="EO74" t="s">
        <v>214</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214</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2702</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2708</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215</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321</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241</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215</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219</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219</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216</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3826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215</v>
      </c>
      <c r="CM75">
        <v>7.5</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5" t="str">
        <f ca="1">INDIRECT(ADDRESS(11+(MATCH(RIGHT(Table11[[#This Row],[spawner_sku]],LEN(Table11[[#This Row],[spawner_sku]])-FIND("/",Table11[[#This Row],[spawner_sku]])),Table28[Entity Prefab],0)),25,1,1,"Entities"))</f>
        <v>no</v>
      </c>
      <c r="CS75" s="72">
        <v>6</v>
      </c>
      <c r="CT75" s="72">
        <v>9</v>
      </c>
      <c r="CU75" s="72" t="b">
        <v>1</v>
      </c>
      <c r="CW75" t="s">
        <v>231</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221</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214</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148" t="s">
        <v>3828</v>
      </c>
      <c r="EE75" s="72">
        <v>1</v>
      </c>
      <c r="EF75" s="72">
        <v>240</v>
      </c>
      <c r="EG75" s="72">
        <v>100</v>
      </c>
      <c r="EH75" s="72">
        <f ca="1">INDIRECT(ADDRESS(11+(MATCH(RIGHT(Table36[[#This Row],[spawner_sku]],LEN(Table36[[#This Row],[spawner_sku]])-FIND("/",Table36[[#This Row],[spawner_sku]])),Table1[Entity Prefab],0)),10,1,1,"Entities"))</f>
        <v>10</v>
      </c>
      <c r="EI75" s="72">
        <f ca="1">ROUND((Table36[[#This Row],[XP]]*Table36[[#This Row],[entity_spawned (AVG)]])*(Table36[[#This Row],[activating_chance]]/100),0)</f>
        <v>10</v>
      </c>
      <c r="EJ75" s="72" t="str">
        <f ca="1">INDIRECT(ADDRESS(11+(MATCH(RIGHT(Table36[[#This Row],[spawner_sku]],LEN(Table36[[#This Row],[spawner_sku]])-FIND("/",Table36[[#This Row],[spawner_sku]])),Table28[Entity Prefab],0)),25,1,1,"Entities"))</f>
        <v>no</v>
      </c>
      <c r="EK75" s="72">
        <v>1</v>
      </c>
      <c r="EL75" s="72">
        <v>1</v>
      </c>
      <c r="EM75" s="72" t="b">
        <v>0</v>
      </c>
      <c r="EO75" t="s">
        <v>214</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214</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2702</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2708</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215</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321</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241</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215</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219</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219</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216</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3826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215</v>
      </c>
      <c r="CM76">
        <v>3.5</v>
      </c>
      <c r="CN76">
        <v>180</v>
      </c>
      <c r="CO76">
        <v>70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61</v>
      </c>
      <c r="CR76" s="145" t="str">
        <f ca="1">INDIRECT(ADDRESS(11+(MATCH(RIGHT(Table11[[#This Row],[spawner_sku]],LEN(Table11[[#This Row],[spawner_sku]])-FIND("/",Table11[[#This Row],[spawner_sku]])),Table28[Entity Prefab],0)),25,1,1,"Entities"))</f>
        <v>no</v>
      </c>
      <c r="CS76" s="72">
        <v>3</v>
      </c>
      <c r="CT76" s="72">
        <v>4</v>
      </c>
      <c r="CU76" s="72" t="b">
        <v>0</v>
      </c>
      <c r="CW76" t="s">
        <v>231</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221</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214</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148" t="s">
        <v>3830</v>
      </c>
      <c r="EE76" s="72">
        <v>1</v>
      </c>
      <c r="EF76" s="72">
        <v>240</v>
      </c>
      <c r="EG76" s="72">
        <v>100</v>
      </c>
      <c r="EH76" s="72">
        <f ca="1">INDIRECT(ADDRESS(11+(MATCH(RIGHT(Table36[[#This Row],[spawner_sku]],LEN(Table36[[#This Row],[spawner_sku]])-FIND("/",Table36[[#This Row],[spawner_sku]])),Table1[Entity Prefab],0)),10,1,1,"Entities"))</f>
        <v>10</v>
      </c>
      <c r="EI76" s="72">
        <f ca="1">ROUND((Table36[[#This Row],[XP]]*Table36[[#This Row],[entity_spawned (AVG)]])*(Table36[[#This Row],[activating_chance]]/100),0)</f>
        <v>10</v>
      </c>
      <c r="EJ76" s="72" t="str">
        <f ca="1">INDIRECT(ADDRESS(11+(MATCH(RIGHT(Table36[[#This Row],[spawner_sku]],LEN(Table36[[#This Row],[spawner_sku]])-FIND("/",Table36[[#This Row],[spawner_sku]])),Table28[Entity Prefab],0)),25,1,1,"Entities"))</f>
        <v>no</v>
      </c>
      <c r="EK76" s="72">
        <v>1</v>
      </c>
      <c r="EL76" s="72">
        <v>1</v>
      </c>
      <c r="EM76" s="72" t="b">
        <v>0</v>
      </c>
      <c r="EO76" t="s">
        <v>214</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214</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2702</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2708</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215</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321</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242</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215</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219</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219</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216</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3826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215</v>
      </c>
      <c r="CM77">
        <v>3</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5" t="str">
        <f ca="1">INDIRECT(ADDRESS(11+(MATCH(RIGHT(Table11[[#This Row],[spawner_sku]],LEN(Table11[[#This Row],[spawner_sku]])-FIND("/",Table11[[#This Row],[spawner_sku]])),Table28[Entity Prefab],0)),25,1,1,"Entities"))</f>
        <v>no</v>
      </c>
      <c r="CS77" s="72">
        <v>2</v>
      </c>
      <c r="CT77" s="72">
        <v>4</v>
      </c>
      <c r="CU77" s="72" t="b">
        <v>0</v>
      </c>
      <c r="CW77" t="s">
        <v>231</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221</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214</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148" t="s">
        <v>3825</v>
      </c>
      <c r="EE77" s="72">
        <v>1</v>
      </c>
      <c r="EF77" s="72">
        <v>240</v>
      </c>
      <c r="EG77" s="72">
        <v>50</v>
      </c>
      <c r="EH77" s="72">
        <f ca="1">INDIRECT(ADDRESS(11+(MATCH(RIGHT(Table36[[#This Row],[spawner_sku]],LEN(Table36[[#This Row],[spawner_sku]])-FIND("/",Table36[[#This Row],[spawner_sku]])),Table1[Entity Prefab],0)),10,1,1,"Entities"))</f>
        <v>10</v>
      </c>
      <c r="EI77" s="72">
        <f ca="1">ROUND((Table36[[#This Row],[XP]]*Table36[[#This Row],[entity_spawned (AVG)]])*(Table36[[#This Row],[activating_chance]]/100),0)</f>
        <v>5</v>
      </c>
      <c r="EJ77" s="72" t="str">
        <f ca="1">INDIRECT(ADDRESS(11+(MATCH(RIGHT(Table36[[#This Row],[spawner_sku]],LEN(Table36[[#This Row],[spawner_sku]])-FIND("/",Table36[[#This Row],[spawner_sku]])),Table28[Entity Prefab],0)),25,1,1,"Entities"))</f>
        <v>no</v>
      </c>
      <c r="EK77" s="72">
        <v>1</v>
      </c>
      <c r="EL77" s="72">
        <v>1</v>
      </c>
      <c r="EM77" s="72" t="b">
        <v>0</v>
      </c>
      <c r="EO77" t="s">
        <v>214</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214</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2702</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2708</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215</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223</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242</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215</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219</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220</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216</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3826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215</v>
      </c>
      <c r="CM78">
        <v>5.5</v>
      </c>
      <c r="CN78">
        <v>170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5" t="str">
        <f ca="1">INDIRECT(ADDRESS(11+(MATCH(RIGHT(Table11[[#This Row],[spawner_sku]],LEN(Table11[[#This Row],[spawner_sku]])-FIND("/",Table11[[#This Row],[spawner_sku]])),Table28[Entity Prefab],0)),25,1,1,"Entities"))</f>
        <v>no</v>
      </c>
      <c r="CS78" s="72">
        <v>5</v>
      </c>
      <c r="CT78" s="72">
        <v>6</v>
      </c>
      <c r="CU78" s="72" t="b">
        <v>1</v>
      </c>
      <c r="CW78" t="s">
        <v>231</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221</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214</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148" t="s">
        <v>3825</v>
      </c>
      <c r="EE78" s="72">
        <v>1</v>
      </c>
      <c r="EF78" s="72">
        <v>240</v>
      </c>
      <c r="EG78" s="72">
        <v>100</v>
      </c>
      <c r="EH78" s="72">
        <f ca="1">INDIRECT(ADDRESS(11+(MATCH(RIGHT(Table36[[#This Row],[spawner_sku]],LEN(Table36[[#This Row],[spawner_sku]])-FIND("/",Table36[[#This Row],[spawner_sku]])),Table1[Entity Prefab],0)),10,1,1,"Entities"))</f>
        <v>10</v>
      </c>
      <c r="EI78" s="72">
        <f ca="1">ROUND((Table36[[#This Row],[XP]]*Table36[[#This Row],[entity_spawned (AVG)]])*(Table36[[#This Row],[activating_chance]]/100),0)</f>
        <v>10</v>
      </c>
      <c r="EJ78" s="72" t="str">
        <f ca="1">INDIRECT(ADDRESS(11+(MATCH(RIGHT(Table36[[#This Row],[spawner_sku]],LEN(Table36[[#This Row],[spawner_sku]])-FIND("/",Table36[[#This Row],[spawner_sku]])),Table28[Entity Prefab],0)),25,1,1,"Entities"))</f>
        <v>no</v>
      </c>
      <c r="EK78" s="72">
        <v>1</v>
      </c>
      <c r="EL78" s="72">
        <v>1</v>
      </c>
      <c r="EM78" s="72" t="b">
        <v>0</v>
      </c>
      <c r="EO78" t="s">
        <v>214</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214</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2702</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2701</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215</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223</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242</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215</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220</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220</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216</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3827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215</v>
      </c>
      <c r="CM79">
        <v>1.5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5" t="str">
        <f ca="1">INDIRECT(ADDRESS(11+(MATCH(RIGHT(Table11[[#This Row],[spawner_sku]],LEN(Table11[[#This Row],[spawner_sku]])-FIND("/",Table11[[#This Row],[spawner_sku]])),Table28[Entity Prefab],0)),25,1,1,"Entities"))</f>
        <v>no</v>
      </c>
      <c r="CS79" s="72">
        <v>1</v>
      </c>
      <c r="CT79" s="72">
        <v>2</v>
      </c>
      <c r="CU79" s="72" t="b">
        <v>0</v>
      </c>
      <c r="CW79" t="s">
        <v>231</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221</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214</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148" t="s">
        <v>3825</v>
      </c>
      <c r="EE79" s="72">
        <v>1</v>
      </c>
      <c r="EF79" s="72">
        <v>240</v>
      </c>
      <c r="EG79" s="72">
        <v>100</v>
      </c>
      <c r="EH79" s="72">
        <f ca="1">INDIRECT(ADDRESS(11+(MATCH(RIGHT(Table36[[#This Row],[spawner_sku]],LEN(Table36[[#This Row],[spawner_sku]])-FIND("/",Table36[[#This Row],[spawner_sku]])),Table1[Entity Prefab],0)),10,1,1,"Entities"))</f>
        <v>10</v>
      </c>
      <c r="EI79" s="72">
        <f ca="1">ROUND((Table36[[#This Row],[XP]]*Table36[[#This Row],[entity_spawned (AVG)]])*(Table36[[#This Row],[activating_chance]]/100),0)</f>
        <v>10</v>
      </c>
      <c r="EJ79" s="72" t="str">
        <f ca="1">INDIRECT(ADDRESS(11+(MATCH(RIGHT(Table36[[#This Row],[spawner_sku]],LEN(Table36[[#This Row],[spawner_sku]])-FIND("/",Table36[[#This Row],[spawner_sku]])),Table28[Entity Prefab],0)),25,1,1,"Entities"))</f>
        <v>no</v>
      </c>
      <c r="EK79" s="72">
        <v>1</v>
      </c>
      <c r="EL79" s="72">
        <v>1</v>
      </c>
      <c r="EM79" s="72" t="b">
        <v>0</v>
      </c>
      <c r="EO79" t="s">
        <v>214</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214</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2702</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2701</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215</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223</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242</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215</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220</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217</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3827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215</v>
      </c>
      <c r="CM80">
        <v>3</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5" t="str">
        <f ca="1">INDIRECT(ADDRESS(11+(MATCH(RIGHT(Table11[[#This Row],[spawner_sku]],LEN(Table11[[#This Row],[spawner_sku]])-FIND("/",Table11[[#This Row],[spawner_sku]])),Table28[Entity Prefab],0)),25,1,1,"Entities"))</f>
        <v>no</v>
      </c>
      <c r="CS80" s="72">
        <v>2</v>
      </c>
      <c r="CT80" s="72">
        <v>4</v>
      </c>
      <c r="CU80" s="72" t="b">
        <v>0</v>
      </c>
      <c r="CW80" t="s">
        <v>231</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384</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214</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148" t="s">
        <v>3825</v>
      </c>
      <c r="EE80" s="72">
        <v>1</v>
      </c>
      <c r="EF80" s="72">
        <v>240</v>
      </c>
      <c r="EG80" s="72">
        <v>50</v>
      </c>
      <c r="EH80" s="72">
        <f ca="1">INDIRECT(ADDRESS(11+(MATCH(RIGHT(Table36[[#This Row],[spawner_sku]],LEN(Table36[[#This Row],[spawner_sku]])-FIND("/",Table36[[#This Row],[spawner_sku]])),Table1[Entity Prefab],0)),10,1,1,"Entities"))</f>
        <v>10</v>
      </c>
      <c r="EI80" s="72">
        <f ca="1">ROUND((Table36[[#This Row],[XP]]*Table36[[#This Row],[entity_spawned (AVG)]])*(Table36[[#This Row],[activating_chance]]/100),0)</f>
        <v>5</v>
      </c>
      <c r="EJ80" s="72" t="str">
        <f ca="1">INDIRECT(ADDRESS(11+(MATCH(RIGHT(Table36[[#This Row],[spawner_sku]],LEN(Table36[[#This Row],[spawner_sku]])-FIND("/",Table36[[#This Row],[spawner_sku]])),Table28[Entity Prefab],0)),25,1,1,"Entities"))</f>
        <v>no</v>
      </c>
      <c r="EK80" s="72">
        <v>1</v>
      </c>
      <c r="EL80" s="72">
        <v>1</v>
      </c>
      <c r="EM80" s="72" t="b">
        <v>0</v>
      </c>
      <c r="EO80" t="s">
        <v>214</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214</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2702</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2701</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215</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223</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242</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215</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220</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220</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217</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3827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215</v>
      </c>
      <c r="CM81">
        <v>3.5</v>
      </c>
      <c r="CN81">
        <v>190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26</v>
      </c>
      <c r="CR81" s="145" t="str">
        <f ca="1">INDIRECT(ADDRESS(11+(MATCH(RIGHT(Table11[[#This Row],[spawner_sku]],LEN(Table11[[#This Row],[spawner_sku]])-FIND("/",Table11[[#This Row],[spawner_sku]])),Table28[Entity Prefab],0)),25,1,1,"Entities"))</f>
        <v>no</v>
      </c>
      <c r="CS81" s="72">
        <v>3</v>
      </c>
      <c r="CT81" s="72">
        <v>4</v>
      </c>
      <c r="CU81" s="72" t="b">
        <v>0</v>
      </c>
      <c r="CW81" t="s">
        <v>371</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384</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214</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148" t="s">
        <v>3825</v>
      </c>
      <c r="EE81" s="72">
        <v>1</v>
      </c>
      <c r="EF81" s="72">
        <v>240</v>
      </c>
      <c r="EG81" s="72">
        <v>50</v>
      </c>
      <c r="EH81" s="72">
        <f ca="1">INDIRECT(ADDRESS(11+(MATCH(RIGHT(Table36[[#This Row],[spawner_sku]],LEN(Table36[[#This Row],[spawner_sku]])-FIND("/",Table36[[#This Row],[spawner_sku]])),Table1[Entity Prefab],0)),10,1,1,"Entities"))</f>
        <v>10</v>
      </c>
      <c r="EI81" s="72">
        <f ca="1">ROUND((Table36[[#This Row],[XP]]*Table36[[#This Row],[entity_spawned (AVG)]])*(Table36[[#This Row],[activating_chance]]/100),0)</f>
        <v>5</v>
      </c>
      <c r="EJ81" s="72" t="str">
        <f ca="1">INDIRECT(ADDRESS(11+(MATCH(RIGHT(Table36[[#This Row],[spawner_sku]],LEN(Table36[[#This Row],[spawner_sku]])-FIND("/",Table36[[#This Row],[spawner_sku]])),Table28[Entity Prefab],0)),25,1,1,"Entities"))</f>
        <v>no</v>
      </c>
      <c r="EK81" s="72">
        <v>1</v>
      </c>
      <c r="EL81" s="72">
        <v>1</v>
      </c>
      <c r="EM81" s="72" t="b">
        <v>0</v>
      </c>
      <c r="EO81" t="s">
        <v>214</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214</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2702</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2701</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215</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225</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242</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215</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220</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217</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3827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215</v>
      </c>
      <c r="CM82">
        <v>10</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5" t="str">
        <f ca="1">INDIRECT(ADDRESS(11+(MATCH(RIGHT(Table11[[#This Row],[spawner_sku]],LEN(Table11[[#This Row],[spawner_sku]])-FIND("/",Table11[[#This Row],[spawner_sku]])),Table28[Entity Prefab],0)),25,1,1,"Entities"))</f>
        <v>no</v>
      </c>
      <c r="CS82" s="72">
        <v>10</v>
      </c>
      <c r="CT82" s="72">
        <v>10</v>
      </c>
      <c r="CU82" s="72" t="b">
        <v>1</v>
      </c>
      <c r="CW82" t="s">
        <v>448</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384</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214</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148" t="s">
        <v>3825</v>
      </c>
      <c r="EE82" s="72">
        <v>1</v>
      </c>
      <c r="EF82" s="72">
        <v>240</v>
      </c>
      <c r="EG82" s="72">
        <v>100</v>
      </c>
      <c r="EH82" s="72">
        <f ca="1">INDIRECT(ADDRESS(11+(MATCH(RIGHT(Table36[[#This Row],[spawner_sku]],LEN(Table36[[#This Row],[spawner_sku]])-FIND("/",Table36[[#This Row],[spawner_sku]])),Table1[Entity Prefab],0)),10,1,1,"Entities"))</f>
        <v>10</v>
      </c>
      <c r="EI82" s="72">
        <f ca="1">ROUND((Table36[[#This Row],[XP]]*Table36[[#This Row],[entity_spawned (AVG)]])*(Table36[[#This Row],[activating_chance]]/100),0)</f>
        <v>10</v>
      </c>
      <c r="EJ82" s="72" t="str">
        <f ca="1">INDIRECT(ADDRESS(11+(MATCH(RIGHT(Table36[[#This Row],[spawner_sku]],LEN(Table36[[#This Row],[spawner_sku]])-FIND("/",Table36[[#This Row],[spawner_sku]])),Table28[Entity Prefab],0)),25,1,1,"Entities"))</f>
        <v>no</v>
      </c>
      <c r="EK82" s="72">
        <v>1</v>
      </c>
      <c r="EL82" s="72">
        <v>1</v>
      </c>
      <c r="EM82" s="72" t="b">
        <v>0</v>
      </c>
      <c r="EO82" t="s">
        <v>214</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214</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2702</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2701</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215</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227</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243</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215</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220</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321</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373</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3827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215</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2</v>
      </c>
      <c r="CT83" s="72">
        <v>3</v>
      </c>
      <c r="CU83" s="72" t="b">
        <v>0</v>
      </c>
      <c r="CW83" t="s">
        <v>448</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384</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214</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148" t="s">
        <v>3825</v>
      </c>
      <c r="EE83" s="72">
        <v>1</v>
      </c>
      <c r="EF83" s="72">
        <v>240</v>
      </c>
      <c r="EG83" s="72">
        <v>50</v>
      </c>
      <c r="EH83" s="72">
        <f ca="1">INDIRECT(ADDRESS(11+(MATCH(RIGHT(Table36[[#This Row],[spawner_sku]],LEN(Table36[[#This Row],[spawner_sku]])-FIND("/",Table36[[#This Row],[spawner_sku]])),Table1[Entity Prefab],0)),10,1,1,"Entities"))</f>
        <v>10</v>
      </c>
      <c r="EI83" s="72">
        <f ca="1">ROUND((Table36[[#This Row],[XP]]*Table36[[#This Row],[entity_spawned (AVG)]])*(Table36[[#This Row],[activating_chance]]/100),0)</f>
        <v>5</v>
      </c>
      <c r="EJ83" s="72" t="str">
        <f ca="1">INDIRECT(ADDRESS(11+(MATCH(RIGHT(Table36[[#This Row],[spawner_sku]],LEN(Table36[[#This Row],[spawner_sku]])-FIND("/",Table36[[#This Row],[spawner_sku]])),Table28[Entity Prefab],0)),25,1,1,"Entities"))</f>
        <v>no</v>
      </c>
      <c r="EK83" s="72">
        <v>1</v>
      </c>
      <c r="EL83" s="72">
        <v>1</v>
      </c>
      <c r="EM83" s="72" t="b">
        <v>0</v>
      </c>
      <c r="EO83" t="s">
        <v>214</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377</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2702</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2701</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215</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227</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243</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215</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221</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321</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377</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3827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215</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449</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384</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214</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148" t="s">
        <v>3825</v>
      </c>
      <c r="EE84" s="72">
        <v>1</v>
      </c>
      <c r="EF84" s="72">
        <v>240</v>
      </c>
      <c r="EG84" s="72">
        <v>100</v>
      </c>
      <c r="EH84" s="72">
        <f ca="1">INDIRECT(ADDRESS(11+(MATCH(RIGHT(Table36[[#This Row],[spawner_sku]],LEN(Table36[[#This Row],[spawner_sku]])-FIND("/",Table36[[#This Row],[spawner_sku]])),Table1[Entity Prefab],0)),10,1,1,"Entities"))</f>
        <v>10</v>
      </c>
      <c r="EI84" s="72">
        <f ca="1">ROUND((Table36[[#This Row],[XP]]*Table36[[#This Row],[entity_spawned (AVG)]])*(Table36[[#This Row],[activating_chance]]/100),0)</f>
        <v>10</v>
      </c>
      <c r="EJ84" s="72" t="str">
        <f ca="1">INDIRECT(ADDRESS(11+(MATCH(RIGHT(Table36[[#This Row],[spawner_sku]],LEN(Table36[[#This Row],[spawner_sku]])-FIND("/",Table36[[#This Row],[spawner_sku]])),Table28[Entity Prefab],0)),25,1,1,"Entities"))</f>
        <v>no</v>
      </c>
      <c r="EK84" s="72">
        <v>1</v>
      </c>
      <c r="EL84" s="72">
        <v>1</v>
      </c>
      <c r="EM84" s="72" t="b">
        <v>0</v>
      </c>
      <c r="EO84" t="s">
        <v>377</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377</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2702</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2705</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215</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227</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243</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215</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221</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321</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377</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3827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215</v>
      </c>
      <c r="CM85">
        <v>1.5</v>
      </c>
      <c r="CN85">
        <v>195</v>
      </c>
      <c r="CO85">
        <v>30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5" t="str">
        <f ca="1">INDIRECT(ADDRESS(11+(MATCH(RIGHT(Table11[[#This Row],[spawner_sku]],LEN(Table11[[#This Row],[spawner_sku]])-FIND("/",Table11[[#This Row],[spawner_sku]])),Table28[Entity Prefab],0)),25,1,1,"Entities"))</f>
        <v>no</v>
      </c>
      <c r="CS85" s="72">
        <v>1</v>
      </c>
      <c r="CT85" s="72">
        <v>2</v>
      </c>
      <c r="CU85" s="72" t="b">
        <v>0</v>
      </c>
      <c r="CW85" t="s">
        <v>450</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223</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214</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148" t="s">
        <v>3825</v>
      </c>
      <c r="EE85" s="72">
        <v>1</v>
      </c>
      <c r="EF85" s="72">
        <v>240</v>
      </c>
      <c r="EG85" s="72">
        <v>50</v>
      </c>
      <c r="EH85" s="72">
        <f ca="1">INDIRECT(ADDRESS(11+(MATCH(RIGHT(Table36[[#This Row],[spawner_sku]],LEN(Table36[[#This Row],[spawner_sku]])-FIND("/",Table36[[#This Row],[spawner_sku]])),Table1[Entity Prefab],0)),10,1,1,"Entities"))</f>
        <v>10</v>
      </c>
      <c r="EI85" s="72">
        <f ca="1">ROUND((Table36[[#This Row],[XP]]*Table36[[#This Row],[entity_spawned (AVG)]])*(Table36[[#This Row],[activating_chance]]/100),0)</f>
        <v>5</v>
      </c>
      <c r="EJ85" s="72" t="str">
        <f ca="1">INDIRECT(ADDRESS(11+(MATCH(RIGHT(Table36[[#This Row],[spawner_sku]],LEN(Table36[[#This Row],[spawner_sku]])-FIND("/",Table36[[#This Row],[spawner_sku]])),Table28[Entity Prefab],0)),25,1,1,"Entities"))</f>
        <v>no</v>
      </c>
      <c r="EK85" s="72">
        <v>1</v>
      </c>
      <c r="EL85" s="72">
        <v>1</v>
      </c>
      <c r="EM85" s="72" t="b">
        <v>0</v>
      </c>
      <c r="EO85" t="s">
        <v>377</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377</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2702</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2702</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215</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227</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243</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215</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221</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321</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377</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3827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215</v>
      </c>
      <c r="CM86">
        <v>3</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233</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223</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214</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148" t="s">
        <v>3825</v>
      </c>
      <c r="EE86" s="72">
        <v>1</v>
      </c>
      <c r="EF86" s="72">
        <v>240</v>
      </c>
      <c r="EG86" s="72">
        <v>100</v>
      </c>
      <c r="EH86" s="72">
        <f ca="1">INDIRECT(ADDRESS(11+(MATCH(RIGHT(Table36[[#This Row],[spawner_sku]],LEN(Table36[[#This Row],[spawner_sku]])-FIND("/",Table36[[#This Row],[spawner_sku]])),Table1[Entity Prefab],0)),10,1,1,"Entities"))</f>
        <v>10</v>
      </c>
      <c r="EI86" s="72">
        <f ca="1">ROUND((Table36[[#This Row],[XP]]*Table36[[#This Row],[entity_spawned (AVG)]])*(Table36[[#This Row],[activating_chance]]/100),0)</f>
        <v>10</v>
      </c>
      <c r="EJ86" s="72" t="str">
        <f ca="1">INDIRECT(ADDRESS(11+(MATCH(RIGHT(Table36[[#This Row],[spawner_sku]],LEN(Table36[[#This Row],[spawner_sku]])-FIND("/",Table36[[#This Row],[spawner_sku]])),Table28[Entity Prefab],0)),25,1,1,"Entities"))</f>
        <v>no</v>
      </c>
      <c r="EK86" s="72">
        <v>1</v>
      </c>
      <c r="EL86" s="72">
        <v>1</v>
      </c>
      <c r="EM86" s="72" t="b">
        <v>0</v>
      </c>
      <c r="EO86" t="s">
        <v>377</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377</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2702</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2702</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215</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228</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243</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215</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577</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321</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377</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3827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215</v>
      </c>
      <c r="CM87">
        <v>1</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5" t="str">
        <f ca="1">INDIRECT(ADDRESS(11+(MATCH(RIGHT(Table11[[#This Row],[spawner_sku]],LEN(Table11[[#This Row],[spawner_sku]])-FIND("/",Table11[[#This Row],[spawner_sku]])),Table28[Entity Prefab],0)),25,1,1,"Entities"))</f>
        <v>no</v>
      </c>
      <c r="CS87" s="72">
        <v>1</v>
      </c>
      <c r="CT87" s="72">
        <v>1</v>
      </c>
      <c r="CU87" s="72" t="b">
        <v>0</v>
      </c>
      <c r="CW87" t="s">
        <v>233</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223</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214</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148" t="s">
        <v>3825</v>
      </c>
      <c r="EE87" s="72">
        <v>1</v>
      </c>
      <c r="EF87" s="72">
        <v>240</v>
      </c>
      <c r="EG87" s="72">
        <v>100</v>
      </c>
      <c r="EH87" s="72">
        <f ca="1">INDIRECT(ADDRESS(11+(MATCH(RIGHT(Table36[[#This Row],[spawner_sku]],LEN(Table36[[#This Row],[spawner_sku]])-FIND("/",Table36[[#This Row],[spawner_sku]])),Table1[Entity Prefab],0)),10,1,1,"Entities"))</f>
        <v>10</v>
      </c>
      <c r="EI87" s="72">
        <f ca="1">ROUND((Table36[[#This Row],[XP]]*Table36[[#This Row],[entity_spawned (AVG)]])*(Table36[[#This Row],[activating_chance]]/100),0)</f>
        <v>10</v>
      </c>
      <c r="EJ87" s="72" t="str">
        <f ca="1">INDIRECT(ADDRESS(11+(MATCH(RIGHT(Table36[[#This Row],[spawner_sku]],LEN(Table36[[#This Row],[spawner_sku]])-FIND("/",Table36[[#This Row],[spawner_sku]])),Table28[Entity Prefab],0)),25,1,1,"Entities"))</f>
        <v>no</v>
      </c>
      <c r="EK87" s="72">
        <v>1</v>
      </c>
      <c r="EL87" s="72">
        <v>1</v>
      </c>
      <c r="EM87" s="72" t="b">
        <v>0</v>
      </c>
      <c r="EO87" t="s">
        <v>377</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377</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2702</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2702</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215</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230</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243</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215</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577</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321</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377</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3827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215</v>
      </c>
      <c r="CM88">
        <v>1.5</v>
      </c>
      <c r="CN88">
        <v>165</v>
      </c>
      <c r="CO88">
        <v>10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5" t="str">
        <f ca="1">INDIRECT(ADDRESS(11+(MATCH(RIGHT(Table11[[#This Row],[spawner_sku]],LEN(Table11[[#This Row],[spawner_sku]])-FIND("/",Table11[[#This Row],[spawner_sku]])),Table28[Entity Prefab],0)),25,1,1,"Entities"))</f>
        <v>no</v>
      </c>
      <c r="CS88" s="72">
        <v>1</v>
      </c>
      <c r="CT88" s="72">
        <v>2</v>
      </c>
      <c r="CU88" s="72" t="b">
        <v>0</v>
      </c>
      <c r="CW88" t="s">
        <v>233</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226</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214</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148" t="s">
        <v>3825</v>
      </c>
      <c r="EE88" s="72">
        <v>1</v>
      </c>
      <c r="EF88" s="72">
        <v>240</v>
      </c>
      <c r="EG88" s="72">
        <v>100</v>
      </c>
      <c r="EH88" s="72">
        <f ca="1">INDIRECT(ADDRESS(11+(MATCH(RIGHT(Table36[[#This Row],[spawner_sku]],LEN(Table36[[#This Row],[spawner_sku]])-FIND("/",Table36[[#This Row],[spawner_sku]])),Table1[Entity Prefab],0)),10,1,1,"Entities"))</f>
        <v>10</v>
      </c>
      <c r="EI88" s="72">
        <f ca="1">ROUND((Table36[[#This Row],[XP]]*Table36[[#This Row],[entity_spawned (AVG)]])*(Table36[[#This Row],[activating_chance]]/100),0)</f>
        <v>10</v>
      </c>
      <c r="EJ88" s="72" t="str">
        <f ca="1">INDIRECT(ADDRESS(11+(MATCH(RIGHT(Table36[[#This Row],[spawner_sku]],LEN(Table36[[#This Row],[spawner_sku]])-FIND("/",Table36[[#This Row],[spawner_sku]])),Table28[Entity Prefab],0)),25,1,1,"Entities"))</f>
        <v>no</v>
      </c>
      <c r="EK88" s="72">
        <v>1</v>
      </c>
      <c r="EL88" s="72">
        <v>1</v>
      </c>
      <c r="EM88" s="72" t="b">
        <v>0</v>
      </c>
      <c r="EO88" t="s">
        <v>377</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377</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2702</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2702</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215</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230</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243</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215</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577</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321</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377</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3827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215</v>
      </c>
      <c r="CM89">
        <v>13</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5" t="str">
        <f ca="1">INDIRECT(ADDRESS(11+(MATCH(RIGHT(Table11[[#This Row],[spawner_sku]],LEN(Table11[[#This Row],[spawner_sku]])-FIND("/",Table11[[#This Row],[spawner_sku]])),Table28[Entity Prefab],0)),25,1,1,"Entities"))</f>
        <v>no</v>
      </c>
      <c r="CS89" s="72">
        <v>12</v>
      </c>
      <c r="CT89" s="72">
        <v>14</v>
      </c>
      <c r="CU89" s="72" t="b">
        <v>1</v>
      </c>
      <c r="CW89" t="s">
        <v>233</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229</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214</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148" t="s">
        <v>3825</v>
      </c>
      <c r="EE89" s="72">
        <v>1</v>
      </c>
      <c r="EF89" s="72">
        <v>240</v>
      </c>
      <c r="EG89" s="72">
        <v>100</v>
      </c>
      <c r="EH89" s="72">
        <f ca="1">INDIRECT(ADDRESS(11+(MATCH(RIGHT(Table36[[#This Row],[spawner_sku]],LEN(Table36[[#This Row],[spawner_sku]])-FIND("/",Table36[[#This Row],[spawner_sku]])),Table1[Entity Prefab],0)),10,1,1,"Entities"))</f>
        <v>10</v>
      </c>
      <c r="EI89" s="72">
        <f ca="1">ROUND((Table36[[#This Row],[XP]]*Table36[[#This Row],[entity_spawned (AVG)]])*(Table36[[#This Row],[activating_chance]]/100),0)</f>
        <v>10</v>
      </c>
      <c r="EJ89" s="72" t="str">
        <f ca="1">INDIRECT(ADDRESS(11+(MATCH(RIGHT(Table36[[#This Row],[spawner_sku]],LEN(Table36[[#This Row],[spawner_sku]])-FIND("/",Table36[[#This Row],[spawner_sku]])),Table28[Entity Prefab],0)),25,1,1,"Entities"))</f>
        <v>no</v>
      </c>
      <c r="EK89" s="72">
        <v>1</v>
      </c>
      <c r="EL89" s="72">
        <v>1</v>
      </c>
      <c r="EM89" s="72" t="b">
        <v>0</v>
      </c>
      <c r="EO89" t="s">
        <v>377</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377</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2702</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2702</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215</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230</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243</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215</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371</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321</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377</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3827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215</v>
      </c>
      <c r="CM90">
        <v>2.5</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5" t="str">
        <f ca="1">INDIRECT(ADDRESS(11+(MATCH(RIGHT(Table11[[#This Row],[spawner_sku]],LEN(Table11[[#This Row],[spawner_sku]])-FIND("/",Table11[[#This Row],[spawner_sku]])),Table28[Entity Prefab],0)),25,1,1,"Entities"))</f>
        <v>no</v>
      </c>
      <c r="CS90" s="72">
        <v>2</v>
      </c>
      <c r="CT90" s="72">
        <v>3</v>
      </c>
      <c r="CU90" s="72" t="b">
        <v>0</v>
      </c>
      <c r="CW90" t="s">
        <v>233</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229</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214</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148" t="s">
        <v>3823</v>
      </c>
      <c r="EE90" s="72">
        <v>1</v>
      </c>
      <c r="EF90" s="72">
        <v>240</v>
      </c>
      <c r="EG90" s="72">
        <v>100</v>
      </c>
      <c r="EH90" s="72">
        <f ca="1">INDIRECT(ADDRESS(11+(MATCH(RIGHT(Table36[[#This Row],[spawner_sku]],LEN(Table36[[#This Row],[spawner_sku]])-FIND("/",Table36[[#This Row],[spawner_sku]])),Table1[Entity Prefab],0)),10,1,1,"Entities"))</f>
        <v>50</v>
      </c>
      <c r="EI90" s="72">
        <f ca="1">ROUND((Table36[[#This Row],[XP]]*Table36[[#This Row],[entity_spawned (AVG)]])*(Table36[[#This Row],[activating_chance]]/100),0)</f>
        <v>50</v>
      </c>
      <c r="EJ90" s="72" t="str">
        <f ca="1">INDIRECT(ADDRESS(11+(MATCH(RIGHT(Table36[[#This Row],[spawner_sku]],LEN(Table36[[#This Row],[spawner_sku]])-FIND("/",Table36[[#This Row],[spawner_sku]])),Table28[Entity Prefab],0)),25,1,1,"Entities"))</f>
        <v>no</v>
      </c>
      <c r="EK90" s="72">
        <v>1</v>
      </c>
      <c r="EL90" s="72">
        <v>1</v>
      </c>
      <c r="EM90" s="72" t="b">
        <v>0</v>
      </c>
      <c r="EO90" t="s">
        <v>377</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377</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2702</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2702</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215</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230</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243</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215</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371</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321</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377</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3829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215</v>
      </c>
      <c r="CM91">
        <v>9</v>
      </c>
      <c r="CN91">
        <v>190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5" t="str">
        <f ca="1">INDIRECT(ADDRESS(11+(MATCH(RIGHT(Table11[[#This Row],[spawner_sku]],LEN(Table11[[#This Row],[spawner_sku]])-FIND("/",Table11[[#This Row],[spawner_sku]])),Table28[Entity Prefab],0)),25,1,1,"Entities"))</f>
        <v>no</v>
      </c>
      <c r="CS91" s="72">
        <v>8</v>
      </c>
      <c r="CT91" s="72">
        <v>10</v>
      </c>
      <c r="CU91" s="72" t="b">
        <v>1</v>
      </c>
      <c r="CW91" t="s">
        <v>233</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229</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214</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148" t="s">
        <v>3823</v>
      </c>
      <c r="EE91" s="72">
        <v>1</v>
      </c>
      <c r="EF91" s="72">
        <v>240</v>
      </c>
      <c r="EG91" s="72">
        <v>100</v>
      </c>
      <c r="EH91" s="72">
        <f ca="1">INDIRECT(ADDRESS(11+(MATCH(RIGHT(Table36[[#This Row],[spawner_sku]],LEN(Table36[[#This Row],[spawner_sku]])-FIND("/",Table36[[#This Row],[spawner_sku]])),Table1[Entity Prefab],0)),10,1,1,"Entities"))</f>
        <v>50</v>
      </c>
      <c r="EI91" s="72">
        <f ca="1">ROUND((Table36[[#This Row],[XP]]*Table36[[#This Row],[entity_spawned (AVG)]])*(Table36[[#This Row],[activating_chance]]/100),0)</f>
        <v>50</v>
      </c>
      <c r="EJ91" s="72" t="str">
        <f ca="1">INDIRECT(ADDRESS(11+(MATCH(RIGHT(Table36[[#This Row],[spawner_sku]],LEN(Table36[[#This Row],[spawner_sku]])-FIND("/",Table36[[#This Row],[spawner_sku]])),Table28[Entity Prefab],0)),25,1,1,"Entities"))</f>
        <v>no</v>
      </c>
      <c r="EK91" s="72">
        <v>1</v>
      </c>
      <c r="EL91" s="72">
        <v>1</v>
      </c>
      <c r="EM91" s="72" t="b">
        <v>0</v>
      </c>
      <c r="EO91" t="s">
        <v>377</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218</v>
      </c>
      <c r="FA91">
        <v>1</v>
      </c>
      <c r="FB91">
        <v>5000</v>
      </c>
      <c r="FC91">
        <v>75</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56</v>
      </c>
      <c r="FF91" s="75" t="str">
        <f ca="1">INDIRECT(ADDRESS(11+(MATCH(RIGHT(Table1820[[#This Row],[spawner_sku]],LEN(Table1820[[#This Row],[spawner_sku]])-FIND("/",Table1820[[#This Row],[spawner_sku]])),Table28[Entity Prefab],0)),26,1,1,"Entities"))</f>
        <v>no</v>
      </c>
      <c r="FG91">
        <v>1</v>
      </c>
      <c r="FH91">
        <v>1</v>
      </c>
      <c r="FI91" t="b">
        <v>0</v>
      </c>
      <c r="FK91" t="s">
        <v>2702</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2702</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215</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230</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3819</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215</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371</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321</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377</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3829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215</v>
      </c>
      <c r="CM92">
        <v>3.5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88</v>
      </c>
      <c r="CR92" s="145" t="str">
        <f ca="1">INDIRECT(ADDRESS(11+(MATCH(RIGHT(Table11[[#This Row],[spawner_sku]],LEN(Table11[[#This Row],[spawner_sku]])-FIND("/",Table11[[#This Row],[spawner_sku]])),Table28[Entity Prefab],0)),25,1,1,"Entities"))</f>
        <v>no</v>
      </c>
      <c r="CS92" s="72">
        <v>3</v>
      </c>
      <c r="CT92" s="72">
        <v>4</v>
      </c>
      <c r="CU92" s="72" t="b">
        <v>0</v>
      </c>
      <c r="CW92" t="s">
        <v>233</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229</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214</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148" t="s">
        <v>3823</v>
      </c>
      <c r="EE92" s="72">
        <v>1</v>
      </c>
      <c r="EF92" s="72">
        <v>240</v>
      </c>
      <c r="EG92" s="72">
        <v>100</v>
      </c>
      <c r="EH92" s="72">
        <f ca="1">INDIRECT(ADDRESS(11+(MATCH(RIGHT(Table36[[#This Row],[spawner_sku]],LEN(Table36[[#This Row],[spawner_sku]])-FIND("/",Table36[[#This Row],[spawner_sku]])),Table1[Entity Prefab],0)),10,1,1,"Entities"))</f>
        <v>50</v>
      </c>
      <c r="EI92" s="72">
        <f ca="1">ROUND((Table36[[#This Row],[XP]]*Table36[[#This Row],[entity_spawned (AVG)]])*(Table36[[#This Row],[activating_chance]]/100),0)</f>
        <v>50</v>
      </c>
      <c r="EJ92" s="72" t="str">
        <f ca="1">INDIRECT(ADDRESS(11+(MATCH(RIGHT(Table36[[#This Row],[spawner_sku]],LEN(Table36[[#This Row],[spawner_sku]])-FIND("/",Table36[[#This Row],[spawner_sku]])),Table28[Entity Prefab],0)),25,1,1,"Entities"))</f>
        <v>no</v>
      </c>
      <c r="EK92" s="72">
        <v>1</v>
      </c>
      <c r="EL92" s="72">
        <v>1</v>
      </c>
      <c r="EM92" s="72" t="b">
        <v>0</v>
      </c>
      <c r="EO92" t="s">
        <v>377</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218</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2702</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2702</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215</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230</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215</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424</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223</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377</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3829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215</v>
      </c>
      <c r="CM93">
        <v>2.5</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5" t="str">
        <f ca="1">INDIRECT(ADDRESS(11+(MATCH(RIGHT(Table11[[#This Row],[spawner_sku]],LEN(Table11[[#This Row],[spawner_sku]])-FIND("/",Table11[[#This Row],[spawner_sku]])),Table28[Entity Prefab],0)),25,1,1,"Entities"))</f>
        <v>no</v>
      </c>
      <c r="CS93" s="72">
        <v>1</v>
      </c>
      <c r="CT93" s="72">
        <v>4</v>
      </c>
      <c r="CU93" s="72" t="b">
        <v>0</v>
      </c>
      <c r="CW93" t="s">
        <v>5017</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229</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214</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148" t="s">
        <v>3823</v>
      </c>
      <c r="EE93" s="72">
        <v>1</v>
      </c>
      <c r="EF93" s="72">
        <v>240</v>
      </c>
      <c r="EG93" s="72">
        <v>100</v>
      </c>
      <c r="EH93" s="72">
        <f ca="1">INDIRECT(ADDRESS(11+(MATCH(RIGHT(Table36[[#This Row],[spawner_sku]],LEN(Table36[[#This Row],[spawner_sku]])-FIND("/",Table36[[#This Row],[spawner_sku]])),Table1[Entity Prefab],0)),10,1,1,"Entities"))</f>
        <v>50</v>
      </c>
      <c r="EI93" s="72">
        <f ca="1">ROUND((Table36[[#This Row],[XP]]*Table36[[#This Row],[entity_spawned (AVG)]])*(Table36[[#This Row],[activating_chance]]/100),0)</f>
        <v>50</v>
      </c>
      <c r="EJ93" s="72" t="str">
        <f ca="1">INDIRECT(ADDRESS(11+(MATCH(RIGHT(Table36[[#This Row],[spawner_sku]],LEN(Table36[[#This Row],[spawner_sku]])-FIND("/",Table36[[#This Row],[spawner_sku]])),Table28[Entity Prefab],0)),25,1,1,"Entities"))</f>
        <v>no</v>
      </c>
      <c r="EK93" s="72">
        <v>1</v>
      </c>
      <c r="EL93" s="72">
        <v>1</v>
      </c>
      <c r="EM93" s="72" t="b">
        <v>0</v>
      </c>
      <c r="EO93" t="s">
        <v>377</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218</v>
      </c>
      <c r="FA93">
        <v>1</v>
      </c>
      <c r="FB93">
        <v>5000</v>
      </c>
      <c r="FC93">
        <v>75</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56</v>
      </c>
      <c r="FF93" s="75" t="str">
        <f ca="1">INDIRECT(ADDRESS(11+(MATCH(RIGHT(Table1820[[#This Row],[spawner_sku]],LEN(Table1820[[#This Row],[spawner_sku]])-FIND("/",Table1820[[#This Row],[spawner_sku]])),Table28[Entity Prefab],0)),26,1,1,"Entities"))</f>
        <v>no</v>
      </c>
      <c r="FG93">
        <v>1</v>
      </c>
      <c r="FH93">
        <v>1</v>
      </c>
      <c r="FI93" t="b">
        <v>0</v>
      </c>
      <c r="FK93" t="s">
        <v>2702</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2702</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215</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230</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215</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424</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223</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377</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3828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215</v>
      </c>
      <c r="CM94">
        <v>3</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5" t="str">
        <f ca="1">INDIRECT(ADDRESS(11+(MATCH(RIGHT(Table11[[#This Row],[spawner_sku]],LEN(Table11[[#This Row],[spawner_sku]])-FIND("/",Table11[[#This Row],[spawner_sku]])),Table28[Entity Prefab],0)),25,1,1,"Entities"))</f>
        <v>no</v>
      </c>
      <c r="CS94" s="72">
        <v>3</v>
      </c>
      <c r="CT94" s="72">
        <v>3</v>
      </c>
      <c r="CU94" s="72" t="b">
        <v>0</v>
      </c>
      <c r="CW94" t="s">
        <v>467</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229</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214</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148" t="s">
        <v>3823</v>
      </c>
      <c r="EE94" s="72">
        <v>1</v>
      </c>
      <c r="EF94" s="72">
        <v>240</v>
      </c>
      <c r="EG94" s="72">
        <v>100</v>
      </c>
      <c r="EH94" s="72">
        <f ca="1">INDIRECT(ADDRESS(11+(MATCH(RIGHT(Table36[[#This Row],[spawner_sku]],LEN(Table36[[#This Row],[spawner_sku]])-FIND("/",Table36[[#This Row],[spawner_sku]])),Table1[Entity Prefab],0)),10,1,1,"Entities"))</f>
        <v>50</v>
      </c>
      <c r="EI94" s="72">
        <f ca="1">ROUND((Table36[[#This Row],[XP]]*Table36[[#This Row],[entity_spawned (AVG)]])*(Table36[[#This Row],[activating_chance]]/100),0)</f>
        <v>50</v>
      </c>
      <c r="EJ94" s="72" t="str">
        <f ca="1">INDIRECT(ADDRESS(11+(MATCH(RIGHT(Table36[[#This Row],[spawner_sku]],LEN(Table36[[#This Row],[spawner_sku]])-FIND("/",Table36[[#This Row],[spawner_sku]])),Table28[Entity Prefab],0)),25,1,1,"Entities"))</f>
        <v>no</v>
      </c>
      <c r="EK94" s="72">
        <v>1</v>
      </c>
      <c r="EL94" s="72">
        <v>1</v>
      </c>
      <c r="EM94" s="72" t="b">
        <v>0</v>
      </c>
      <c r="EO94" t="s">
        <v>377</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218</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2702</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2702</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215</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230</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215</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424</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223</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377</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3828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215</v>
      </c>
      <c r="CM95">
        <v>1.5</v>
      </c>
      <c r="CN95">
        <v>170</v>
      </c>
      <c r="CO95">
        <v>30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5" t="str">
        <f ca="1">INDIRECT(ADDRESS(11+(MATCH(RIGHT(Table11[[#This Row],[spawner_sku]],LEN(Table11[[#This Row],[spawner_sku]])-FIND("/",Table11[[#This Row],[spawner_sku]])),Table28[Entity Prefab],0)),25,1,1,"Entities"))</f>
        <v>no</v>
      </c>
      <c r="CS95" s="72">
        <v>1</v>
      </c>
      <c r="CT95" s="72">
        <v>2</v>
      </c>
      <c r="CU95" s="72" t="b">
        <v>0</v>
      </c>
      <c r="CW95" t="s">
        <v>468</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229</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214</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148" t="s">
        <v>3823</v>
      </c>
      <c r="EE95" s="72">
        <v>1</v>
      </c>
      <c r="EF95" s="72">
        <v>240</v>
      </c>
      <c r="EG95" s="72">
        <v>50</v>
      </c>
      <c r="EH95" s="72">
        <f ca="1">INDIRECT(ADDRESS(11+(MATCH(RIGHT(Table36[[#This Row],[spawner_sku]],LEN(Table36[[#This Row],[spawner_sku]])-FIND("/",Table36[[#This Row],[spawner_sku]])),Table1[Entity Prefab],0)),10,1,1,"Entities"))</f>
        <v>50</v>
      </c>
      <c r="EI95" s="72">
        <f ca="1">ROUND((Table36[[#This Row],[XP]]*Table36[[#This Row],[entity_spawned (AVG)]])*(Table36[[#This Row],[activating_chance]]/100),0)</f>
        <v>25</v>
      </c>
      <c r="EJ95" s="72" t="str">
        <f ca="1">INDIRECT(ADDRESS(11+(MATCH(RIGHT(Table36[[#This Row],[spawner_sku]],LEN(Table36[[#This Row],[spawner_sku]])-FIND("/",Table36[[#This Row],[spawner_sku]])),Table28[Entity Prefab],0)),25,1,1,"Entities"))</f>
        <v>no</v>
      </c>
      <c r="EK95" s="72">
        <v>1</v>
      </c>
      <c r="EL95" s="72">
        <v>1</v>
      </c>
      <c r="EM95" s="72" t="b">
        <v>0</v>
      </c>
      <c r="EO95" t="s">
        <v>377</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219</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2702</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2702</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215</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230</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215</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424</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223</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377</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3828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215</v>
      </c>
      <c r="CM96">
        <v>2.5</v>
      </c>
      <c r="CN96">
        <v>180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5" t="str">
        <f ca="1">INDIRECT(ADDRESS(11+(MATCH(RIGHT(Table11[[#This Row],[spawner_sku]],LEN(Table11[[#This Row],[spawner_sku]])-FIND("/",Table11[[#This Row],[spawner_sku]])),Table28[Entity Prefab],0)),25,1,1,"Entities"))</f>
        <v>no</v>
      </c>
      <c r="CS96" s="72">
        <v>2</v>
      </c>
      <c r="CT96" s="72">
        <v>3</v>
      </c>
      <c r="CU96" s="72" t="b">
        <v>0</v>
      </c>
      <c r="CW96" t="s">
        <v>431</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230</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214</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148" t="s">
        <v>3823</v>
      </c>
      <c r="EE96" s="72">
        <v>1</v>
      </c>
      <c r="EF96" s="72">
        <v>240</v>
      </c>
      <c r="EG96" s="72">
        <v>100</v>
      </c>
      <c r="EH96" s="72">
        <f ca="1">INDIRECT(ADDRESS(11+(MATCH(RIGHT(Table36[[#This Row],[spawner_sku]],LEN(Table36[[#This Row],[spawner_sku]])-FIND("/",Table36[[#This Row],[spawner_sku]])),Table1[Entity Prefab],0)),10,1,1,"Entities"))</f>
        <v>50</v>
      </c>
      <c r="EI96" s="72">
        <f ca="1">ROUND((Table36[[#This Row],[XP]]*Table36[[#This Row],[entity_spawned (AVG)]])*(Table36[[#This Row],[activating_chance]]/100),0)</f>
        <v>50</v>
      </c>
      <c r="EJ96" s="72" t="str">
        <f ca="1">INDIRECT(ADDRESS(11+(MATCH(RIGHT(Table36[[#This Row],[spawner_sku]],LEN(Table36[[#This Row],[spawner_sku]])-FIND("/",Table36[[#This Row],[spawner_sku]])),Table28[Entity Prefab],0)),25,1,1,"Entities"))</f>
        <v>no</v>
      </c>
      <c r="EK96" s="72">
        <v>1</v>
      </c>
      <c r="EL96" s="72">
        <v>1</v>
      </c>
      <c r="EM96" s="72" t="b">
        <v>0</v>
      </c>
      <c r="EO96" t="s">
        <v>377</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219</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2702</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2702</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215</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230</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215</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233</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223</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377</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3828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215</v>
      </c>
      <c r="CM97">
        <v>3</v>
      </c>
      <c r="CN97">
        <v>180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5" t="str">
        <f ca="1">INDIRECT(ADDRESS(11+(MATCH(RIGHT(Table11[[#This Row],[spawner_sku]],LEN(Table11[[#This Row],[spawner_sku]])-FIND("/",Table11[[#This Row],[spawner_sku]])),Table28[Entity Prefab],0)),25,1,1,"Entities"))</f>
        <v>no</v>
      </c>
      <c r="CS97" s="72">
        <v>2</v>
      </c>
      <c r="CT97" s="72">
        <v>4</v>
      </c>
      <c r="CU97" s="72" t="b">
        <v>0</v>
      </c>
      <c r="CW97" t="s">
        <v>431</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230</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214</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148" t="s">
        <v>3823</v>
      </c>
      <c r="EE97" s="72">
        <v>1</v>
      </c>
      <c r="EF97" s="72">
        <v>240</v>
      </c>
      <c r="EG97" s="72">
        <v>100</v>
      </c>
      <c r="EH97" s="72">
        <f ca="1">INDIRECT(ADDRESS(11+(MATCH(RIGHT(Table36[[#This Row],[spawner_sku]],LEN(Table36[[#This Row],[spawner_sku]])-FIND("/",Table36[[#This Row],[spawner_sku]])),Table1[Entity Prefab],0)),10,1,1,"Entities"))</f>
        <v>50</v>
      </c>
      <c r="EI97" s="72">
        <f ca="1">ROUND((Table36[[#This Row],[XP]]*Table36[[#This Row],[entity_spawned (AVG)]])*(Table36[[#This Row],[activating_chance]]/100),0)</f>
        <v>50</v>
      </c>
      <c r="EJ97" s="72" t="str">
        <f ca="1">INDIRECT(ADDRESS(11+(MATCH(RIGHT(Table36[[#This Row],[spawner_sku]],LEN(Table36[[#This Row],[spawner_sku]])-FIND("/",Table36[[#This Row],[spawner_sku]])),Table28[Entity Prefab],0)),25,1,1,"Entities"))</f>
        <v>no</v>
      </c>
      <c r="EK97" s="72">
        <v>1</v>
      </c>
      <c r="EL97" s="72">
        <v>1</v>
      </c>
      <c r="EM97" s="72" t="b">
        <v>0</v>
      </c>
      <c r="EO97" t="s">
        <v>377</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219</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2702</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2702</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215</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230</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215</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5017</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224</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377</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3828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215</v>
      </c>
      <c r="CM98">
        <v>3</v>
      </c>
      <c r="CN98">
        <v>180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5" t="str">
        <f ca="1">INDIRECT(ADDRESS(11+(MATCH(RIGHT(Table11[[#This Row],[spawner_sku]],LEN(Table11[[#This Row],[spawner_sku]])-FIND("/",Table11[[#This Row],[spawner_sku]])),Table28[Entity Prefab],0)),25,1,1,"Entities"))</f>
        <v>no</v>
      </c>
      <c r="CS98" s="72">
        <v>2</v>
      </c>
      <c r="CT98" s="72">
        <v>4</v>
      </c>
      <c r="CU98" s="72" t="b">
        <v>0</v>
      </c>
      <c r="CW98" t="s">
        <v>504</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230</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214</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148" t="s">
        <v>3823</v>
      </c>
      <c r="EE98" s="72">
        <v>1</v>
      </c>
      <c r="EF98" s="72">
        <v>240</v>
      </c>
      <c r="EG98" s="72">
        <v>100</v>
      </c>
      <c r="EH98" s="72">
        <f ca="1">INDIRECT(ADDRESS(11+(MATCH(RIGHT(Table36[[#This Row],[spawner_sku]],LEN(Table36[[#This Row],[spawner_sku]])-FIND("/",Table36[[#This Row],[spawner_sku]])),Table1[Entity Prefab],0)),10,1,1,"Entities"))</f>
        <v>50</v>
      </c>
      <c r="EI98" s="72">
        <f ca="1">ROUND((Table36[[#This Row],[XP]]*Table36[[#This Row],[entity_spawned (AVG)]])*(Table36[[#This Row],[activating_chance]]/100),0)</f>
        <v>50</v>
      </c>
      <c r="EJ98" s="72" t="str">
        <f ca="1">INDIRECT(ADDRESS(11+(MATCH(RIGHT(Table36[[#This Row],[spawner_sku]],LEN(Table36[[#This Row],[spawner_sku]])-FIND("/",Table36[[#This Row],[spawner_sku]])),Table28[Entity Prefab],0)),25,1,1,"Entities"))</f>
        <v>no</v>
      </c>
      <c r="EK98" s="72">
        <v>1</v>
      </c>
      <c r="EL98" s="72">
        <v>1</v>
      </c>
      <c r="EM98" s="72" t="b">
        <v>0</v>
      </c>
      <c r="EO98" t="s">
        <v>377</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219</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2702</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2700</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215</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231</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215</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5017</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225</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377</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3828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215</v>
      </c>
      <c r="CM99">
        <v>3</v>
      </c>
      <c r="CN99">
        <v>180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5" t="str">
        <f ca="1">INDIRECT(ADDRESS(11+(MATCH(RIGHT(Table11[[#This Row],[spawner_sku]],LEN(Table11[[#This Row],[spawner_sku]])-FIND("/",Table11[[#This Row],[spawner_sku]])),Table28[Entity Prefab],0)),25,1,1,"Entities"))</f>
        <v>no</v>
      </c>
      <c r="CS99" s="72">
        <v>2</v>
      </c>
      <c r="CT99" s="72">
        <v>4</v>
      </c>
      <c r="CU99" s="72" t="b">
        <v>0</v>
      </c>
      <c r="CW99" t="s">
        <v>504</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230</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214</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148" t="s">
        <v>3823</v>
      </c>
      <c r="EE99" s="72">
        <v>1</v>
      </c>
      <c r="EF99" s="72">
        <v>240</v>
      </c>
      <c r="EG99" s="72">
        <v>100</v>
      </c>
      <c r="EH99" s="72">
        <f ca="1">INDIRECT(ADDRESS(11+(MATCH(RIGHT(Table36[[#This Row],[spawner_sku]],LEN(Table36[[#This Row],[spawner_sku]])-FIND("/",Table36[[#This Row],[spawner_sku]])),Table1[Entity Prefab],0)),10,1,1,"Entities"))</f>
        <v>50</v>
      </c>
      <c r="EI99" s="72">
        <f ca="1">ROUND((Table36[[#This Row],[XP]]*Table36[[#This Row],[entity_spawned (AVG)]])*(Table36[[#This Row],[activating_chance]]/100),0)</f>
        <v>50</v>
      </c>
      <c r="EJ99" s="72" t="str">
        <f ca="1">INDIRECT(ADDRESS(11+(MATCH(RIGHT(Table36[[#This Row],[spawner_sku]],LEN(Table36[[#This Row],[spawner_sku]])-FIND("/",Table36[[#This Row],[spawner_sku]])),Table28[Entity Prefab],0)),25,1,1,"Entities"))</f>
        <v>no</v>
      </c>
      <c r="EK99" s="72">
        <v>1</v>
      </c>
      <c r="EL99" s="72">
        <v>1</v>
      </c>
      <c r="EM99" s="72" t="b">
        <v>0</v>
      </c>
      <c r="EO99" t="s">
        <v>377</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320</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2702</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2700</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215</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231</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215</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468</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226</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377</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3828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215</v>
      </c>
      <c r="CM100">
        <v>3.5</v>
      </c>
      <c r="CN100">
        <v>180</v>
      </c>
      <c r="CO100">
        <v>80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5" t="str">
        <f ca="1">INDIRECT(ADDRESS(11+(MATCH(RIGHT(Table11[[#This Row],[spawner_sku]],LEN(Table11[[#This Row],[spawner_sku]])-FIND("/",Table11[[#This Row],[spawner_sku]])),Table28[Entity Prefab],0)),25,1,1,"Entities"))</f>
        <v>no</v>
      </c>
      <c r="CS100" s="72">
        <v>3</v>
      </c>
      <c r="CT100" s="72">
        <v>4</v>
      </c>
      <c r="CU100" s="72" t="b">
        <v>0</v>
      </c>
      <c r="CW100" t="s">
        <v>378</v>
      </c>
      <c r="CX100">
        <v>1</v>
      </c>
      <c r="CY100">
        <v>120</v>
      </c>
      <c r="CZ100">
        <v>80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20</v>
      </c>
      <c r="DC100" s="145" t="str">
        <f ca="1">INDIRECT(ADDRESS(11+(MATCH(RIGHT(Table12[[#This Row],[spawner_sku]],LEN(Table12[[#This Row],[spawner_sku]])-FIND("/",Table12[[#This Row],[spawner_sku]])),Table28[Entity Prefab],0)),25,1,1,"Entities"))</f>
        <v>no</v>
      </c>
      <c r="DD100" s="72">
        <v>1</v>
      </c>
      <c r="DE100" s="72">
        <v>1</v>
      </c>
      <c r="DF100" s="72" t="b">
        <v>0</v>
      </c>
      <c r="DH100" t="s">
        <v>230</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214</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148" t="s">
        <v>3823</v>
      </c>
      <c r="EE100" s="72">
        <v>1</v>
      </c>
      <c r="EF100" s="72">
        <v>240</v>
      </c>
      <c r="EG100" s="72">
        <v>100</v>
      </c>
      <c r="EH100" s="72">
        <f ca="1">INDIRECT(ADDRESS(11+(MATCH(RIGHT(Table36[[#This Row],[spawner_sku]],LEN(Table36[[#This Row],[spawner_sku]])-FIND("/",Table36[[#This Row],[spawner_sku]])),Table1[Entity Prefab],0)),10,1,1,"Entities"))</f>
        <v>50</v>
      </c>
      <c r="EI100" s="72">
        <f ca="1">ROUND((Table36[[#This Row],[XP]]*Table36[[#This Row],[entity_spawned (AVG)]])*(Table36[[#This Row],[activating_chance]]/100),0)</f>
        <v>50</v>
      </c>
      <c r="EJ100" s="72" t="str">
        <f ca="1">INDIRECT(ADDRESS(11+(MATCH(RIGHT(Table36[[#This Row],[spawner_sku]],LEN(Table36[[#This Row],[spawner_sku]])-FIND("/",Table36[[#This Row],[spawner_sku]])),Table28[Entity Prefab],0)),25,1,1,"Entities"))</f>
        <v>no</v>
      </c>
      <c r="EK100" s="72">
        <v>1</v>
      </c>
      <c r="EL100" s="72">
        <v>1</v>
      </c>
      <c r="EM100" s="72" t="b">
        <v>0</v>
      </c>
      <c r="EO100" t="s">
        <v>377</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320</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2702</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2700</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215</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231</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215</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468</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226</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377</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3828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215</v>
      </c>
      <c r="CM101">
        <v>1.5</v>
      </c>
      <c r="CN101">
        <v>170</v>
      </c>
      <c r="CO101">
        <v>30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5" t="str">
        <f ca="1">INDIRECT(ADDRESS(11+(MATCH(RIGHT(Table11[[#This Row],[spawner_sku]],LEN(Table11[[#This Row],[spawner_sku]])-FIND("/",Table11[[#This Row],[spawner_sku]])),Table28[Entity Prefab],0)),25,1,1,"Entities"))</f>
        <v>no</v>
      </c>
      <c r="CS101" s="72">
        <v>1</v>
      </c>
      <c r="CT101" s="72">
        <v>2</v>
      </c>
      <c r="CU101" s="72" t="b">
        <v>0</v>
      </c>
      <c r="CW101" t="s">
        <v>378</v>
      </c>
      <c r="CX101">
        <v>2</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50</v>
      </c>
      <c r="DC101" s="145" t="str">
        <f ca="1">INDIRECT(ADDRESS(11+(MATCH(RIGHT(Table12[[#This Row],[spawner_sku]],LEN(Table12[[#This Row],[spawner_sku]])-FIND("/",Table12[[#This Row],[spawner_sku]])),Table28[Entity Prefab],0)),25,1,1,"Entities"))</f>
        <v>no</v>
      </c>
      <c r="DD101" s="72">
        <v>2</v>
      </c>
      <c r="DE101" s="72">
        <v>2</v>
      </c>
      <c r="DF101" s="72" t="b">
        <v>0</v>
      </c>
      <c r="DH101" t="s">
        <v>230</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214</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148" t="s">
        <v>3823</v>
      </c>
      <c r="EE101" s="72">
        <v>1</v>
      </c>
      <c r="EF101" s="72">
        <v>240</v>
      </c>
      <c r="EG101" s="72">
        <v>100</v>
      </c>
      <c r="EH101" s="72">
        <f ca="1">INDIRECT(ADDRESS(11+(MATCH(RIGHT(Table36[[#This Row],[spawner_sku]],LEN(Table36[[#This Row],[spawner_sku]])-FIND("/",Table36[[#This Row],[spawner_sku]])),Table1[Entity Prefab],0)),10,1,1,"Entities"))</f>
        <v>50</v>
      </c>
      <c r="EI101" s="72">
        <f ca="1">ROUND((Table36[[#This Row],[XP]]*Table36[[#This Row],[entity_spawned (AVG)]])*(Table36[[#This Row],[activating_chance]]/100),0)</f>
        <v>50</v>
      </c>
      <c r="EJ101" s="72" t="str">
        <f ca="1">INDIRECT(ADDRESS(11+(MATCH(RIGHT(Table36[[#This Row],[spawner_sku]],LEN(Table36[[#This Row],[spawner_sku]])-FIND("/",Table36[[#This Row],[spawner_sku]])),Table28[Entity Prefab],0)),25,1,1,"Entities"))</f>
        <v>no</v>
      </c>
      <c r="EK101" s="72">
        <v>1</v>
      </c>
      <c r="EL101" s="72">
        <v>1</v>
      </c>
      <c r="EM101" s="72" t="b">
        <v>0</v>
      </c>
      <c r="EO101" t="s">
        <v>377</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320</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2702</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2700</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215</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231</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215</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234</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226</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377</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3828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215</v>
      </c>
      <c r="CM102">
        <v>1.5</v>
      </c>
      <c r="CN102">
        <v>180</v>
      </c>
      <c r="CO102">
        <v>30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5" t="str">
        <f ca="1">INDIRECT(ADDRESS(11+(MATCH(RIGHT(Table11[[#This Row],[spawner_sku]],LEN(Table11[[#This Row],[spawner_sku]])-FIND("/",Table11[[#This Row],[spawner_sku]])),Table28[Entity Prefab],0)),25,1,1,"Entities"))</f>
        <v>no</v>
      </c>
      <c r="CS102" s="72">
        <v>1</v>
      </c>
      <c r="CT102" s="72">
        <v>2</v>
      </c>
      <c r="CU102" s="72" t="b">
        <v>0</v>
      </c>
      <c r="CW102" t="s">
        <v>378</v>
      </c>
      <c r="CX102">
        <v>5</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125</v>
      </c>
      <c r="DC102" s="145" t="str">
        <f ca="1">INDIRECT(ADDRESS(11+(MATCH(RIGHT(Table12[[#This Row],[spawner_sku]],LEN(Table12[[#This Row],[spawner_sku]])-FIND("/",Table12[[#This Row],[spawner_sku]])),Table28[Entity Prefab],0)),25,1,1,"Entities"))</f>
        <v>no</v>
      </c>
      <c r="DD102" s="72">
        <v>5</v>
      </c>
      <c r="DE102" s="72">
        <v>5</v>
      </c>
      <c r="DF102" s="72" t="b">
        <v>1</v>
      </c>
      <c r="DH102" t="s">
        <v>230</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214</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148" t="s">
        <v>3823</v>
      </c>
      <c r="EE102" s="72">
        <v>1</v>
      </c>
      <c r="EF102" s="72">
        <v>240</v>
      </c>
      <c r="EG102" s="72">
        <v>100</v>
      </c>
      <c r="EH102" s="72">
        <f ca="1">INDIRECT(ADDRESS(11+(MATCH(RIGHT(Table36[[#This Row],[spawner_sku]],LEN(Table36[[#This Row],[spawner_sku]])-FIND("/",Table36[[#This Row],[spawner_sku]])),Table1[Entity Prefab],0)),10,1,1,"Entities"))</f>
        <v>50</v>
      </c>
      <c r="EI102" s="72">
        <f ca="1">ROUND((Table36[[#This Row],[XP]]*Table36[[#This Row],[entity_spawned (AVG)]])*(Table36[[#This Row],[activating_chance]]/100),0)</f>
        <v>50</v>
      </c>
      <c r="EJ102" s="72" t="str">
        <f ca="1">INDIRECT(ADDRESS(11+(MATCH(RIGHT(Table36[[#This Row],[spawner_sku]],LEN(Table36[[#This Row],[spawner_sku]])-FIND("/",Table36[[#This Row],[spawner_sku]])),Table28[Entity Prefab],0)),25,1,1,"Entities"))</f>
        <v>no</v>
      </c>
      <c r="EK102" s="72">
        <v>1</v>
      </c>
      <c r="EL102" s="72">
        <v>1</v>
      </c>
      <c r="EM102" s="72" t="b">
        <v>0</v>
      </c>
      <c r="EO102" t="s">
        <v>377</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220</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2700</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2700</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215</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447</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215</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234</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228</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377</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3828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215</v>
      </c>
      <c r="CM103">
        <v>1.5</v>
      </c>
      <c r="CN103">
        <v>180</v>
      </c>
      <c r="CO103">
        <v>80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5" t="str">
        <f ca="1">INDIRECT(ADDRESS(11+(MATCH(RIGHT(Table11[[#This Row],[spawner_sku]],LEN(Table11[[#This Row],[spawner_sku]])-FIND("/",Table11[[#This Row],[spawner_sku]])),Table28[Entity Prefab],0)),25,1,1,"Entities"))</f>
        <v>no</v>
      </c>
      <c r="CS103" s="72">
        <v>1</v>
      </c>
      <c r="CT103" s="72">
        <v>2</v>
      </c>
      <c r="CU103" s="72" t="b">
        <v>0</v>
      </c>
      <c r="CW103" t="s">
        <v>378</v>
      </c>
      <c r="CX103">
        <v>1</v>
      </c>
      <c r="CY103">
        <v>120</v>
      </c>
      <c r="CZ103">
        <v>80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20</v>
      </c>
      <c r="DC103" s="145" t="str">
        <f ca="1">INDIRECT(ADDRESS(11+(MATCH(RIGHT(Table12[[#This Row],[spawner_sku]],LEN(Table12[[#This Row],[spawner_sku]])-FIND("/",Table12[[#This Row],[spawner_sku]])),Table28[Entity Prefab],0)),25,1,1,"Entities"))</f>
        <v>no</v>
      </c>
      <c r="DD103" s="72">
        <v>1</v>
      </c>
      <c r="DE103" s="72">
        <v>1</v>
      </c>
      <c r="DF103" s="72" t="b">
        <v>0</v>
      </c>
      <c r="DH103" t="s">
        <v>230</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214</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148" t="s">
        <v>3823</v>
      </c>
      <c r="EE103" s="72">
        <v>1</v>
      </c>
      <c r="EF103" s="72">
        <v>240</v>
      </c>
      <c r="EG103" s="72">
        <v>100</v>
      </c>
      <c r="EH103" s="72">
        <f ca="1">INDIRECT(ADDRESS(11+(MATCH(RIGHT(Table36[[#This Row],[spawner_sku]],LEN(Table36[[#This Row],[spawner_sku]])-FIND("/",Table36[[#This Row],[spawner_sku]])),Table1[Entity Prefab],0)),10,1,1,"Entities"))</f>
        <v>50</v>
      </c>
      <c r="EI103" s="72">
        <f ca="1">ROUND((Table36[[#This Row],[XP]]*Table36[[#This Row],[entity_spawned (AVG)]])*(Table36[[#This Row],[activating_chance]]/100),0)</f>
        <v>50</v>
      </c>
      <c r="EJ103" s="72" t="str">
        <f ca="1">INDIRECT(ADDRESS(11+(MATCH(RIGHT(Table36[[#This Row],[spawner_sku]],LEN(Table36[[#This Row],[spawner_sku]])-FIND("/",Table36[[#This Row],[spawner_sku]])),Table28[Entity Prefab],0)),25,1,1,"Entities"))</f>
        <v>no</v>
      </c>
      <c r="EK103" s="72">
        <v>1</v>
      </c>
      <c r="EL103" s="72">
        <v>1</v>
      </c>
      <c r="EM103" s="72" t="b">
        <v>0</v>
      </c>
      <c r="EO103" t="s">
        <v>377</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220</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2700</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2712</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215</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447</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215</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234</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228</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218</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3828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215</v>
      </c>
      <c r="CM104">
        <v>3.5</v>
      </c>
      <c r="CN104">
        <v>180</v>
      </c>
      <c r="CO104">
        <v>100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5" t="str">
        <f ca="1">INDIRECT(ADDRESS(11+(MATCH(RIGHT(Table11[[#This Row],[spawner_sku]],LEN(Table11[[#This Row],[spawner_sku]])-FIND("/",Table11[[#This Row],[spawner_sku]])),Table28[Entity Prefab],0)),25,1,1,"Entities"))</f>
        <v>no</v>
      </c>
      <c r="CS104" s="72">
        <v>3</v>
      </c>
      <c r="CT104" s="72">
        <v>4</v>
      </c>
      <c r="CU104" s="72" t="b">
        <v>0</v>
      </c>
      <c r="CW104" t="s">
        <v>378</v>
      </c>
      <c r="CX104">
        <v>1</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25</v>
      </c>
      <c r="DC104" s="145" t="str">
        <f ca="1">INDIRECT(ADDRESS(11+(MATCH(RIGHT(Table12[[#This Row],[spawner_sku]],LEN(Table12[[#This Row],[spawner_sku]])-FIND("/",Table12[[#This Row],[spawner_sku]])),Table28[Entity Prefab],0)),25,1,1,"Entities"))</f>
        <v>no</v>
      </c>
      <c r="DD104" s="72">
        <v>1</v>
      </c>
      <c r="DE104" s="72">
        <v>1</v>
      </c>
      <c r="DF104" s="72" t="b">
        <v>0</v>
      </c>
      <c r="DH104" t="s">
        <v>450</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214</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148" t="s">
        <v>3823</v>
      </c>
      <c r="EE104" s="72">
        <v>1</v>
      </c>
      <c r="EF104" s="72">
        <v>240</v>
      </c>
      <c r="EG104" s="72">
        <v>100</v>
      </c>
      <c r="EH104" s="72">
        <f ca="1">INDIRECT(ADDRESS(11+(MATCH(RIGHT(Table36[[#This Row],[spawner_sku]],LEN(Table36[[#This Row],[spawner_sku]])-FIND("/",Table36[[#This Row],[spawner_sku]])),Table1[Entity Prefab],0)),10,1,1,"Entities"))</f>
        <v>50</v>
      </c>
      <c r="EI104" s="72">
        <f ca="1">ROUND((Table36[[#This Row],[XP]]*Table36[[#This Row],[entity_spawned (AVG)]])*(Table36[[#This Row],[activating_chance]]/100),0)</f>
        <v>50</v>
      </c>
      <c r="EJ104" s="72" t="str">
        <f ca="1">INDIRECT(ADDRESS(11+(MATCH(RIGHT(Table36[[#This Row],[spawner_sku]],LEN(Table36[[#This Row],[spawner_sku]])-FIND("/",Table36[[#This Row],[spawner_sku]])),Table28[Entity Prefab],0)),25,1,1,"Entities"))</f>
        <v>no</v>
      </c>
      <c r="EK104" s="72">
        <v>1</v>
      </c>
      <c r="EL104" s="72">
        <v>1</v>
      </c>
      <c r="EM104" s="72" t="b">
        <v>0</v>
      </c>
      <c r="EO104" t="s">
        <v>377</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220</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2700</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2712</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215</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447</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215</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557</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228</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218</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3828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215</v>
      </c>
      <c r="CM105">
        <v>1</v>
      </c>
      <c r="CN105">
        <v>180</v>
      </c>
      <c r="CO105">
        <v>100</v>
      </c>
      <c r="CP105" s="75">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5" t="str">
        <f ca="1">INDIRECT(ADDRESS(11+(MATCH(RIGHT(Table11[[#This Row],[spawner_sku]],LEN(Table11[[#This Row],[spawner_sku]])-FIND("/",Table11[[#This Row],[spawner_sku]])),Table28[Entity Prefab],0)),25,1,1,"Entities"))</f>
        <v>no</v>
      </c>
      <c r="CS105" s="72">
        <v>1</v>
      </c>
      <c r="CT105" s="72">
        <v>1</v>
      </c>
      <c r="CU105" s="72" t="b">
        <v>0</v>
      </c>
      <c r="CW105" t="s">
        <v>378</v>
      </c>
      <c r="CX105">
        <v>1</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25</v>
      </c>
      <c r="DC105" s="145" t="str">
        <f ca="1">INDIRECT(ADDRESS(11+(MATCH(RIGHT(Table12[[#This Row],[spawner_sku]],LEN(Table12[[#This Row],[spawner_sku]])-FIND("/",Table12[[#This Row],[spawner_sku]])),Table28[Entity Prefab],0)),25,1,1,"Entities"))</f>
        <v>no</v>
      </c>
      <c r="DD105" s="72">
        <v>1</v>
      </c>
      <c r="DE105" s="72">
        <v>1</v>
      </c>
      <c r="DF105" s="72" t="b">
        <v>0</v>
      </c>
      <c r="DH105" t="s">
        <v>370</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214</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148" t="s">
        <v>3823</v>
      </c>
      <c r="EE105" s="72">
        <v>1</v>
      </c>
      <c r="EF105" s="72">
        <v>240</v>
      </c>
      <c r="EG105" s="72">
        <v>50</v>
      </c>
      <c r="EH105" s="72">
        <f ca="1">INDIRECT(ADDRESS(11+(MATCH(RIGHT(Table36[[#This Row],[spawner_sku]],LEN(Table36[[#This Row],[spawner_sku]])-FIND("/",Table36[[#This Row],[spawner_sku]])),Table1[Entity Prefab],0)),10,1,1,"Entities"))</f>
        <v>50</v>
      </c>
      <c r="EI105" s="72">
        <f ca="1">ROUND((Table36[[#This Row],[XP]]*Table36[[#This Row],[entity_spawned (AVG)]])*(Table36[[#This Row],[activating_chance]]/100),0)</f>
        <v>25</v>
      </c>
      <c r="EJ105" s="72" t="str">
        <f ca="1">INDIRECT(ADDRESS(11+(MATCH(RIGHT(Table36[[#This Row],[spawner_sku]],LEN(Table36[[#This Row],[spawner_sku]])-FIND("/",Table36[[#This Row],[spawner_sku]])),Table28[Entity Prefab],0)),25,1,1,"Entities"))</f>
        <v>no</v>
      </c>
      <c r="EK105" s="72">
        <v>1</v>
      </c>
      <c r="EL105" s="72">
        <v>1</v>
      </c>
      <c r="EM105" s="72" t="b">
        <v>0</v>
      </c>
      <c r="EO105" t="s">
        <v>377</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220</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2700</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2712</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215</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447</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215</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557</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228</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218</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3828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215</v>
      </c>
      <c r="CM106">
        <v>9</v>
      </c>
      <c r="CN106">
        <v>180</v>
      </c>
      <c r="CO106">
        <v>100</v>
      </c>
      <c r="CP106" s="75">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5" t="str">
        <f ca="1">INDIRECT(ADDRESS(11+(MATCH(RIGHT(Table11[[#This Row],[spawner_sku]],LEN(Table11[[#This Row],[spawner_sku]])-FIND("/",Table11[[#This Row],[spawner_sku]])),Table28[Entity Prefab],0)),25,1,1,"Entities"))</f>
        <v>no</v>
      </c>
      <c r="CS106" s="72">
        <v>8</v>
      </c>
      <c r="CT106" s="72">
        <v>10</v>
      </c>
      <c r="CU106" s="72" t="b">
        <v>1</v>
      </c>
      <c r="CW106" t="s">
        <v>378</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370</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214</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148" t="s">
        <v>3823</v>
      </c>
      <c r="EE106" s="72">
        <v>1</v>
      </c>
      <c r="EF106" s="72">
        <v>240</v>
      </c>
      <c r="EG106" s="72">
        <v>100</v>
      </c>
      <c r="EH106" s="72">
        <f ca="1">INDIRECT(ADDRESS(11+(MATCH(RIGHT(Table36[[#This Row],[spawner_sku]],LEN(Table36[[#This Row],[spawner_sku]])-FIND("/",Table36[[#This Row],[spawner_sku]])),Table1[Entity Prefab],0)),10,1,1,"Entities"))</f>
        <v>50</v>
      </c>
      <c r="EI106" s="72">
        <f ca="1">ROUND((Table36[[#This Row],[XP]]*Table36[[#This Row],[entity_spawned (AVG)]])*(Table36[[#This Row],[activating_chance]]/100),0)</f>
        <v>50</v>
      </c>
      <c r="EJ106" s="72" t="str">
        <f ca="1">INDIRECT(ADDRESS(11+(MATCH(RIGHT(Table36[[#This Row],[spawner_sku]],LEN(Table36[[#This Row],[spawner_sku]])-FIND("/",Table36[[#This Row],[spawner_sku]])),Table28[Entity Prefab],0)),25,1,1,"Entities"))</f>
        <v>no</v>
      </c>
      <c r="EK106" s="72">
        <v>1</v>
      </c>
      <c r="EL106" s="72">
        <v>1</v>
      </c>
      <c r="EM106" s="72" t="b">
        <v>0</v>
      </c>
      <c r="EO106" t="s">
        <v>377</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220</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2700</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2712</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215</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450</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215</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557</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228</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218</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3828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215</v>
      </c>
      <c r="CM107">
        <v>3.5</v>
      </c>
      <c r="CN107">
        <v>180</v>
      </c>
      <c r="CO107">
        <v>100</v>
      </c>
      <c r="CP107" s="75">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5" t="str">
        <f ca="1">INDIRECT(ADDRESS(11+(MATCH(RIGHT(Table11[[#This Row],[spawner_sku]],LEN(Table11[[#This Row],[spawner_sku]])-FIND("/",Table11[[#This Row],[spawner_sku]])),Table28[Entity Prefab],0)),25,1,1,"Entities"))</f>
        <v>no</v>
      </c>
      <c r="CS107" s="72">
        <v>3</v>
      </c>
      <c r="CT107" s="72">
        <v>4</v>
      </c>
      <c r="CU107" s="72" t="b">
        <v>0</v>
      </c>
      <c r="CW107" t="s">
        <v>378</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370</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214</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148" t="s">
        <v>3823</v>
      </c>
      <c r="EE107" s="72">
        <v>1</v>
      </c>
      <c r="EF107" s="72">
        <v>240</v>
      </c>
      <c r="EG107" s="72">
        <v>100</v>
      </c>
      <c r="EH107" s="72">
        <f ca="1">INDIRECT(ADDRESS(11+(MATCH(RIGHT(Table36[[#This Row],[spawner_sku]],LEN(Table36[[#This Row],[spawner_sku]])-FIND("/",Table36[[#This Row],[spawner_sku]])),Table1[Entity Prefab],0)),10,1,1,"Entities"))</f>
        <v>50</v>
      </c>
      <c r="EI107" s="72">
        <f ca="1">ROUND((Table36[[#This Row],[XP]]*Table36[[#This Row],[entity_spawned (AVG)]])*(Table36[[#This Row],[activating_chance]]/100),0)</f>
        <v>50</v>
      </c>
      <c r="EJ107" s="72" t="str">
        <f ca="1">INDIRECT(ADDRESS(11+(MATCH(RIGHT(Table36[[#This Row],[spawner_sku]],LEN(Table36[[#This Row],[spawner_sku]])-FIND("/",Table36[[#This Row],[spawner_sku]])),Table28[Entity Prefab],0)),25,1,1,"Entities"))</f>
        <v>no</v>
      </c>
      <c r="EK107" s="72">
        <v>1</v>
      </c>
      <c r="EL107" s="72">
        <v>1</v>
      </c>
      <c r="EM107" s="72" t="b">
        <v>0</v>
      </c>
      <c r="EO107" t="s">
        <v>377</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220</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2700</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2712</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215</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450</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215</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557</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228</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219</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3828</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215</v>
      </c>
      <c r="CM108">
        <v>1.5</v>
      </c>
      <c r="CN108">
        <v>180</v>
      </c>
      <c r="CO108">
        <v>80</v>
      </c>
      <c r="CP108" s="75">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5" t="str">
        <f ca="1">INDIRECT(ADDRESS(11+(MATCH(RIGHT(Table11[[#This Row],[spawner_sku]],LEN(Table11[[#This Row],[spawner_sku]])-FIND("/",Table11[[#This Row],[spawner_sku]])),Table28[Entity Prefab],0)),25,1,1,"Entities"))</f>
        <v>no</v>
      </c>
      <c r="CS108" s="72">
        <v>1</v>
      </c>
      <c r="CT108" s="72">
        <v>2</v>
      </c>
      <c r="CU108" s="72" t="b">
        <v>0</v>
      </c>
      <c r="CW108" t="s">
        <v>378</v>
      </c>
      <c r="CX108">
        <v>4</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100</v>
      </c>
      <c r="DC108" s="145" t="str">
        <f ca="1">INDIRECT(ADDRESS(11+(MATCH(RIGHT(Table12[[#This Row],[spawner_sku]],LEN(Table12[[#This Row],[spawner_sku]])-FIND("/",Table12[[#This Row],[spawner_sku]])),Table28[Entity Prefab],0)),25,1,1,"Entities"))</f>
        <v>no</v>
      </c>
      <c r="DD108" s="72">
        <v>4</v>
      </c>
      <c r="DE108" s="72">
        <v>4</v>
      </c>
      <c r="DF108" s="72" t="b">
        <v>0</v>
      </c>
      <c r="DH108" t="s">
        <v>370</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214</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148" t="s">
        <v>467</v>
      </c>
      <c r="EE108" s="72">
        <v>2.5</v>
      </c>
      <c r="EF108" s="72">
        <v>110</v>
      </c>
      <c r="EG108" s="72">
        <v>50</v>
      </c>
      <c r="EH108" s="72">
        <f ca="1">INDIRECT(ADDRESS(11+(MATCH(RIGHT(Table36[[#This Row],[spawner_sku]],LEN(Table36[[#This Row],[spawner_sku]])-FIND("/",Table36[[#This Row],[spawner_sku]])),Table1[Entity Prefab],0)),10,1,1,"Entities"))</f>
        <v>25</v>
      </c>
      <c r="EI108" s="72">
        <f ca="1">ROUND((Table36[[#This Row],[XP]]*Table36[[#This Row],[entity_spawned (AVG)]])*(Table36[[#This Row],[activating_chance]]/100),0)</f>
        <v>31</v>
      </c>
      <c r="EJ108" s="72" t="str">
        <f ca="1">INDIRECT(ADDRESS(11+(MATCH(RIGHT(Table36[[#This Row],[spawner_sku]],LEN(Table36[[#This Row],[spawner_sku]])-FIND("/",Table36[[#This Row],[spawner_sku]])),Table28[Entity Prefab],0)),25,1,1,"Entities"))</f>
        <v>no</v>
      </c>
      <c r="EK108" s="72">
        <v>2</v>
      </c>
      <c r="EL108" s="72">
        <v>3</v>
      </c>
      <c r="EM108" s="72" t="b">
        <v>0</v>
      </c>
      <c r="EO108" t="s">
        <v>377</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220</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2700</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2712</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215</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424</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215</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557</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230</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219</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3828</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215</v>
      </c>
      <c r="CM109">
        <v>3.5</v>
      </c>
      <c r="CN109">
        <v>180</v>
      </c>
      <c r="CO109">
        <v>80</v>
      </c>
      <c r="CP109" s="75">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5" t="str">
        <f ca="1">INDIRECT(ADDRESS(11+(MATCH(RIGHT(Table11[[#This Row],[spawner_sku]],LEN(Table11[[#This Row],[spawner_sku]])-FIND("/",Table11[[#This Row],[spawner_sku]])),Table28[Entity Prefab],0)),25,1,1,"Entities"))</f>
        <v>no</v>
      </c>
      <c r="CS109" s="72">
        <v>3</v>
      </c>
      <c r="CT109" s="72">
        <v>4</v>
      </c>
      <c r="CU109" s="72" t="b">
        <v>0</v>
      </c>
      <c r="CW109" t="s">
        <v>378</v>
      </c>
      <c r="CX109">
        <v>2.5</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63</v>
      </c>
      <c r="DC109" s="145" t="str">
        <f ca="1">INDIRECT(ADDRESS(11+(MATCH(RIGHT(Table12[[#This Row],[spawner_sku]],LEN(Table12[[#This Row],[spawner_sku]])-FIND("/",Table12[[#This Row],[spawner_sku]])),Table28[Entity Prefab],0)),25,1,1,"Entities"))</f>
        <v>no</v>
      </c>
      <c r="DD109" s="72">
        <v>2</v>
      </c>
      <c r="DE109" s="72">
        <v>3</v>
      </c>
      <c r="DF109" s="72" t="b">
        <v>0</v>
      </c>
      <c r="DH109" t="s">
        <v>370</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214</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148" t="s">
        <v>3824</v>
      </c>
      <c r="EE109" s="72">
        <v>1</v>
      </c>
      <c r="EF109" s="72">
        <v>180</v>
      </c>
      <c r="EG109" s="72">
        <v>100</v>
      </c>
      <c r="EH109" s="72">
        <f ca="1">INDIRECT(ADDRESS(11+(MATCH(RIGHT(Table36[[#This Row],[spawner_sku]],LEN(Table36[[#This Row],[spawner_sku]])-FIND("/",Table36[[#This Row],[spawner_sku]])),Table1[Entity Prefab],0)),10,1,1,"Entities"))</f>
        <v>83</v>
      </c>
      <c r="EI109" s="72">
        <f ca="1">ROUND((Table36[[#This Row],[XP]]*Table36[[#This Row],[entity_spawned (AVG)]])*(Table36[[#This Row],[activating_chance]]/100),0)</f>
        <v>83</v>
      </c>
      <c r="EJ109" s="72" t="str">
        <f ca="1">INDIRECT(ADDRESS(11+(MATCH(RIGHT(Table36[[#This Row],[spawner_sku]],LEN(Table36[[#This Row],[spawner_sku]])-FIND("/",Table36[[#This Row],[spawner_sku]])),Table28[Entity Prefab],0)),25,1,1,"Entities"))</f>
        <v>yes</v>
      </c>
      <c r="EK109" s="72">
        <v>1</v>
      </c>
      <c r="EL109" s="72">
        <v>1</v>
      </c>
      <c r="EM109" s="72" t="b">
        <v>0</v>
      </c>
      <c r="EO109" t="s">
        <v>377</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321</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2700</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2712</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215</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424</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215</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557</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230</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219</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3828</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215</v>
      </c>
      <c r="CM110">
        <v>2</v>
      </c>
      <c r="CN110">
        <v>180</v>
      </c>
      <c r="CO110">
        <v>100</v>
      </c>
      <c r="CP110" s="75">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5" t="str">
        <f ca="1">INDIRECT(ADDRESS(11+(MATCH(RIGHT(Table11[[#This Row],[spawner_sku]],LEN(Table11[[#This Row],[spawner_sku]])-FIND("/",Table11[[#This Row],[spawner_sku]])),Table28[Entity Prefab],0)),25,1,1,"Entities"))</f>
        <v>no</v>
      </c>
      <c r="CS110" s="72">
        <v>2</v>
      </c>
      <c r="CT110" s="72">
        <v>2</v>
      </c>
      <c r="CU110" s="72" t="b">
        <v>0</v>
      </c>
      <c r="CW110" t="s">
        <v>378</v>
      </c>
      <c r="CX110">
        <v>2.5</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63</v>
      </c>
      <c r="DC110" s="145" t="str">
        <f ca="1">INDIRECT(ADDRESS(11+(MATCH(RIGHT(Table12[[#This Row],[spawner_sku]],LEN(Table12[[#This Row],[spawner_sku]])-FIND("/",Table12[[#This Row],[spawner_sku]])),Table28[Entity Prefab],0)),25,1,1,"Entities"))</f>
        <v>no</v>
      </c>
      <c r="DD110" s="72">
        <v>2</v>
      </c>
      <c r="DE110" s="72">
        <v>3</v>
      </c>
      <c r="DF110" s="72" t="b">
        <v>0</v>
      </c>
      <c r="DH110" t="s">
        <v>370</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214</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148" t="s">
        <v>3824</v>
      </c>
      <c r="EE110" s="72">
        <v>1</v>
      </c>
      <c r="EF110" s="72">
        <v>180</v>
      </c>
      <c r="EG110" s="72">
        <v>100</v>
      </c>
      <c r="EH110" s="72">
        <f ca="1">INDIRECT(ADDRESS(11+(MATCH(RIGHT(Table36[[#This Row],[spawner_sku]],LEN(Table36[[#This Row],[spawner_sku]])-FIND("/",Table36[[#This Row],[spawner_sku]])),Table1[Entity Prefab],0)),10,1,1,"Entities"))</f>
        <v>83</v>
      </c>
      <c r="EI110" s="72">
        <f ca="1">ROUND((Table36[[#This Row],[XP]]*Table36[[#This Row],[entity_spawned (AVG)]])*(Table36[[#This Row],[activating_chance]]/100),0)</f>
        <v>83</v>
      </c>
      <c r="EJ110" s="72" t="str">
        <f ca="1">INDIRECT(ADDRESS(11+(MATCH(RIGHT(Table36[[#This Row],[spawner_sku]],LEN(Table36[[#This Row],[spawner_sku]])-FIND("/",Table36[[#This Row],[spawner_sku]])),Table28[Entity Prefab],0)),25,1,1,"Entities"))</f>
        <v>yes</v>
      </c>
      <c r="EK110" s="72">
        <v>1</v>
      </c>
      <c r="EL110" s="72">
        <v>1</v>
      </c>
      <c r="EM110" s="72" t="b">
        <v>0</v>
      </c>
      <c r="EO110" t="s">
        <v>377</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321</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2700</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2699</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215</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233</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215</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557</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230</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219</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3828</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215</v>
      </c>
      <c r="CM111">
        <v>3.5</v>
      </c>
      <c r="CN111">
        <v>180</v>
      </c>
      <c r="CO111">
        <v>100</v>
      </c>
      <c r="CP111" s="75">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5" t="str">
        <f ca="1">INDIRECT(ADDRESS(11+(MATCH(RIGHT(Table11[[#This Row],[spawner_sku]],LEN(Table11[[#This Row],[spawner_sku]])-FIND("/",Table11[[#This Row],[spawner_sku]])),Table28[Entity Prefab],0)),25,1,1,"Entities"))</f>
        <v>no</v>
      </c>
      <c r="CS111" s="72">
        <v>3</v>
      </c>
      <c r="CT111" s="72">
        <v>4</v>
      </c>
      <c r="CU111" s="72" t="b">
        <v>0</v>
      </c>
      <c r="CW111" t="s">
        <v>429</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496</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214</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72"/>
      <c r="EE111" s="72"/>
      <c r="EF111" s="72"/>
      <c r="EG111" s="72"/>
      <c r="EH111" s="72"/>
      <c r="EI111" s="72"/>
      <c r="EJ111" s="72"/>
      <c r="EK111" s="72"/>
      <c r="EL111" s="72"/>
      <c r="EM111" s="72"/>
      <c r="EO111" t="s">
        <v>377</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321</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2700</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2699</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215</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233</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215</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557</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230</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219</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3828</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215</v>
      </c>
      <c r="CM112">
        <v>1.5</v>
      </c>
      <c r="CN112">
        <v>195</v>
      </c>
      <c r="CO112">
        <v>30</v>
      </c>
      <c r="CP112" s="75">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5" t="str">
        <f ca="1">INDIRECT(ADDRESS(11+(MATCH(RIGHT(Table11[[#This Row],[spawner_sku]],LEN(Table11[[#This Row],[spawner_sku]])-FIND("/",Table11[[#This Row],[spawner_sku]])),Table28[Entity Prefab],0)),25,1,1,"Entities"))</f>
        <v>no</v>
      </c>
      <c r="CS112" s="72">
        <v>1</v>
      </c>
      <c r="CT112" s="72">
        <v>2</v>
      </c>
      <c r="CU112" s="72" t="b">
        <v>0</v>
      </c>
      <c r="CW112" t="s">
        <v>429</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496</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214</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377</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221</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2700</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2699</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215</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233</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215</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557</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230</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219</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3828</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215</v>
      </c>
      <c r="CM113">
        <v>3.5</v>
      </c>
      <c r="CN113">
        <v>190</v>
      </c>
      <c r="CO113">
        <v>100</v>
      </c>
      <c r="CP113" s="75">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5" t="str">
        <f ca="1">INDIRECT(ADDRESS(11+(MATCH(RIGHT(Table11[[#This Row],[spawner_sku]],LEN(Table11[[#This Row],[spawner_sku]])-FIND("/",Table11[[#This Row],[spawner_sku]])),Table28[Entity Prefab],0)),25,1,1,"Entities"))</f>
        <v>no</v>
      </c>
      <c r="CS113" s="72">
        <v>3</v>
      </c>
      <c r="CT113" s="72">
        <v>4</v>
      </c>
      <c r="CU113" s="72" t="b">
        <v>0</v>
      </c>
      <c r="CW113" t="s">
        <v>497</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372</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214</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377</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221</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2700</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2699</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215</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233</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215</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557</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230</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219</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3830</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215</v>
      </c>
      <c r="CM114">
        <v>3.5</v>
      </c>
      <c r="CN114">
        <v>180</v>
      </c>
      <c r="CO114">
        <v>100</v>
      </c>
      <c r="CP114" s="75">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5" t="str">
        <f ca="1">INDIRECT(ADDRESS(11+(MATCH(RIGHT(Table11[[#This Row],[spawner_sku]],LEN(Table11[[#This Row],[spawner_sku]])-FIND("/",Table11[[#This Row],[spawner_sku]])),Table28[Entity Prefab],0)),25,1,1,"Entities"))</f>
        <v>no</v>
      </c>
      <c r="CS114" s="72">
        <v>3</v>
      </c>
      <c r="CT114" s="72">
        <v>4</v>
      </c>
      <c r="CU114" s="72" t="b">
        <v>0</v>
      </c>
      <c r="CW114" t="s">
        <v>240</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372</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214</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218</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221</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2700</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2715</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215</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233</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215</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557</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230</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219</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3830</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215</v>
      </c>
      <c r="CM115">
        <v>10</v>
      </c>
      <c r="CN115">
        <v>180</v>
      </c>
      <c r="CO115">
        <v>100</v>
      </c>
      <c r="CP115" s="75">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5" t="str">
        <f ca="1">INDIRECT(ADDRESS(11+(MATCH(RIGHT(Table11[[#This Row],[spawner_sku]],LEN(Table11[[#This Row],[spawner_sku]])-FIND("/",Table11[[#This Row],[spawner_sku]])),Table28[Entity Prefab],0)),25,1,1,"Entities"))</f>
        <v>no</v>
      </c>
      <c r="CS115" s="72">
        <v>10</v>
      </c>
      <c r="CT115" s="72">
        <v>10</v>
      </c>
      <c r="CU115" s="72" t="b">
        <v>1</v>
      </c>
      <c r="CW115" t="s">
        <v>240</v>
      </c>
      <c r="CX115">
        <v>1</v>
      </c>
      <c r="CY115">
        <v>170</v>
      </c>
      <c r="CZ115">
        <v>30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21</v>
      </c>
      <c r="DC115" s="145" t="str">
        <f ca="1">INDIRECT(ADDRESS(11+(MATCH(RIGHT(Table12[[#This Row],[spawner_sku]],LEN(Table12[[#This Row],[spawner_sku]])-FIND("/",Table12[[#This Row],[spawner_sku]])),Table28[Entity Prefab],0)),25,1,1,"Entities"))</f>
        <v>yes</v>
      </c>
      <c r="DD115" s="72">
        <v>1</v>
      </c>
      <c r="DE115" s="72">
        <v>1</v>
      </c>
      <c r="DF115" s="72" t="b">
        <v>0</v>
      </c>
      <c r="DH115" t="s">
        <v>372</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214</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218</v>
      </c>
      <c r="EP115">
        <v>1</v>
      </c>
      <c r="EQ115">
        <v>5000</v>
      </c>
      <c r="ER115">
        <v>75</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56</v>
      </c>
      <c r="EU115" s="75" t="str">
        <f ca="1">INDIRECT(ADDRESS(11+(MATCH(RIGHT(Table18[[#This Row],[spawner_sku]],LEN(Table18[[#This Row],[spawner_sku]])-FIND("/",Table18[[#This Row],[spawner_sku]])),Table28[Entity Prefab],0)),26,1,1,"Entities"))</f>
        <v>no</v>
      </c>
      <c r="EV115">
        <v>1</v>
      </c>
      <c r="EW115">
        <v>1</v>
      </c>
      <c r="EX115" t="b">
        <v>0</v>
      </c>
      <c r="EZ115" t="s">
        <v>221</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2700</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2715</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215</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233</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557</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231</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219</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3830</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215</v>
      </c>
      <c r="CM116">
        <v>3</v>
      </c>
      <c r="CN116">
        <v>180</v>
      </c>
      <c r="CO116">
        <v>100</v>
      </c>
      <c r="CP116" s="75">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5" t="str">
        <f ca="1">INDIRECT(ADDRESS(11+(MATCH(RIGHT(Table11[[#This Row],[spawner_sku]],LEN(Table11[[#This Row],[spawner_sku]])-FIND("/",Table11[[#This Row],[spawner_sku]])),Table28[Entity Prefab],0)),25,1,1,"Entities"))</f>
        <v>no</v>
      </c>
      <c r="CS116" s="72">
        <v>2</v>
      </c>
      <c r="CT116" s="72">
        <v>4</v>
      </c>
      <c r="CU116" s="72" t="b">
        <v>0</v>
      </c>
      <c r="CW116" t="s">
        <v>240</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372</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214</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218</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221</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2700</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2715</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215</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233</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557</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231</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219</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3830</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215</v>
      </c>
      <c r="CM117">
        <v>2</v>
      </c>
      <c r="CN117">
        <v>180</v>
      </c>
      <c r="CO117">
        <v>100</v>
      </c>
      <c r="CP117" s="75">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5" t="str">
        <f ca="1">INDIRECT(ADDRESS(11+(MATCH(RIGHT(Table11[[#This Row],[spawner_sku]],LEN(Table11[[#This Row],[spawner_sku]])-FIND("/",Table11[[#This Row],[spawner_sku]])),Table28[Entity Prefab],0)),25,1,1,"Entities"))</f>
        <v>no</v>
      </c>
      <c r="CS117" s="72">
        <v>2</v>
      </c>
      <c r="CT117" s="72">
        <v>2</v>
      </c>
      <c r="CU117" s="72" t="b">
        <v>0</v>
      </c>
      <c r="CW117" t="s">
        <v>240</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372</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214</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218</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221</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2700</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2715</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215</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5017</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216</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557</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231</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219</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3830</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215</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no</v>
      </c>
      <c r="CS118" s="72">
        <v>1</v>
      </c>
      <c r="CT118" s="72">
        <v>1</v>
      </c>
      <c r="CU118" s="72" t="b">
        <v>0</v>
      </c>
      <c r="CW118" t="s">
        <v>240</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372</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214</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218</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221</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2700</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2715</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215</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382</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557</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231</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219</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215</v>
      </c>
      <c r="CM119">
        <v>3.5</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5" t="str">
        <f ca="1">INDIRECT(ADDRESS(11+(MATCH(RIGHT(Table11[[#This Row],[spawner_sku]],LEN(Table11[[#This Row],[spawner_sku]])-FIND("/",Table11[[#This Row],[spawner_sku]])),Table28[Entity Prefab],0)),25,1,1,"Entities"))</f>
        <v>no</v>
      </c>
      <c r="CS119" s="72">
        <v>3</v>
      </c>
      <c r="CT119" s="72">
        <v>4</v>
      </c>
      <c r="CU119" s="72" t="b">
        <v>0</v>
      </c>
      <c r="CW119" t="s">
        <v>240</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372</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214</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219</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221</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2700</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2715</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215</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382</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216</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558</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231</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320</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215</v>
      </c>
      <c r="CM120">
        <v>5</v>
      </c>
      <c r="CN120">
        <v>180</v>
      </c>
      <c r="CO120">
        <v>100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5" t="str">
        <f ca="1">INDIRECT(ADDRESS(11+(MATCH(RIGHT(Table11[[#This Row],[spawner_sku]],LEN(Table11[[#This Row],[spawner_sku]])-FIND("/",Table11[[#This Row],[spawner_sku]])),Table28[Entity Prefab],0)),25,1,1,"Entities"))</f>
        <v>no</v>
      </c>
      <c r="CS120" s="72">
        <v>5</v>
      </c>
      <c r="CT120" s="72">
        <v>5</v>
      </c>
      <c r="CU120" s="72" t="b">
        <v>1</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369</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214</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219</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221</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2700</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2698</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215</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378</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216</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559</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231</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320</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215</v>
      </c>
      <c r="CM121">
        <v>1.5</v>
      </c>
      <c r="CN121">
        <v>180</v>
      </c>
      <c r="CO121">
        <v>80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5" t="str">
        <f ca="1">INDIRECT(ADDRESS(11+(MATCH(RIGHT(Table11[[#This Row],[spawner_sku]],LEN(Table11[[#This Row],[spawner_sku]])-FIND("/",Table11[[#This Row],[spawner_sku]])),Table28[Entity Prefab],0)),25,1,1,"Entities"))</f>
        <v>no</v>
      </c>
      <c r="CS121" s="72">
        <v>1</v>
      </c>
      <c r="CT121" s="72">
        <v>2</v>
      </c>
      <c r="CU121" s="72" t="b">
        <v>0</v>
      </c>
      <c r="CW121" t="s">
        <v>241</v>
      </c>
      <c r="CX121">
        <v>1.5</v>
      </c>
      <c r="CY121">
        <v>170</v>
      </c>
      <c r="CZ121">
        <v>80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84</v>
      </c>
      <c r="DC121" s="145" t="str">
        <f ca="1">INDIRECT(ADDRESS(11+(MATCH(RIGHT(Table12[[#This Row],[spawner_sku]],LEN(Table12[[#This Row],[spawner_sku]])-FIND("/",Table12[[#This Row],[spawner_sku]])),Table28[Entity Prefab],0)),25,1,1,"Entities"))</f>
        <v>yes</v>
      </c>
      <c r="DD121" s="72">
        <v>1</v>
      </c>
      <c r="DE121" s="72">
        <v>2</v>
      </c>
      <c r="DF121" s="72" t="b">
        <v>0</v>
      </c>
      <c r="DH121" t="s">
        <v>369</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214</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219</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384</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2700</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2698</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215</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241</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216</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559</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231</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215</v>
      </c>
      <c r="CM122">
        <v>2</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5" t="str">
        <f ca="1">INDIRECT(ADDRESS(11+(MATCH(RIGHT(Table11[[#This Row],[spawner_sku]],LEN(Table11[[#This Row],[spawner_sku]])-FIND("/",Table11[[#This Row],[spawner_sku]])),Table28[Entity Prefab],0)),25,1,1,"Entities"))</f>
        <v>no</v>
      </c>
      <c r="CS122" s="72">
        <v>2</v>
      </c>
      <c r="CT122" s="72">
        <v>2</v>
      </c>
      <c r="CU122" s="72" t="b">
        <v>0</v>
      </c>
      <c r="CW122" t="s">
        <v>241</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369</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214</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219</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384</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2699</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2698</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215</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241</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216</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559</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231</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215</v>
      </c>
      <c r="CM123">
        <v>7</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5" t="str">
        <f ca="1">INDIRECT(ADDRESS(11+(MATCH(RIGHT(Table11[[#This Row],[spawner_sku]],LEN(Table11[[#This Row],[spawner_sku]])-FIND("/",Table11[[#This Row],[spawner_sku]])),Table28[Entity Prefab],0)),25,1,1,"Entities"))</f>
        <v>no</v>
      </c>
      <c r="CS123" s="72">
        <v>7</v>
      </c>
      <c r="CT123" s="72">
        <v>7</v>
      </c>
      <c r="CU123" s="72" t="b">
        <v>1</v>
      </c>
      <c r="CW123" t="s">
        <v>241</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369</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214</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219</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384</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2699</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2698</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215</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241</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559</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231</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320</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215</v>
      </c>
      <c r="CM124">
        <v>3.5</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5" t="str">
        <f ca="1">INDIRECT(ADDRESS(11+(MATCH(RIGHT(Table11[[#This Row],[spawner_sku]],LEN(Table11[[#This Row],[spawner_sku]])-FIND("/",Table11[[#This Row],[spawner_sku]])),Table28[Entity Prefab],0)),25,1,1,"Entities"))</f>
        <v>no</v>
      </c>
      <c r="CS124" s="72">
        <v>3</v>
      </c>
      <c r="CT124" s="72">
        <v>4</v>
      </c>
      <c r="CU124" s="72" t="b">
        <v>0</v>
      </c>
      <c r="CW124" t="s">
        <v>241</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369</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214</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219</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384</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2699</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2698</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215</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241</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559</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231</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215</v>
      </c>
      <c r="CM125">
        <v>4</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5" t="str">
        <f ca="1">INDIRECT(ADDRESS(11+(MATCH(RIGHT(Table11[[#This Row],[spawner_sku]],LEN(Table11[[#This Row],[spawner_sku]])-FIND("/",Table11[[#This Row],[spawner_sku]])),Table28[Entity Prefab],0)),25,1,1,"Entities"))</f>
        <v>no</v>
      </c>
      <c r="CS125" s="72">
        <v>4</v>
      </c>
      <c r="CT125" s="72">
        <v>4</v>
      </c>
      <c r="CU125" s="72" t="b">
        <v>0</v>
      </c>
      <c r="CW125" t="s">
        <v>241</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368</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214</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219</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384</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2699</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2698</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215</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242</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382</v>
      </c>
      <c r="AU126">
        <v>1</v>
      </c>
      <c r="AV126">
        <v>200</v>
      </c>
      <c r="AW126">
        <v>100</v>
      </c>
      <c r="AX126" s="75">
        <f ca="1">INDIRECT(ADDRESS(11+(MATCH(RIGHT(Table6[[#This Row],[spawner_sku]],LEN(Table6[[#This Row],[spawner_sku]])-FIND("/",Table6[[#This Row],[spawner_sku]])),Table1[Entity Prefab],0)),10,1,1,"Entities"))</f>
        <v>75</v>
      </c>
      <c r="AY126" s="75">
        <f ca="1">ROUND((Table6[[#This Row],[XP]]*Table6[[#This Row],[entity_spawned (AVG)]])*(Table6[[#This Row],[activating_chance]]/100),0)</f>
        <v>75</v>
      </c>
      <c r="AZ126" s="145" t="str">
        <f ca="1">INDIRECT(ADDRESS(11+(MATCH(RIGHT(Table6[[#This Row],[spawner_sku]],LEN(Table6[[#This Row],[spawner_sku]])-FIND("/",Table6[[#This Row],[spawner_sku]])),Table28[Entity Prefab],0)),24,1,1,"Entities"))</f>
        <v>yes</v>
      </c>
      <c r="BA126">
        <v>1</v>
      </c>
      <c r="BB126">
        <v>1</v>
      </c>
      <c r="BC126" t="b">
        <v>0</v>
      </c>
      <c r="BE126" t="s">
        <v>231</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320</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215</v>
      </c>
      <c r="CM126">
        <v>1.5</v>
      </c>
      <c r="CN126">
        <v>165</v>
      </c>
      <c r="CO126">
        <v>30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5" t="str">
        <f ca="1">INDIRECT(ADDRESS(11+(MATCH(RIGHT(Table11[[#This Row],[spawner_sku]],LEN(Table11[[#This Row],[spawner_sku]])-FIND("/",Table11[[#This Row],[spawner_sku]])),Table28[Entity Prefab],0)),25,1,1,"Entities"))</f>
        <v>no</v>
      </c>
      <c r="CS126" s="72">
        <v>1</v>
      </c>
      <c r="CT126" s="72">
        <v>2</v>
      </c>
      <c r="CU126" s="72" t="b">
        <v>0</v>
      </c>
      <c r="CW126" t="s">
        <v>241</v>
      </c>
      <c r="CX126">
        <v>1</v>
      </c>
      <c r="CY126">
        <v>170</v>
      </c>
      <c r="CZ126">
        <v>30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21</v>
      </c>
      <c r="DC126" s="145" t="str">
        <f ca="1">INDIRECT(ADDRESS(11+(MATCH(RIGHT(Table12[[#This Row],[spawner_sku]],LEN(Table12[[#This Row],[spawner_sku]])-FIND("/",Table12[[#This Row],[spawner_sku]])),Table28[Entity Prefab],0)),25,1,1,"Entities"))</f>
        <v>yes</v>
      </c>
      <c r="DD126" s="72">
        <v>1</v>
      </c>
      <c r="DE126" s="72">
        <v>1</v>
      </c>
      <c r="DF126" s="72" t="b">
        <v>0</v>
      </c>
      <c r="DH126" t="s">
        <v>368</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214</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219</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384</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2699</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2698</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215</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242</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375</v>
      </c>
      <c r="AU127">
        <v>1</v>
      </c>
      <c r="AV127">
        <v>220</v>
      </c>
      <c r="AW127">
        <v>100</v>
      </c>
      <c r="AX127" s="75">
        <f ca="1">INDIRECT(ADDRESS(11+(MATCH(RIGHT(Table6[[#This Row],[spawner_sku]],LEN(Table6[[#This Row],[spawner_sku]])-FIND("/",Table6[[#This Row],[spawner_sku]])),Table1[Entity Prefab],0)),10,1,1,"Entities"))</f>
        <v>83</v>
      </c>
      <c r="AY127" s="75">
        <f ca="1">ROUND((Table6[[#This Row],[XP]]*Table6[[#This Row],[entity_spawned (AVG)]])*(Table6[[#This Row],[activating_chance]]/100),0)</f>
        <v>83</v>
      </c>
      <c r="AZ127" s="145" t="str">
        <f ca="1">INDIRECT(ADDRESS(11+(MATCH(RIGHT(Table6[[#This Row],[spawner_sku]],LEN(Table6[[#This Row],[spawner_sku]])-FIND("/",Table6[[#This Row],[spawner_sku]])),Table28[Entity Prefab],0)),24,1,1,"Entities"))</f>
        <v>no</v>
      </c>
      <c r="BA127">
        <v>1</v>
      </c>
      <c r="BB127">
        <v>1</v>
      </c>
      <c r="BC127" t="b">
        <v>0</v>
      </c>
      <c r="BE127" t="s">
        <v>231</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320</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215</v>
      </c>
      <c r="CM127">
        <v>5.5</v>
      </c>
      <c r="CN127">
        <v>180</v>
      </c>
      <c r="CO127">
        <v>80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5" t="str">
        <f ca="1">INDIRECT(ADDRESS(11+(MATCH(RIGHT(Table11[[#This Row],[spawner_sku]],LEN(Table11[[#This Row],[spawner_sku]])-FIND("/",Table11[[#This Row],[spawner_sku]])),Table28[Entity Prefab],0)),25,1,1,"Entities"))</f>
        <v>no</v>
      </c>
      <c r="CS127" s="72">
        <v>5</v>
      </c>
      <c r="CT127" s="72">
        <v>6</v>
      </c>
      <c r="CU127" s="72" t="b">
        <v>1</v>
      </c>
      <c r="CW127" t="s">
        <v>241</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368</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214</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219</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384</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2699</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2698</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215</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242</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378</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231</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220</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3823</v>
      </c>
      <c r="CB128">
        <v>1</v>
      </c>
      <c r="CC128">
        <v>240</v>
      </c>
      <c r="CD128">
        <v>100</v>
      </c>
      <c r="CE128" s="75">
        <f ca="1">INDIRECT(ADDRESS(11+(MATCH(RIGHT(Table35[[#This Row],[spawner_sku]],LEN(Table35[[#This Row],[spawner_sku]])-FIND("/",Table35[[#This Row],[spawner_sku]])),Table1[Entity Prefab],0)),10,1,1,"Entities"))</f>
        <v>50</v>
      </c>
      <c r="CF128" s="75">
        <f ca="1">ROUND((Table35[[#This Row],[XP]]*Table35[[#This Row],[entity_spawned (AVG)]])*(Table35[[#This Row],[activating_chance]]/100),0)</f>
        <v>50</v>
      </c>
      <c r="CG128" s="145" t="str">
        <f ca="1">INDIRECT(ADDRESS(11+(MATCH(RIGHT(Table35[[#This Row],[spawner_sku]],LEN(Table35[[#This Row],[spawner_sku]])-FIND("/",Table35[[#This Row],[spawner_sku]])),Table28[Entity Prefab],0)),24,1,1,"Entities"))</f>
        <v>no</v>
      </c>
      <c r="CH128">
        <v>1</v>
      </c>
      <c r="CI128">
        <v>1</v>
      </c>
      <c r="CJ128" s="72" t="b">
        <v>0</v>
      </c>
      <c r="CL128" t="s">
        <v>215</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150</v>
      </c>
      <c r="CZ128">
        <v>100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25</v>
      </c>
      <c r="DC128" s="145" t="str">
        <f ca="1">INDIRECT(ADDRESS(11+(MATCH(RIGHT(Table12[[#This Row],[spawner_sku]],LEN(Table12[[#This Row],[spawner_sku]])-FIND("/",Table12[[#This Row],[spawner_sku]])),Table28[Entity Prefab],0)),25,1,1,"Entities"))</f>
        <v>no</v>
      </c>
      <c r="DD128" s="72">
        <v>1</v>
      </c>
      <c r="DE128" s="72">
        <v>1</v>
      </c>
      <c r="DF128" s="72" t="b">
        <v>0</v>
      </c>
      <c r="DH128" t="s">
        <v>368</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214</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219</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384</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2699</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2696</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215</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242</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216</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378</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430</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220</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215</v>
      </c>
      <c r="CM129">
        <v>4</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100</v>
      </c>
      <c r="CR129" s="145" t="str">
        <f ca="1">INDIRECT(ADDRESS(11+(MATCH(RIGHT(Table11[[#This Row],[spawner_sku]],LEN(Table11[[#This Row],[spawner_sku]])-FIND("/",Table11[[#This Row],[spawner_sku]])),Table28[Entity Prefab],0)),25,1,1,"Entities"))</f>
        <v>no</v>
      </c>
      <c r="CS129" s="72">
        <v>4</v>
      </c>
      <c r="CT129" s="72">
        <v>4</v>
      </c>
      <c r="CU129" s="72" t="b">
        <v>0</v>
      </c>
      <c r="CW129" t="s">
        <v>242</v>
      </c>
      <c r="CX129">
        <v>1</v>
      </c>
      <c r="CY129">
        <v>150</v>
      </c>
      <c r="CZ129">
        <v>30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8</v>
      </c>
      <c r="DC129" s="145" t="str">
        <f ca="1">INDIRECT(ADDRESS(11+(MATCH(RIGHT(Table12[[#This Row],[spawner_sku]],LEN(Table12[[#This Row],[spawner_sku]])-FIND("/",Table12[[#This Row],[spawner_sku]])),Table28[Entity Prefab],0)),25,1,1,"Entities"))</f>
        <v>no</v>
      </c>
      <c r="DD129" s="72">
        <v>1</v>
      </c>
      <c r="DE129" s="72">
        <v>1</v>
      </c>
      <c r="DF129" s="72" t="b">
        <v>0</v>
      </c>
      <c r="DH129" t="s">
        <v>368</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214</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219</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384</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2699</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2696</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215</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242</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216</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378</v>
      </c>
      <c r="AU130">
        <v>1</v>
      </c>
      <c r="AV130">
        <v>120</v>
      </c>
      <c r="AW130">
        <v>50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13</v>
      </c>
      <c r="AZ130" s="145" t="str">
        <f ca="1">INDIRECT(ADDRESS(11+(MATCH(RIGHT(Table6[[#This Row],[spawner_sku]],LEN(Table6[[#This Row],[spawner_sku]])-FIND("/",Table6[[#This Row],[spawner_sku]])),Table28[Entity Prefab],0)),24,1,1,"Entities"))</f>
        <v>no</v>
      </c>
      <c r="BA130">
        <v>1</v>
      </c>
      <c r="BB130">
        <v>1</v>
      </c>
      <c r="BC130" t="b">
        <v>0</v>
      </c>
      <c r="BE130" t="s">
        <v>430</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220</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377</v>
      </c>
      <c r="CM130">
        <v>3</v>
      </c>
      <c r="CN130">
        <v>200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5" t="str">
        <f ca="1">INDIRECT(ADDRESS(11+(MATCH(RIGHT(Table11[[#This Row],[spawner_sku]],LEN(Table11[[#This Row],[spawner_sku]])-FIND("/",Table11[[#This Row],[spawner_sku]])),Table28[Entity Prefab],0)),25,1,1,"Entities"))</f>
        <v>no</v>
      </c>
      <c r="CS130" s="72">
        <v>2</v>
      </c>
      <c r="CT130" s="72">
        <v>4</v>
      </c>
      <c r="CU130" s="72" t="b">
        <v>0</v>
      </c>
      <c r="CW130" t="s">
        <v>242</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368</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427</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219</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3839</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2699</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2696</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215</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242</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217</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378</v>
      </c>
      <c r="AU131">
        <v>3</v>
      </c>
      <c r="AV131">
        <v>120</v>
      </c>
      <c r="AW131">
        <v>100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75</v>
      </c>
      <c r="AZ131" s="145" t="str">
        <f ca="1">INDIRECT(ADDRESS(11+(MATCH(RIGHT(Table6[[#This Row],[spawner_sku]],LEN(Table6[[#This Row],[spawner_sku]])-FIND("/",Table6[[#This Row],[spawner_sku]])),Table28[Entity Prefab],0)),24,1,1,"Entities"))</f>
        <v>no</v>
      </c>
      <c r="BA131">
        <v>2</v>
      </c>
      <c r="BB131">
        <v>4</v>
      </c>
      <c r="BC131" t="b">
        <v>0</v>
      </c>
      <c r="BE131" t="s">
        <v>430</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220</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377</v>
      </c>
      <c r="CM131">
        <v>2</v>
      </c>
      <c r="CN131">
        <v>190</v>
      </c>
      <c r="CO131">
        <v>100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5" t="str">
        <f ca="1">INDIRECT(ADDRESS(11+(MATCH(RIGHT(Table11[[#This Row],[spawner_sku]],LEN(Table11[[#This Row],[spawner_sku]])-FIND("/",Table11[[#This Row],[spawner_sku]])),Table28[Entity Prefab],0)),25,1,1,"Entities"))</f>
        <v>no</v>
      </c>
      <c r="CS131" s="72">
        <v>2</v>
      </c>
      <c r="CT131" s="72">
        <v>2</v>
      </c>
      <c r="CU131" s="72" t="b">
        <v>0</v>
      </c>
      <c r="CW131" t="s">
        <v>242</v>
      </c>
      <c r="CX131">
        <v>1</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25</v>
      </c>
      <c r="DC131" s="145" t="str">
        <f ca="1">INDIRECT(ADDRESS(11+(MATCH(RIGHT(Table12[[#This Row],[spawner_sku]],LEN(Table12[[#This Row],[spawner_sku]])-FIND("/",Table12[[#This Row],[spawner_sku]])),Table28[Entity Prefab],0)),25,1,1,"Entities"))</f>
        <v>no</v>
      </c>
      <c r="DD131" s="72">
        <v>1</v>
      </c>
      <c r="DE131" s="72">
        <v>1</v>
      </c>
      <c r="DF131" s="72" t="b">
        <v>0</v>
      </c>
      <c r="DH131" t="s">
        <v>368</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427</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219</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430</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2699</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2696</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215</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242</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217</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378</v>
      </c>
      <c r="AU132">
        <v>1</v>
      </c>
      <c r="AV132">
        <v>120</v>
      </c>
      <c r="AW132">
        <v>50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13</v>
      </c>
      <c r="AZ132" s="145" t="str">
        <f ca="1">INDIRECT(ADDRESS(11+(MATCH(RIGHT(Table6[[#This Row],[spawner_sku]],LEN(Table6[[#This Row],[spawner_sku]])-FIND("/",Table6[[#This Row],[spawner_sku]])),Table28[Entity Prefab],0)),24,1,1,"Entities"))</f>
        <v>no</v>
      </c>
      <c r="BA132">
        <v>1</v>
      </c>
      <c r="BB132">
        <v>1</v>
      </c>
      <c r="BC132" t="b">
        <v>0</v>
      </c>
      <c r="BE132" t="s">
        <v>430</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220</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377</v>
      </c>
      <c r="CM132">
        <v>7</v>
      </c>
      <c r="CN132">
        <v>200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5" t="str">
        <f ca="1">INDIRECT(ADDRESS(11+(MATCH(RIGHT(Table11[[#This Row],[spawner_sku]],LEN(Table11[[#This Row],[spawner_sku]])-FIND("/",Table11[[#This Row],[spawner_sku]])),Table28[Entity Prefab],0)),25,1,1,"Entities"))</f>
        <v>no</v>
      </c>
      <c r="CS132" s="72">
        <v>6</v>
      </c>
      <c r="CT132" s="72">
        <v>8</v>
      </c>
      <c r="CU132" s="72" t="b">
        <v>1</v>
      </c>
      <c r="CW132" t="s">
        <v>242</v>
      </c>
      <c r="CX132">
        <v>1</v>
      </c>
      <c r="CY132">
        <v>150</v>
      </c>
      <c r="CZ132">
        <v>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0</v>
      </c>
      <c r="DC132" s="145" t="str">
        <f ca="1">INDIRECT(ADDRESS(11+(MATCH(RIGHT(Table12[[#This Row],[spawner_sku]],LEN(Table12[[#This Row],[spawner_sku]])-FIND("/",Table12[[#This Row],[spawner_sku]])),Table28[Entity Prefab],0)),25,1,1,"Entities"))</f>
        <v>no</v>
      </c>
      <c r="DD132" s="72">
        <v>1</v>
      </c>
      <c r="DE132" s="72">
        <v>1</v>
      </c>
      <c r="DF132" s="72" t="b">
        <v>0</v>
      </c>
      <c r="DH132" t="s">
        <v>368</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427</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219</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430</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2699</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2696</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215</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242</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373</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378</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5" t="str">
        <f ca="1">INDIRECT(ADDRESS(11+(MATCH(RIGHT(Table6[[#This Row],[spawner_sku]],LEN(Table6[[#This Row],[spawner_sku]])-FIND("/",Table6[[#This Row],[spawner_sku]])),Table28[Entity Prefab],0)),24,1,1,"Entities"))</f>
        <v>no</v>
      </c>
      <c r="BA133">
        <v>1</v>
      </c>
      <c r="BB133">
        <v>1</v>
      </c>
      <c r="BC133" t="b">
        <v>0</v>
      </c>
      <c r="BE133" t="s">
        <v>430</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220</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377</v>
      </c>
      <c r="CM133">
        <v>2</v>
      </c>
      <c r="CN133">
        <v>200</v>
      </c>
      <c r="CO133">
        <v>70</v>
      </c>
      <c r="CP133" s="75">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5" t="str">
        <f ca="1">INDIRECT(ADDRESS(11+(MATCH(RIGHT(Table11[[#This Row],[spawner_sku]],LEN(Table11[[#This Row],[spawner_sku]])-FIND("/",Table11[[#This Row],[spawner_sku]])),Table28[Entity Prefab],0)),25,1,1,"Entities"))</f>
        <v>no</v>
      </c>
      <c r="CS133" s="72">
        <v>2</v>
      </c>
      <c r="CT133" s="72">
        <v>2</v>
      </c>
      <c r="CU133" s="72" t="b">
        <v>0</v>
      </c>
      <c r="CW133" t="s">
        <v>242</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368</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427</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320</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430</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2699</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2696</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215</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242</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218</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378</v>
      </c>
      <c r="AU134">
        <v>3</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75</v>
      </c>
      <c r="AZ134" s="145" t="str">
        <f ca="1">INDIRECT(ADDRESS(11+(MATCH(RIGHT(Table6[[#This Row],[spawner_sku]],LEN(Table6[[#This Row],[spawner_sku]])-FIND("/",Table6[[#This Row],[spawner_sku]])),Table28[Entity Prefab],0)),24,1,1,"Entities"))</f>
        <v>no</v>
      </c>
      <c r="BA134">
        <v>2</v>
      </c>
      <c r="BB134">
        <v>4</v>
      </c>
      <c r="BC134" t="b">
        <v>0</v>
      </c>
      <c r="BE134" t="s">
        <v>430</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220</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377</v>
      </c>
      <c r="CM134">
        <v>5.5</v>
      </c>
      <c r="CN134">
        <v>215</v>
      </c>
      <c r="CO134">
        <v>100</v>
      </c>
      <c r="CP134" s="75">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5" t="str">
        <f ca="1">INDIRECT(ADDRESS(11+(MATCH(RIGHT(Table11[[#This Row],[spawner_sku]],LEN(Table11[[#This Row],[spawner_sku]])-FIND("/",Table11[[#This Row],[spawner_sku]])),Table28[Entity Prefab],0)),25,1,1,"Entities"))</f>
        <v>no</v>
      </c>
      <c r="CS134" s="72">
        <v>5</v>
      </c>
      <c r="CT134" s="72">
        <v>6</v>
      </c>
      <c r="CU134" s="72" t="b">
        <v>1</v>
      </c>
      <c r="CW134" t="s">
        <v>242</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368</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427</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320</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495</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2699</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2696</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215</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242</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218</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378</v>
      </c>
      <c r="AU135">
        <v>5</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125</v>
      </c>
      <c r="AZ135" s="145" t="str">
        <f ca="1">INDIRECT(ADDRESS(11+(MATCH(RIGHT(Table6[[#This Row],[spawner_sku]],LEN(Table6[[#This Row],[spawner_sku]])-FIND("/",Table6[[#This Row],[spawner_sku]])),Table28[Entity Prefab],0)),24,1,1,"Entities"))</f>
        <v>no</v>
      </c>
      <c r="BA135">
        <v>5</v>
      </c>
      <c r="BB135">
        <v>5</v>
      </c>
      <c r="BC135" t="b">
        <v>1</v>
      </c>
      <c r="BE135" t="s">
        <v>430</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377</v>
      </c>
      <c r="CM135">
        <v>5.5</v>
      </c>
      <c r="CN135">
        <v>200</v>
      </c>
      <c r="CO135">
        <v>100</v>
      </c>
      <c r="CP135" s="75">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5" t="str">
        <f ca="1">INDIRECT(ADDRESS(11+(MATCH(RIGHT(Table11[[#This Row],[spawner_sku]],LEN(Table11[[#This Row],[spawner_sku]])-FIND("/",Table11[[#This Row],[spawner_sku]])),Table28[Entity Prefab],0)),25,1,1,"Entities"))</f>
        <v>no</v>
      </c>
      <c r="CS135" s="72">
        <v>5</v>
      </c>
      <c r="CT135" s="72">
        <v>6</v>
      </c>
      <c r="CU135" s="72" t="b">
        <v>1</v>
      </c>
      <c r="CW135" t="s">
        <v>242</v>
      </c>
      <c r="CX135">
        <v>2</v>
      </c>
      <c r="CY135">
        <v>100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50</v>
      </c>
      <c r="DC135" s="145" t="str">
        <f ca="1">INDIRECT(ADDRESS(11+(MATCH(RIGHT(Table12[[#This Row],[spawner_sku]],LEN(Table12[[#This Row],[spawner_sku]])-FIND("/",Table12[[#This Row],[spawner_sku]])),Table28[Entity Prefab],0)),25,1,1,"Entities"))</f>
        <v>no</v>
      </c>
      <c r="DD135" s="72">
        <v>2</v>
      </c>
      <c r="DE135" s="72">
        <v>2</v>
      </c>
      <c r="DF135" s="72" t="b">
        <v>0</v>
      </c>
      <c r="DH135" t="s">
        <v>368</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218</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320</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495</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2699</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2696</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215</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242</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218</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429</v>
      </c>
      <c r="AU136">
        <v>1</v>
      </c>
      <c r="AV136">
        <v>120</v>
      </c>
      <c r="AW136">
        <v>50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13</v>
      </c>
      <c r="AZ136" s="145" t="str">
        <f ca="1">INDIRECT(ADDRESS(11+(MATCH(RIGHT(Table6[[#This Row],[spawner_sku]],LEN(Table6[[#This Row],[spawner_sku]])-FIND("/",Table6[[#This Row],[spawner_sku]])),Table28[Entity Prefab],0)),24,1,1,"Entities"))</f>
        <v>no</v>
      </c>
      <c r="BA136">
        <v>1</v>
      </c>
      <c r="BB136">
        <v>1</v>
      </c>
      <c r="BC136" t="b">
        <v>0</v>
      </c>
      <c r="BE136" t="s">
        <v>430</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321</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377</v>
      </c>
      <c r="CM136">
        <v>2</v>
      </c>
      <c r="CN136">
        <v>200</v>
      </c>
      <c r="CO136">
        <v>100</v>
      </c>
      <c r="CP136" s="75">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5" t="str">
        <f ca="1">INDIRECT(ADDRESS(11+(MATCH(RIGHT(Table11[[#This Row],[spawner_sku]],LEN(Table11[[#This Row],[spawner_sku]])-FIND("/",Table11[[#This Row],[spawner_sku]])),Table28[Entity Prefab],0)),25,1,1,"Entities"))</f>
        <v>no</v>
      </c>
      <c r="CS136" s="72">
        <v>2</v>
      </c>
      <c r="CT136" s="72">
        <v>2</v>
      </c>
      <c r="CU136" s="72" t="b">
        <v>0</v>
      </c>
      <c r="CW136" t="s">
        <v>242</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368</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218</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320</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495</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3840</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2696</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215</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242</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218</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429</v>
      </c>
      <c r="AU137">
        <v>1</v>
      </c>
      <c r="AV137">
        <v>120</v>
      </c>
      <c r="AW137">
        <v>100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25</v>
      </c>
      <c r="AZ137" s="145" t="str">
        <f ca="1">INDIRECT(ADDRESS(11+(MATCH(RIGHT(Table6[[#This Row],[spawner_sku]],LEN(Table6[[#This Row],[spawner_sku]])-FIND("/",Table6[[#This Row],[spawner_sku]])),Table28[Entity Prefab],0)),24,1,1,"Entities"))</f>
        <v>no</v>
      </c>
      <c r="BA137">
        <v>1</v>
      </c>
      <c r="BB137">
        <v>1</v>
      </c>
      <c r="BC137" t="b">
        <v>0</v>
      </c>
      <c r="BE137" t="s">
        <v>430</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321</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377</v>
      </c>
      <c r="CM137">
        <v>5.5</v>
      </c>
      <c r="CN137">
        <v>190</v>
      </c>
      <c r="CO137">
        <v>100</v>
      </c>
      <c r="CP137" s="75">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5" t="str">
        <f ca="1">INDIRECT(ADDRESS(11+(MATCH(RIGHT(Table11[[#This Row],[spawner_sku]],LEN(Table11[[#This Row],[spawner_sku]])-FIND("/",Table11[[#This Row],[spawner_sku]])),Table28[Entity Prefab],0)),25,1,1,"Entities"))</f>
        <v>no</v>
      </c>
      <c r="CS137" s="72">
        <v>5</v>
      </c>
      <c r="CT137" s="72">
        <v>6</v>
      </c>
      <c r="CU137" s="72" t="b">
        <v>1</v>
      </c>
      <c r="CW137" t="s">
        <v>242</v>
      </c>
      <c r="CX137">
        <v>2.5</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63</v>
      </c>
      <c r="DC137" s="145" t="str">
        <f ca="1">INDIRECT(ADDRESS(11+(MATCH(RIGHT(Table12[[#This Row],[spawner_sku]],LEN(Table12[[#This Row],[spawner_sku]])-FIND("/",Table12[[#This Row],[spawner_sku]])),Table28[Entity Prefab],0)),25,1,1,"Entities"))</f>
        <v>no</v>
      </c>
      <c r="DD137" s="72">
        <v>2</v>
      </c>
      <c r="DE137" s="72">
        <v>3</v>
      </c>
      <c r="DF137" s="72" t="b">
        <v>0</v>
      </c>
      <c r="DH137" t="s">
        <v>368</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218</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320</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495</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3840</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2696</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215</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242</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218</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429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5" t="str">
        <f ca="1">INDIRECT(ADDRESS(11+(MATCH(RIGHT(Table6[[#This Row],[spawner_sku]],LEN(Table6[[#This Row],[spawner_sku]])-FIND("/",Table6[[#This Row],[spawner_sku]])),Table28[Entity Prefab],0)),24,1,1,"Entities"))</f>
        <v>no</v>
      </c>
      <c r="BA138">
        <v>1</v>
      </c>
      <c r="BB138">
        <v>1</v>
      </c>
      <c r="BC138" t="b">
        <v>0</v>
      </c>
      <c r="BE138" t="s">
        <v>430</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377</v>
      </c>
      <c r="CM138">
        <v>2</v>
      </c>
      <c r="CN138">
        <v>200</v>
      </c>
      <c r="CO138">
        <v>100</v>
      </c>
      <c r="CP138" s="75">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5" t="str">
        <f ca="1">INDIRECT(ADDRESS(11+(MATCH(RIGHT(Table11[[#This Row],[spawner_sku]],LEN(Table11[[#This Row],[spawner_sku]])-FIND("/",Table11[[#This Row],[spawner_sku]])),Table28[Entity Prefab],0)),25,1,1,"Entities"))</f>
        <v>no</v>
      </c>
      <c r="CS138" s="72">
        <v>2</v>
      </c>
      <c r="CT138" s="72">
        <v>2</v>
      </c>
      <c r="CU138" s="72" t="b">
        <v>0</v>
      </c>
      <c r="CW138" t="s">
        <v>242</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368</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218</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320</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495</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3840</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2696</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215</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242</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219</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429</v>
      </c>
      <c r="AU139">
        <v>1</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25</v>
      </c>
      <c r="AZ139" s="145" t="str">
        <f ca="1">INDIRECT(ADDRESS(11+(MATCH(RIGHT(Table6[[#This Row],[spawner_sku]],LEN(Table6[[#This Row],[spawner_sku]])-FIND("/",Table6[[#This Row],[spawner_sku]])),Table28[Entity Prefab],0)),24,1,1,"Entities"))</f>
        <v>no</v>
      </c>
      <c r="BA139">
        <v>1</v>
      </c>
      <c r="BB139">
        <v>1</v>
      </c>
      <c r="BC139" t="b">
        <v>0</v>
      </c>
      <c r="BE139" t="s">
        <v>430</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321</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377</v>
      </c>
      <c r="CM139">
        <v>2</v>
      </c>
      <c r="CN139">
        <v>200</v>
      </c>
      <c r="CO139">
        <v>100</v>
      </c>
      <c r="CP139" s="75">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5" t="str">
        <f ca="1">INDIRECT(ADDRESS(11+(MATCH(RIGHT(Table11[[#This Row],[spawner_sku]],LEN(Table11[[#This Row],[spawner_sku]])-FIND("/",Table11[[#This Row],[spawner_sku]])),Table28[Entity Prefab],0)),25,1,1,"Entities"))</f>
        <v>no</v>
      </c>
      <c r="CS139" s="72">
        <v>2</v>
      </c>
      <c r="CT139" s="72">
        <v>2</v>
      </c>
      <c r="CU139" s="72" t="b">
        <v>0</v>
      </c>
      <c r="CW139" t="s">
        <v>242</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233</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218</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320</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495</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2707</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2696</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215</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242</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219</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429</v>
      </c>
      <c r="AU140">
        <v>3</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75</v>
      </c>
      <c r="AZ140" s="145" t="str">
        <f ca="1">INDIRECT(ADDRESS(11+(MATCH(RIGHT(Table6[[#This Row],[spawner_sku]],LEN(Table6[[#This Row],[spawner_sku]])-FIND("/",Table6[[#This Row],[spawner_sku]])),Table28[Entity Prefab],0)),24,1,1,"Entities"))</f>
        <v>no</v>
      </c>
      <c r="BA140">
        <v>3</v>
      </c>
      <c r="BB140">
        <v>3</v>
      </c>
      <c r="BC140" t="b">
        <v>0</v>
      </c>
      <c r="BE140" t="s">
        <v>430</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321</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377</v>
      </c>
      <c r="CM140">
        <v>1.5</v>
      </c>
      <c r="CN140">
        <v>200</v>
      </c>
      <c r="CO140">
        <v>100</v>
      </c>
      <c r="CP140" s="75">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5" t="str">
        <f ca="1">INDIRECT(ADDRESS(11+(MATCH(RIGHT(Table11[[#This Row],[spawner_sku]],LEN(Table11[[#This Row],[spawner_sku]])-FIND("/",Table11[[#This Row],[spawner_sku]])),Table28[Entity Prefab],0)),25,1,1,"Entities"))</f>
        <v>no</v>
      </c>
      <c r="CS140" s="72">
        <v>1</v>
      </c>
      <c r="CT140" s="72">
        <v>2</v>
      </c>
      <c r="CU140" s="72" t="b">
        <v>0</v>
      </c>
      <c r="CW140" t="s">
        <v>242</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233</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218</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220</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495</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2707</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2696</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215</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242</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219</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429</v>
      </c>
      <c r="AU141">
        <v>4</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100</v>
      </c>
      <c r="AZ141" s="145" t="str">
        <f ca="1">INDIRECT(ADDRESS(11+(MATCH(RIGHT(Table6[[#This Row],[spawner_sku]],LEN(Table6[[#This Row],[spawner_sku]])-FIND("/",Table6[[#This Row],[spawner_sku]])),Table28[Entity Prefab],0)),24,1,1,"Entities"))</f>
        <v>no</v>
      </c>
      <c r="BA141">
        <v>4</v>
      </c>
      <c r="BB141">
        <v>4</v>
      </c>
      <c r="BC141" t="b">
        <v>0</v>
      </c>
      <c r="BE141" t="s">
        <v>2638</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321</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377</v>
      </c>
      <c r="CM141">
        <v>2</v>
      </c>
      <c r="CN141">
        <v>215</v>
      </c>
      <c r="CO141">
        <v>100</v>
      </c>
      <c r="CP141" s="75">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5" t="str">
        <f ca="1">INDIRECT(ADDRESS(11+(MATCH(RIGHT(Table11[[#This Row],[spawner_sku]],LEN(Table11[[#This Row],[spawner_sku]])-FIND("/",Table11[[#This Row],[spawner_sku]])),Table28[Entity Prefab],0)),25,1,1,"Entities"))</f>
        <v>no</v>
      </c>
      <c r="CS141" s="72">
        <v>2</v>
      </c>
      <c r="CT141" s="72">
        <v>2</v>
      </c>
      <c r="CU141" s="72" t="b">
        <v>0</v>
      </c>
      <c r="CW141" t="s">
        <v>242</v>
      </c>
      <c r="CX141">
        <v>2</v>
      </c>
      <c r="CY141">
        <v>100</v>
      </c>
      <c r="CZ141">
        <v>40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3</v>
      </c>
      <c r="DF141" s="72" t="b">
        <v>0</v>
      </c>
      <c r="DH141" t="s">
        <v>233</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218</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220</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495</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2707</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2704</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215</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242</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219</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429</v>
      </c>
      <c r="AU142">
        <v>3</v>
      </c>
      <c r="AV142">
        <v>90</v>
      </c>
      <c r="AW142">
        <v>100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75</v>
      </c>
      <c r="AZ142" s="145" t="str">
        <f ca="1">INDIRECT(ADDRESS(11+(MATCH(RIGHT(Table6[[#This Row],[spawner_sku]],LEN(Table6[[#This Row],[spawner_sku]])-FIND("/",Table6[[#This Row],[spawner_sku]])),Table28[Entity Prefab],0)),24,1,1,"Entities"))</f>
        <v>no</v>
      </c>
      <c r="BA142">
        <v>3</v>
      </c>
      <c r="BB142">
        <v>3</v>
      </c>
      <c r="BC142" t="b">
        <v>0</v>
      </c>
      <c r="BE142" t="s">
        <v>2638</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321</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377</v>
      </c>
      <c r="CM142">
        <v>2</v>
      </c>
      <c r="CN142">
        <v>200</v>
      </c>
      <c r="CO142">
        <v>100</v>
      </c>
      <c r="CP142" s="75">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5" t="str">
        <f ca="1">INDIRECT(ADDRESS(11+(MATCH(RIGHT(Table11[[#This Row],[spawner_sku]],LEN(Table11[[#This Row],[spawner_sku]])-FIND("/",Table11[[#This Row],[spawner_sku]])),Table28[Entity Prefab],0)),25,1,1,"Entities"))</f>
        <v>no</v>
      </c>
      <c r="CS142" s="72">
        <v>2</v>
      </c>
      <c r="CT142" s="72">
        <v>2</v>
      </c>
      <c r="CU142" s="72" t="b">
        <v>0</v>
      </c>
      <c r="CW142" t="s">
        <v>242</v>
      </c>
      <c r="CX142">
        <v>1</v>
      </c>
      <c r="CY142">
        <v>150</v>
      </c>
      <c r="CZ142">
        <v>50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13</v>
      </c>
      <c r="DC142" s="145" t="str">
        <f ca="1">INDIRECT(ADDRESS(11+(MATCH(RIGHT(Table12[[#This Row],[spawner_sku]],LEN(Table12[[#This Row],[spawner_sku]])-FIND("/",Table12[[#This Row],[spawner_sku]])),Table28[Entity Prefab],0)),25,1,1,"Entities"))</f>
        <v>no</v>
      </c>
      <c r="DD142" s="72">
        <v>1</v>
      </c>
      <c r="DE142" s="72">
        <v>1</v>
      </c>
      <c r="DF142" s="72" t="b">
        <v>0</v>
      </c>
      <c r="DH142" t="s">
        <v>233</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218</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220</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495</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2698</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2704</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215</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242</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219</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240</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2638</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321</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377</v>
      </c>
      <c r="CM143">
        <v>2</v>
      </c>
      <c r="CN143">
        <v>200</v>
      </c>
      <c r="CO143">
        <v>100</v>
      </c>
      <c r="CP143" s="75">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5" t="str">
        <f ca="1">INDIRECT(ADDRESS(11+(MATCH(RIGHT(Table11[[#This Row],[spawner_sku]],LEN(Table11[[#This Row],[spawner_sku]])-FIND("/",Table11[[#This Row],[spawner_sku]])),Table28[Entity Prefab],0)),25,1,1,"Entities"))</f>
        <v>no</v>
      </c>
      <c r="CS143" s="72">
        <v>2</v>
      </c>
      <c r="CT143" s="72">
        <v>2</v>
      </c>
      <c r="CU143" s="72" t="b">
        <v>0</v>
      </c>
      <c r="CW143" t="s">
        <v>242</v>
      </c>
      <c r="CX143">
        <v>3</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75</v>
      </c>
      <c r="DC143" s="145" t="str">
        <f ca="1">INDIRECT(ADDRESS(11+(MATCH(RIGHT(Table12[[#This Row],[spawner_sku]],LEN(Table12[[#This Row],[spawner_sku]])-FIND("/",Table12[[#This Row],[spawner_sku]])),Table28[Entity Prefab],0)),25,1,1,"Entities"))</f>
        <v>no</v>
      </c>
      <c r="DD143" s="72">
        <v>2</v>
      </c>
      <c r="DE143" s="72">
        <v>4</v>
      </c>
      <c r="DF143" s="72" t="b">
        <v>0</v>
      </c>
      <c r="DH143" t="s">
        <v>233</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218</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220</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495</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2698</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2704</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215</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242</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219</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240</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2638</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321</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377</v>
      </c>
      <c r="CM144">
        <v>5.5</v>
      </c>
      <c r="CN144">
        <v>200</v>
      </c>
      <c r="CO144">
        <v>100</v>
      </c>
      <c r="CP144" s="75">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5" t="str">
        <f ca="1">INDIRECT(ADDRESS(11+(MATCH(RIGHT(Table11[[#This Row],[spawner_sku]],LEN(Table11[[#This Row],[spawner_sku]])-FIND("/",Table11[[#This Row],[spawner_sku]])),Table28[Entity Prefab],0)),25,1,1,"Entities"))</f>
        <v>no</v>
      </c>
      <c r="CS144" s="72">
        <v>5</v>
      </c>
      <c r="CT144" s="72">
        <v>6</v>
      </c>
      <c r="CU144" s="72" t="b">
        <v>1</v>
      </c>
      <c r="CW144" t="s">
        <v>242</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233</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218</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220</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495</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2698</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2704</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215</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242</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219</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240</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2638</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321</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377</v>
      </c>
      <c r="CM145">
        <v>2</v>
      </c>
      <c r="CN145">
        <v>215</v>
      </c>
      <c r="CO145">
        <v>100</v>
      </c>
      <c r="CP145" s="75">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5" t="str">
        <f ca="1">INDIRECT(ADDRESS(11+(MATCH(RIGHT(Table11[[#This Row],[spawner_sku]],LEN(Table11[[#This Row],[spawner_sku]])-FIND("/",Table11[[#This Row],[spawner_sku]])),Table28[Entity Prefab],0)),25,1,1,"Entities"))</f>
        <v>no</v>
      </c>
      <c r="CS145" s="72">
        <v>2</v>
      </c>
      <c r="CT145" s="72">
        <v>2</v>
      </c>
      <c r="CU145" s="72" t="b">
        <v>0</v>
      </c>
      <c r="CW145" t="s">
        <v>242</v>
      </c>
      <c r="CX145">
        <v>1</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25</v>
      </c>
      <c r="DC145" s="145" t="str">
        <f ca="1">INDIRECT(ADDRESS(11+(MATCH(RIGHT(Table12[[#This Row],[spawner_sku]],LEN(Table12[[#This Row],[spawner_sku]])-FIND("/",Table12[[#This Row],[spawner_sku]])),Table28[Entity Prefab],0)),25,1,1,"Entities"))</f>
        <v>no</v>
      </c>
      <c r="DD145" s="72">
        <v>1</v>
      </c>
      <c r="DE145" s="72">
        <v>1</v>
      </c>
      <c r="DF145" s="72" t="b">
        <v>0</v>
      </c>
      <c r="DH145" t="s">
        <v>233</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218</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220</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495</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2698</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2704</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215</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242</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219</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240</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2638</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321</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377</v>
      </c>
      <c r="CM146">
        <v>2</v>
      </c>
      <c r="CN146">
        <v>215</v>
      </c>
      <c r="CO146">
        <v>100</v>
      </c>
      <c r="CP146" s="75">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5" t="str">
        <f ca="1">INDIRECT(ADDRESS(11+(MATCH(RIGHT(Table11[[#This Row],[spawner_sku]],LEN(Table11[[#This Row],[spawner_sku]])-FIND("/",Table11[[#This Row],[spawner_sku]])),Table28[Entity Prefab],0)),25,1,1,"Entities"))</f>
        <v>no</v>
      </c>
      <c r="CS146" s="72">
        <v>2</v>
      </c>
      <c r="CT146" s="72">
        <v>2</v>
      </c>
      <c r="CU146" s="72" t="b">
        <v>0</v>
      </c>
      <c r="CW146" t="s">
        <v>242</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233</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218</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220</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495</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2698</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2704</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215</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242</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219</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240</v>
      </c>
      <c r="AU147">
        <v>1</v>
      </c>
      <c r="AV147">
        <v>170</v>
      </c>
      <c r="AW147">
        <v>100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70</v>
      </c>
      <c r="AZ147" s="145" t="str">
        <f ca="1">INDIRECT(ADDRESS(11+(MATCH(RIGHT(Table6[[#This Row],[spawner_sku]],LEN(Table6[[#This Row],[spawner_sku]])-FIND("/",Table6[[#This Row],[spawner_sku]])),Table28[Entity Prefab],0)),24,1,1,"Entities"))</f>
        <v>yes</v>
      </c>
      <c r="BA147">
        <v>1</v>
      </c>
      <c r="BB147">
        <v>1</v>
      </c>
      <c r="BC147" t="b">
        <v>0</v>
      </c>
      <c r="BE147" t="s">
        <v>450</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321</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377</v>
      </c>
      <c r="CM147">
        <v>2</v>
      </c>
      <c r="CN147">
        <v>200</v>
      </c>
      <c r="CO147">
        <v>100</v>
      </c>
      <c r="CP147" s="75">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5" t="str">
        <f ca="1">INDIRECT(ADDRESS(11+(MATCH(RIGHT(Table11[[#This Row],[spawner_sku]],LEN(Table11[[#This Row],[spawner_sku]])-FIND("/",Table11[[#This Row],[spawner_sku]])),Table28[Entity Prefab],0)),25,1,1,"Entities"))</f>
        <v>no</v>
      </c>
      <c r="CS147" s="72">
        <v>2</v>
      </c>
      <c r="CT147" s="72">
        <v>2</v>
      </c>
      <c r="CU147" s="72" t="b">
        <v>0</v>
      </c>
      <c r="CW147" t="s">
        <v>242</v>
      </c>
      <c r="CX147">
        <v>1</v>
      </c>
      <c r="CY147">
        <v>150</v>
      </c>
      <c r="CZ147">
        <v>30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8</v>
      </c>
      <c r="DC147" s="145" t="str">
        <f ca="1">INDIRECT(ADDRESS(11+(MATCH(RIGHT(Table12[[#This Row],[spawner_sku]],LEN(Table12[[#This Row],[spawner_sku]])-FIND("/",Table12[[#This Row],[spawner_sku]])),Table28[Entity Prefab],0)),25,1,1,"Entities"))</f>
        <v>no</v>
      </c>
      <c r="DD147" s="72">
        <v>1</v>
      </c>
      <c r="DE147" s="72">
        <v>1</v>
      </c>
      <c r="DF147" s="72" t="b">
        <v>0</v>
      </c>
      <c r="DH147" t="s">
        <v>233</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223</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220</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495</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2698</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2704</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215</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242</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219</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240</v>
      </c>
      <c r="AU148">
        <v>1</v>
      </c>
      <c r="AV148">
        <v>170</v>
      </c>
      <c r="AW148">
        <v>30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21</v>
      </c>
      <c r="AZ148" s="145" t="str">
        <f ca="1">INDIRECT(ADDRESS(11+(MATCH(RIGHT(Table6[[#This Row],[spawner_sku]],LEN(Table6[[#This Row],[spawner_sku]])-FIND("/",Table6[[#This Row],[spawner_sku]])),Table28[Entity Prefab],0)),24,1,1,"Entities"))</f>
        <v>yes</v>
      </c>
      <c r="BA148">
        <v>1</v>
      </c>
      <c r="BB148">
        <v>1</v>
      </c>
      <c r="BC148" t="b">
        <v>0</v>
      </c>
      <c r="BE148" t="s">
        <v>450</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321</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377</v>
      </c>
      <c r="CM148">
        <v>6</v>
      </c>
      <c r="CN148">
        <v>200</v>
      </c>
      <c r="CO148">
        <v>100</v>
      </c>
      <c r="CP148" s="75">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5" t="str">
        <f ca="1">INDIRECT(ADDRESS(11+(MATCH(RIGHT(Table11[[#This Row],[spawner_sku]],LEN(Table11[[#This Row],[spawner_sku]])-FIND("/",Table11[[#This Row],[spawner_sku]])),Table28[Entity Prefab],0)),25,1,1,"Entities"))</f>
        <v>no</v>
      </c>
      <c r="CS148" s="72">
        <v>5</v>
      </c>
      <c r="CT148" s="72">
        <v>7</v>
      </c>
      <c r="CU148" s="72" t="b">
        <v>1</v>
      </c>
      <c r="CW148" t="s">
        <v>242</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233</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223</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220</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371</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2698</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2704</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215</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242</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219</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241</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424</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384</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377</v>
      </c>
      <c r="CM149">
        <v>2</v>
      </c>
      <c r="CN149">
        <v>200</v>
      </c>
      <c r="CO149">
        <v>100</v>
      </c>
      <c r="CP149" s="75">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5" t="str">
        <f ca="1">INDIRECT(ADDRESS(11+(MATCH(RIGHT(Table11[[#This Row],[spawner_sku]],LEN(Table11[[#This Row],[spawner_sku]])-FIND("/",Table11[[#This Row],[spawner_sku]])),Table28[Entity Prefab],0)),25,1,1,"Entities"))</f>
        <v>no</v>
      </c>
      <c r="CS149" s="72">
        <v>2</v>
      </c>
      <c r="CT149" s="72">
        <v>2</v>
      </c>
      <c r="CU149" s="72" t="b">
        <v>0</v>
      </c>
      <c r="CW149" t="s">
        <v>242</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233</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223</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220</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371</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2696</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2704</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215</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242</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220</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241</v>
      </c>
      <c r="AU150">
        <v>1</v>
      </c>
      <c r="AV150">
        <v>170</v>
      </c>
      <c r="AW150">
        <v>100</v>
      </c>
      <c r="AX150" s="75">
        <f ca="1">INDIRECT(ADDRESS(11+(MATCH(RIGHT(Table6[[#This Row],[spawner_sku]],LEN(Table6[[#This Row],[spawner_sku]])-FIND("/",Table6[[#This Row],[spawner_sku]])),Table1[Entity Prefab],0)),10,1,1,"Entities"))</f>
        <v>70</v>
      </c>
      <c r="AY150" s="75">
        <f ca="1">ROUND((Table6[[#This Row],[XP]]*Table6[[#This Row],[entity_spawned (AVG)]])*(Table6[[#This Row],[activating_chance]]/100),0)</f>
        <v>70</v>
      </c>
      <c r="AZ150" s="145" t="str">
        <f ca="1">INDIRECT(ADDRESS(11+(MATCH(RIGHT(Table6[[#This Row],[spawner_sku]],LEN(Table6[[#This Row],[spawner_sku]])-FIND("/",Table6[[#This Row],[spawner_sku]])),Table28[Entity Prefab],0)),24,1,1,"Entities"))</f>
        <v>yes</v>
      </c>
      <c r="BA150">
        <v>1</v>
      </c>
      <c r="BB150">
        <v>1</v>
      </c>
      <c r="BC150" t="b">
        <v>0</v>
      </c>
      <c r="BE150" t="s">
        <v>424</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384</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377</v>
      </c>
      <c r="CM150">
        <v>2</v>
      </c>
      <c r="CN150">
        <v>200</v>
      </c>
      <c r="CO150">
        <v>100</v>
      </c>
      <c r="CP150" s="75">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5" t="str">
        <f ca="1">INDIRECT(ADDRESS(11+(MATCH(RIGHT(Table11[[#This Row],[spawner_sku]],LEN(Table11[[#This Row],[spawner_sku]])-FIND("/",Table11[[#This Row],[spawner_sku]])),Table28[Entity Prefab],0)),25,1,1,"Entities"))</f>
        <v>no</v>
      </c>
      <c r="CS150" s="72">
        <v>2</v>
      </c>
      <c r="CT150" s="72">
        <v>2</v>
      </c>
      <c r="CU150" s="72" t="b">
        <v>0</v>
      </c>
      <c r="CW150" t="s">
        <v>242</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233</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223</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220</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371</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2696</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2704</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215</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242</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220</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243</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424</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384</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377</v>
      </c>
      <c r="CM151">
        <v>6</v>
      </c>
      <c r="CN151">
        <v>200</v>
      </c>
      <c r="CO151">
        <v>100</v>
      </c>
      <c r="CP151" s="75">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5" t="str">
        <f ca="1">INDIRECT(ADDRESS(11+(MATCH(RIGHT(Table11[[#This Row],[spawner_sku]],LEN(Table11[[#This Row],[spawner_sku]])-FIND("/",Table11[[#This Row],[spawner_sku]])),Table28[Entity Prefab],0)),25,1,1,"Entities"))</f>
        <v>no</v>
      </c>
      <c r="CS151" s="72">
        <v>5</v>
      </c>
      <c r="CT151" s="72">
        <v>7</v>
      </c>
      <c r="CU151" s="72" t="b">
        <v>1</v>
      </c>
      <c r="CW151" t="s">
        <v>242</v>
      </c>
      <c r="CX151">
        <v>1</v>
      </c>
      <c r="CY151">
        <v>150</v>
      </c>
      <c r="CZ151">
        <v>80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20</v>
      </c>
      <c r="DC151" s="145" t="str">
        <f ca="1">INDIRECT(ADDRESS(11+(MATCH(RIGHT(Table12[[#This Row],[spawner_sku]],LEN(Table12[[#This Row],[spawner_sku]])-FIND("/",Table12[[#This Row],[spawner_sku]])),Table28[Entity Prefab],0)),25,1,1,"Entities"))</f>
        <v>no</v>
      </c>
      <c r="DD151" s="72">
        <v>1</v>
      </c>
      <c r="DE151" s="72">
        <v>1</v>
      </c>
      <c r="DF151" s="72" t="b">
        <v>0</v>
      </c>
      <c r="DH151" t="s">
        <v>233</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223</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321</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371</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2696</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2704</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215</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242</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384</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243</v>
      </c>
      <c r="AU152">
        <v>1</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25</v>
      </c>
      <c r="AZ152" s="145" t="str">
        <f ca="1">INDIRECT(ADDRESS(11+(MATCH(RIGHT(Table6[[#This Row],[spawner_sku]],LEN(Table6[[#This Row],[spawner_sku]])-FIND("/",Table6[[#This Row],[spawner_sku]])),Table28[Entity Prefab],0)),24,1,1,"Entities"))</f>
        <v>no</v>
      </c>
      <c r="BA152">
        <v>1</v>
      </c>
      <c r="BB152">
        <v>1</v>
      </c>
      <c r="BC152" t="b">
        <v>0</v>
      </c>
      <c r="BE152" t="s">
        <v>424</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384</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377</v>
      </c>
      <c r="CM152">
        <v>6</v>
      </c>
      <c r="CN152">
        <v>200</v>
      </c>
      <c r="CO152">
        <v>100</v>
      </c>
      <c r="CP152" s="75">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5" t="str">
        <f ca="1">INDIRECT(ADDRESS(11+(MATCH(RIGHT(Table11[[#This Row],[spawner_sku]],LEN(Table11[[#This Row],[spawner_sku]])-FIND("/",Table11[[#This Row],[spawner_sku]])),Table28[Entity Prefab],0)),25,1,1,"Entities"))</f>
        <v>no</v>
      </c>
      <c r="CS152" s="72">
        <v>6</v>
      </c>
      <c r="CT152" s="72">
        <v>6</v>
      </c>
      <c r="CU152" s="72" t="b">
        <v>1</v>
      </c>
      <c r="CW152" t="s">
        <v>242</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233</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223</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321</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371</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2696</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2704</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215</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242</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384</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243</v>
      </c>
      <c r="AU153">
        <v>2</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50</v>
      </c>
      <c r="AZ153" s="145" t="str">
        <f ca="1">INDIRECT(ADDRESS(11+(MATCH(RIGHT(Table6[[#This Row],[spawner_sku]],LEN(Table6[[#This Row],[spawner_sku]])-FIND("/",Table6[[#This Row],[spawner_sku]])),Table28[Entity Prefab],0)),24,1,1,"Entities"))</f>
        <v>no</v>
      </c>
      <c r="BA153">
        <v>2</v>
      </c>
      <c r="BB153">
        <v>2</v>
      </c>
      <c r="BC153" t="b">
        <v>0</v>
      </c>
      <c r="BE153" t="s">
        <v>424</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384</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377</v>
      </c>
      <c r="CM153">
        <v>2</v>
      </c>
      <c r="CN153">
        <v>190</v>
      </c>
      <c r="CO153">
        <v>100</v>
      </c>
      <c r="CP153" s="75">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5" t="str">
        <f ca="1">INDIRECT(ADDRESS(11+(MATCH(RIGHT(Table11[[#This Row],[spawner_sku]],LEN(Table11[[#This Row],[spawner_sku]])-FIND("/",Table11[[#This Row],[spawner_sku]])),Table28[Entity Prefab],0)),25,1,1,"Entities"))</f>
        <v>no</v>
      </c>
      <c r="CS153" s="72">
        <v>2</v>
      </c>
      <c r="CT153" s="72">
        <v>2</v>
      </c>
      <c r="CU153" s="72" t="b">
        <v>0</v>
      </c>
      <c r="CW153" t="s">
        <v>243</v>
      </c>
      <c r="CX153">
        <v>1</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25</v>
      </c>
      <c r="DC153" s="145" t="str">
        <f ca="1">INDIRECT(ADDRESS(11+(MATCH(RIGHT(Table12[[#This Row],[spawner_sku]],LEN(Table12[[#This Row],[spawner_sku]])-FIND("/",Table12[[#This Row],[spawner_sku]])),Table28[Entity Prefab],0)),25,1,1,"Entities"))</f>
        <v>no</v>
      </c>
      <c r="DD153" s="72">
        <v>1</v>
      </c>
      <c r="DE153" s="72">
        <v>1</v>
      </c>
      <c r="DF153" s="72" t="b">
        <v>0</v>
      </c>
      <c r="DH153" t="s">
        <v>5017</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223</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321</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371</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2704</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2704</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215</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242</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384</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243</v>
      </c>
      <c r="AU154">
        <v>1</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25</v>
      </c>
      <c r="AZ154" s="145" t="str">
        <f ca="1">INDIRECT(ADDRESS(11+(MATCH(RIGHT(Table6[[#This Row],[spawner_sku]],LEN(Table6[[#This Row],[spawner_sku]])-FIND("/",Table6[[#This Row],[spawner_sku]])),Table28[Entity Prefab],0)),24,1,1,"Entities"))</f>
        <v>no</v>
      </c>
      <c r="BA154">
        <v>1</v>
      </c>
      <c r="BB154">
        <v>1</v>
      </c>
      <c r="BC154" t="b">
        <v>0</v>
      </c>
      <c r="BE154" t="s">
        <v>424</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384</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377</v>
      </c>
      <c r="CM154">
        <v>5.5</v>
      </c>
      <c r="CN154">
        <v>200</v>
      </c>
      <c r="CO154">
        <v>100</v>
      </c>
      <c r="CP154" s="75">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5" t="str">
        <f ca="1">INDIRECT(ADDRESS(11+(MATCH(RIGHT(Table11[[#This Row],[spawner_sku]],LEN(Table11[[#This Row],[spawner_sku]])-FIND("/",Table11[[#This Row],[spawner_sku]])),Table28[Entity Prefab],0)),25,1,1,"Entities"))</f>
        <v>no</v>
      </c>
      <c r="CS154" s="72">
        <v>5</v>
      </c>
      <c r="CT154" s="72">
        <v>6</v>
      </c>
      <c r="CU154" s="72" t="b">
        <v>1</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5017</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223</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321</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450</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2704</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2704</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215</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242</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384</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243</v>
      </c>
      <c r="AU155">
        <v>2</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50</v>
      </c>
      <c r="AZ155" s="145" t="str">
        <f ca="1">INDIRECT(ADDRESS(11+(MATCH(RIGHT(Table6[[#This Row],[spawner_sku]],LEN(Table6[[#This Row],[spawner_sku]])-FIND("/",Table6[[#This Row],[spawner_sku]])),Table28[Entity Prefab],0)),24,1,1,"Entities"))</f>
        <v>no</v>
      </c>
      <c r="BA155">
        <v>2</v>
      </c>
      <c r="BB155">
        <v>2</v>
      </c>
      <c r="BC155" t="b">
        <v>0</v>
      </c>
      <c r="BE155" t="s">
        <v>424</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384</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377</v>
      </c>
      <c r="CM155">
        <v>2</v>
      </c>
      <c r="CN155">
        <v>200</v>
      </c>
      <c r="CO155">
        <v>100</v>
      </c>
      <c r="CP155" s="75">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5" t="str">
        <f ca="1">INDIRECT(ADDRESS(11+(MATCH(RIGHT(Table11[[#This Row],[spawner_sku]],LEN(Table11[[#This Row],[spawner_sku]])-FIND("/",Table11[[#This Row],[spawner_sku]])),Table28[Entity Prefab],0)),25,1,1,"Entities"))</f>
        <v>no</v>
      </c>
      <c r="CS155" s="72">
        <v>2</v>
      </c>
      <c r="CT155" s="72">
        <v>2</v>
      </c>
      <c r="CU155" s="72" t="b">
        <v>0</v>
      </c>
      <c r="CW155" t="s">
        <v>243</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468</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223</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321</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450</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2704</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2704</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215</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242</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384</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243</v>
      </c>
      <c r="AU156">
        <v>1</v>
      </c>
      <c r="AV156">
        <v>150</v>
      </c>
      <c r="AW156">
        <v>100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25</v>
      </c>
      <c r="AZ156" s="145" t="str">
        <f ca="1">INDIRECT(ADDRESS(11+(MATCH(RIGHT(Table6[[#This Row],[spawner_sku]],LEN(Table6[[#This Row],[spawner_sku]])-FIND("/",Table6[[#This Row],[spawner_sku]])),Table28[Entity Prefab],0)),24,1,1,"Entities"))</f>
        <v>no</v>
      </c>
      <c r="BA156">
        <v>1</v>
      </c>
      <c r="BB156">
        <v>1</v>
      </c>
      <c r="BC156" t="b">
        <v>0</v>
      </c>
      <c r="BE156" t="s">
        <v>424</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384</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377</v>
      </c>
      <c r="CM156">
        <v>3</v>
      </c>
      <c r="CN156">
        <v>200</v>
      </c>
      <c r="CO156">
        <v>100</v>
      </c>
      <c r="CP156" s="75">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5" t="str">
        <f ca="1">INDIRECT(ADDRESS(11+(MATCH(RIGHT(Table11[[#This Row],[spawner_sku]],LEN(Table11[[#This Row],[spawner_sku]])-FIND("/",Table11[[#This Row],[spawner_sku]])),Table28[Entity Prefab],0)),25,1,1,"Entities"))</f>
        <v>no</v>
      </c>
      <c r="CS156" s="72">
        <v>2</v>
      </c>
      <c r="CT156" s="72">
        <v>4</v>
      </c>
      <c r="CU156" s="72" t="b">
        <v>0</v>
      </c>
      <c r="CW156" t="s">
        <v>243</v>
      </c>
      <c r="CX156">
        <v>1.5</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38</v>
      </c>
      <c r="DC156" s="145" t="str">
        <f ca="1">INDIRECT(ADDRESS(11+(MATCH(RIGHT(Table12[[#This Row],[spawner_sku]],LEN(Table12[[#This Row],[spawner_sku]])-FIND("/",Table12[[#This Row],[spawner_sku]])),Table28[Entity Prefab],0)),25,1,1,"Entities"))</f>
        <v>no</v>
      </c>
      <c r="DD156" s="72">
        <v>1</v>
      </c>
      <c r="DE156" s="72">
        <v>2</v>
      </c>
      <c r="DF156" s="72" t="b">
        <v>0</v>
      </c>
      <c r="DH156" t="s">
        <v>378</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223</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321</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451</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2704</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2704</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215</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242</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222</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243</v>
      </c>
      <c r="AU157">
        <v>1</v>
      </c>
      <c r="AV157">
        <v>150</v>
      </c>
      <c r="AW157">
        <v>80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20</v>
      </c>
      <c r="AZ157" s="145" t="str">
        <f ca="1">INDIRECT(ADDRESS(11+(MATCH(RIGHT(Table6[[#This Row],[spawner_sku]],LEN(Table6[[#This Row],[spawner_sku]])-FIND("/",Table6[[#This Row],[spawner_sku]])),Table28[Entity Prefab],0)),24,1,1,"Entities"))</f>
        <v>no</v>
      </c>
      <c r="BA157">
        <v>1</v>
      </c>
      <c r="BB157">
        <v>1</v>
      </c>
      <c r="BC157" t="b">
        <v>0</v>
      </c>
      <c r="BE157" t="s">
        <v>424</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384</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377</v>
      </c>
      <c r="CM157">
        <v>5.5</v>
      </c>
      <c r="CN157">
        <v>200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5" t="str">
        <f ca="1">INDIRECT(ADDRESS(11+(MATCH(RIGHT(Table11[[#This Row],[spawner_sku]],LEN(Table11[[#This Row],[spawner_sku]])-FIND("/",Table11[[#This Row],[spawner_sku]])),Table28[Entity Prefab],0)),25,1,1,"Entities"))</f>
        <v>no</v>
      </c>
      <c r="CS157" s="72">
        <v>5</v>
      </c>
      <c r="CT157" s="72">
        <v>6</v>
      </c>
      <c r="CU157" s="72" t="b">
        <v>1</v>
      </c>
      <c r="CW157" t="s">
        <v>243</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378</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223</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221</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451</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2704</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2704</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215</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242</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222</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243</v>
      </c>
      <c r="AU158">
        <v>1</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25</v>
      </c>
      <c r="AZ158" s="145" t="str">
        <f ca="1">INDIRECT(ADDRESS(11+(MATCH(RIGHT(Table6[[#This Row],[spawner_sku]],LEN(Table6[[#This Row],[spawner_sku]])-FIND("/",Table6[[#This Row],[spawner_sku]])),Table28[Entity Prefab],0)),24,1,1,"Entities"))</f>
        <v>no</v>
      </c>
      <c r="BA158">
        <v>1</v>
      </c>
      <c r="BB158">
        <v>1</v>
      </c>
      <c r="BC158" t="b">
        <v>0</v>
      </c>
      <c r="BE158" t="s">
        <v>424</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384</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377</v>
      </c>
      <c r="CM158">
        <v>5.5</v>
      </c>
      <c r="CN158">
        <v>200</v>
      </c>
      <c r="CO158">
        <v>100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5" t="str">
        <f ca="1">INDIRECT(ADDRESS(11+(MATCH(RIGHT(Table11[[#This Row],[spawner_sku]],LEN(Table11[[#This Row],[spawner_sku]])-FIND("/",Table11[[#This Row],[spawner_sku]])),Table28[Entity Prefab],0)),25,1,1,"Entities"))</f>
        <v>no</v>
      </c>
      <c r="CS158" s="72">
        <v>5</v>
      </c>
      <c r="CT158" s="72">
        <v>6</v>
      </c>
      <c r="CU158" s="72" t="b">
        <v>1</v>
      </c>
      <c r="CW158" t="s">
        <v>243</v>
      </c>
      <c r="CX158">
        <v>1</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25</v>
      </c>
      <c r="DC158" s="145" t="str">
        <f ca="1">INDIRECT(ADDRESS(11+(MATCH(RIGHT(Table12[[#This Row],[spawner_sku]],LEN(Table12[[#This Row],[spawner_sku]])-FIND("/",Table12[[#This Row],[spawner_sku]])),Table28[Entity Prefab],0)),25,1,1,"Entities"))</f>
        <v>no</v>
      </c>
      <c r="DD158" s="72">
        <v>1</v>
      </c>
      <c r="DE158" s="72">
        <v>1</v>
      </c>
      <c r="DF158" s="72" t="b">
        <v>0</v>
      </c>
      <c r="DH158" t="s">
        <v>378</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223</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221</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590</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2704</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2704</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215</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242</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222</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243</v>
      </c>
      <c r="AU159">
        <v>3</v>
      </c>
      <c r="AV159">
        <v>150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75</v>
      </c>
      <c r="AZ159" s="145" t="str">
        <f ca="1">INDIRECT(ADDRESS(11+(MATCH(RIGHT(Table6[[#This Row],[spawner_sku]],LEN(Table6[[#This Row],[spawner_sku]])-FIND("/",Table6[[#This Row],[spawner_sku]])),Table28[Entity Prefab],0)),24,1,1,"Entities"))</f>
        <v>no</v>
      </c>
      <c r="BA159">
        <v>3</v>
      </c>
      <c r="BB159">
        <v>3</v>
      </c>
      <c r="BC159" t="b">
        <v>0</v>
      </c>
      <c r="BE159" t="s">
        <v>424</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384</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377</v>
      </c>
      <c r="CM159">
        <v>3</v>
      </c>
      <c r="CN159">
        <v>200</v>
      </c>
      <c r="CO159">
        <v>80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5" t="str">
        <f ca="1">INDIRECT(ADDRESS(11+(MATCH(RIGHT(Table11[[#This Row],[spawner_sku]],LEN(Table11[[#This Row],[spawner_sku]])-FIND("/",Table11[[#This Row],[spawner_sku]])),Table28[Entity Prefab],0)),25,1,1,"Entities"))</f>
        <v>no</v>
      </c>
      <c r="CS159" s="72">
        <v>2</v>
      </c>
      <c r="CT159" s="72">
        <v>4</v>
      </c>
      <c r="CU159" s="72" t="b">
        <v>0</v>
      </c>
      <c r="CW159" t="s">
        <v>243</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378</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223</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221</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590</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2704</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2704</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215</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242</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222</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243</v>
      </c>
      <c r="AU160">
        <v>1</v>
      </c>
      <c r="AV160">
        <v>120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233</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384</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218</v>
      </c>
      <c r="CM160">
        <v>1</v>
      </c>
      <c r="CN160">
        <v>5000</v>
      </c>
      <c r="CO160">
        <v>75</v>
      </c>
      <c r="CP160" s="75">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5" t="str">
        <f ca="1">INDIRECT(ADDRESS(11+(MATCH(RIGHT(Table11[[#This Row],[spawner_sku]],LEN(Table11[[#This Row],[spawner_sku]])-FIND("/",Table11[[#This Row],[spawner_sku]])),Table28[Entity Prefab],0)),25,1,1,"Entities"))</f>
        <v>no</v>
      </c>
      <c r="CS160" s="72">
        <v>1</v>
      </c>
      <c r="CT160" s="72">
        <v>1</v>
      </c>
      <c r="CU160" s="72" t="b">
        <v>0</v>
      </c>
      <c r="CW160" t="s">
        <v>243</v>
      </c>
      <c r="CX160">
        <v>1</v>
      </c>
      <c r="CY160">
        <v>150</v>
      </c>
      <c r="CZ160">
        <v>30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8</v>
      </c>
      <c r="DC160" s="145" t="str">
        <f ca="1">INDIRECT(ADDRESS(11+(MATCH(RIGHT(Table12[[#This Row],[spawner_sku]],LEN(Table12[[#This Row],[spawner_sku]])-FIND("/",Table12[[#This Row],[spawner_sku]])),Table28[Entity Prefab],0)),25,1,1,"Entities"))</f>
        <v>no</v>
      </c>
      <c r="DD160" s="72">
        <v>1</v>
      </c>
      <c r="DE160" s="72">
        <v>1</v>
      </c>
      <c r="DF160" s="72" t="b">
        <v>0</v>
      </c>
      <c r="DH160" t="s">
        <v>428</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223</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221</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590</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2704</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2704</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215</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242</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222</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243</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233</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384</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218</v>
      </c>
      <c r="CM161">
        <v>1</v>
      </c>
      <c r="CN161">
        <v>5000</v>
      </c>
      <c r="CO161">
        <v>75</v>
      </c>
      <c r="CP161" s="75">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5" t="str">
        <f ca="1">INDIRECT(ADDRESS(11+(MATCH(RIGHT(Table11[[#This Row],[spawner_sku]],LEN(Table11[[#This Row],[spawner_sku]])-FIND("/",Table11[[#This Row],[spawner_sku]])),Table28[Entity Prefab],0)),25,1,1,"Entities"))</f>
        <v>no</v>
      </c>
      <c r="CS161" s="72">
        <v>1</v>
      </c>
      <c r="CT161" s="72">
        <v>1</v>
      </c>
      <c r="CU161" s="72" t="b">
        <v>0</v>
      </c>
      <c r="CW161" t="s">
        <v>243</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240</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223</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221</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590</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2704</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2704</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216</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242</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224</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243</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233</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384</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218</v>
      </c>
      <c r="CM162">
        <v>1</v>
      </c>
      <c r="CN162">
        <v>5000</v>
      </c>
      <c r="CO162">
        <v>75</v>
      </c>
      <c r="CP162" s="75">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5" t="str">
        <f ca="1">INDIRECT(ADDRESS(11+(MATCH(RIGHT(Table11[[#This Row],[spawner_sku]],LEN(Table11[[#This Row],[spawner_sku]])-FIND("/",Table11[[#This Row],[spawner_sku]])),Table28[Entity Prefab],0)),25,1,1,"Entities"))</f>
        <v>no</v>
      </c>
      <c r="CS162" s="72">
        <v>1</v>
      </c>
      <c r="CT162" s="72">
        <v>1</v>
      </c>
      <c r="CU162" s="72" t="b">
        <v>0</v>
      </c>
      <c r="CW162" t="s">
        <v>243</v>
      </c>
      <c r="CX162">
        <v>1</v>
      </c>
      <c r="CY162">
        <v>150</v>
      </c>
      <c r="CZ162">
        <v>80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20</v>
      </c>
      <c r="DC162" s="145" t="str">
        <f ca="1">INDIRECT(ADDRESS(11+(MATCH(RIGHT(Table12[[#This Row],[spawner_sku]],LEN(Table12[[#This Row],[spawner_sku]])-FIND("/",Table12[[#This Row],[spawner_sku]])),Table28[Entity Prefab],0)),25,1,1,"Entities"))</f>
        <v>no</v>
      </c>
      <c r="DD162" s="72">
        <v>1</v>
      </c>
      <c r="DE162" s="72">
        <v>1</v>
      </c>
      <c r="DF162" s="72" t="b">
        <v>0</v>
      </c>
      <c r="DH162" t="s">
        <v>240</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223</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221</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590</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2697</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2704</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216</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242</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224</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243</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233</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384</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218</v>
      </c>
      <c r="CM163">
        <v>1</v>
      </c>
      <c r="CN163">
        <v>5000</v>
      </c>
      <c r="CO163">
        <v>75</v>
      </c>
      <c r="CP163" s="75">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5" t="str">
        <f ca="1">INDIRECT(ADDRESS(11+(MATCH(RIGHT(Table11[[#This Row],[spawner_sku]],LEN(Table11[[#This Row],[spawner_sku]])-FIND("/",Table11[[#This Row],[spawner_sku]])),Table28[Entity Prefab],0)),25,1,1,"Entities"))</f>
        <v>no</v>
      </c>
      <c r="CS163" s="72">
        <v>1</v>
      </c>
      <c r="CT163" s="72">
        <v>1</v>
      </c>
      <c r="CU163" s="72" t="b">
        <v>0</v>
      </c>
      <c r="CW163" t="s">
        <v>243</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240</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223</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221</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590</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2697</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2704</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216</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242</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224</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243</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233</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384</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218</v>
      </c>
      <c r="CM164">
        <v>1</v>
      </c>
      <c r="CN164">
        <v>5000</v>
      </c>
      <c r="CO164">
        <v>100</v>
      </c>
      <c r="CP164" s="75">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5" t="str">
        <f ca="1">INDIRECT(ADDRESS(11+(MATCH(RIGHT(Table11[[#This Row],[spawner_sku]],LEN(Table11[[#This Row],[spawner_sku]])-FIND("/",Table11[[#This Row],[spawner_sku]])),Table28[Entity Prefab],0)),25,1,1,"Entities"))</f>
        <v>no</v>
      </c>
      <c r="CS164" s="72">
        <v>1</v>
      </c>
      <c r="CT164" s="72">
        <v>1</v>
      </c>
      <c r="CU164" s="72" t="b">
        <v>0</v>
      </c>
      <c r="CW164" t="s">
        <v>243</v>
      </c>
      <c r="CX164">
        <v>1.5</v>
      </c>
      <c r="CY164">
        <v>150</v>
      </c>
      <c r="CZ164">
        <v>100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38</v>
      </c>
      <c r="DC164" s="145" t="str">
        <f ca="1">INDIRECT(ADDRESS(11+(MATCH(RIGHT(Table12[[#This Row],[spawner_sku]],LEN(Table12[[#This Row],[spawner_sku]])-FIND("/",Table12[[#This Row],[spawner_sku]])),Table28[Entity Prefab],0)),25,1,1,"Entities"))</f>
        <v>no</v>
      </c>
      <c r="DD164" s="72">
        <v>1</v>
      </c>
      <c r="DE164" s="72">
        <v>2</v>
      </c>
      <c r="DF164" s="72" t="b">
        <v>0</v>
      </c>
      <c r="DH164" t="s">
        <v>240</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223</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221</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590</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2697</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2704</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216</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242</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224</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243</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5" t="str">
        <f ca="1">INDIRECT(ADDRESS(11+(MATCH(RIGHT(Table6[[#This Row],[spawner_sku]],LEN(Table6[[#This Row],[spawner_sku]])-FIND("/",Table6[[#This Row],[spawner_sku]])),Table28[Entity Prefab],0)),24,1,1,"Entities"))</f>
        <v>no</v>
      </c>
      <c r="BA165">
        <v>1</v>
      </c>
      <c r="BB165">
        <v>1</v>
      </c>
      <c r="BC165" t="b">
        <v>0</v>
      </c>
      <c r="BE165" t="s">
        <v>233</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384</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218</v>
      </c>
      <c r="CM165">
        <v>1</v>
      </c>
      <c r="CN165">
        <v>5000</v>
      </c>
      <c r="CO165">
        <v>100</v>
      </c>
      <c r="CP165" s="75">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5" t="str">
        <f ca="1">INDIRECT(ADDRESS(11+(MATCH(RIGHT(Table11[[#This Row],[spawner_sku]],LEN(Table11[[#This Row],[spawner_sku]])-FIND("/",Table11[[#This Row],[spawner_sku]])),Table28[Entity Prefab],0)),25,1,1,"Entities"))</f>
        <v>no</v>
      </c>
      <c r="CS165" s="72">
        <v>1</v>
      </c>
      <c r="CT165" s="72">
        <v>1</v>
      </c>
      <c r="CU165" s="72" t="b">
        <v>0</v>
      </c>
      <c r="CW165" t="s">
        <v>243</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240</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223</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384</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590</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2697</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2704</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216</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242</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224</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243</v>
      </c>
      <c r="AU166">
        <v>1</v>
      </c>
      <c r="AV166">
        <v>150</v>
      </c>
      <c r="AW166">
        <v>30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8</v>
      </c>
      <c r="AZ166" s="145" t="str">
        <f ca="1">INDIRECT(ADDRESS(11+(MATCH(RIGHT(Table6[[#This Row],[spawner_sku]],LEN(Table6[[#This Row],[spawner_sku]])-FIND("/",Table6[[#This Row],[spawner_sku]])),Table28[Entity Prefab],0)),24,1,1,"Entities"))</f>
        <v>no</v>
      </c>
      <c r="BA166">
        <v>1</v>
      </c>
      <c r="BB166">
        <v>1</v>
      </c>
      <c r="BC166" t="b">
        <v>0</v>
      </c>
      <c r="BE166" t="s">
        <v>5017</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222</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219</v>
      </c>
      <c r="CM166">
        <v>1</v>
      </c>
      <c r="CN166">
        <v>250</v>
      </c>
      <c r="CO166">
        <v>100</v>
      </c>
      <c r="CP166" s="75">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5" t="str">
        <f ca="1">INDIRECT(ADDRESS(11+(MATCH(RIGHT(Table11[[#This Row],[spawner_sku]],LEN(Table11[[#This Row],[spawner_sku]])-FIND("/",Table11[[#This Row],[spawner_sku]])),Table28[Entity Prefab],0)),25,1,1,"Entities"))</f>
        <v>yes</v>
      </c>
      <c r="CS166" s="72">
        <v>1</v>
      </c>
      <c r="CT166" s="72">
        <v>1</v>
      </c>
      <c r="CU166" s="72" t="b">
        <v>0</v>
      </c>
      <c r="CW166" t="s">
        <v>243</v>
      </c>
      <c r="CX166">
        <v>1</v>
      </c>
      <c r="CY166">
        <v>150</v>
      </c>
      <c r="CZ166">
        <v>80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20</v>
      </c>
      <c r="DC166" s="145" t="str">
        <f ca="1">INDIRECT(ADDRESS(11+(MATCH(RIGHT(Table12[[#This Row],[spawner_sku]],LEN(Table12[[#This Row],[spawner_sku]])-FIND("/",Table12[[#This Row],[spawner_sku]])),Table28[Entity Prefab],0)),25,1,1,"Entities"))</f>
        <v>no</v>
      </c>
      <c r="DD166" s="72">
        <v>1</v>
      </c>
      <c r="DE166" s="72">
        <v>1</v>
      </c>
      <c r="DF166" s="72" t="b">
        <v>0</v>
      </c>
      <c r="DH166" t="s">
        <v>240</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223</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384</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590</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2697</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2704</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216</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242</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224</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3819</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5017</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222</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219</v>
      </c>
      <c r="CM167">
        <v>1</v>
      </c>
      <c r="CN167">
        <v>250</v>
      </c>
      <c r="CO167">
        <v>100</v>
      </c>
      <c r="CP167" s="75">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5" t="str">
        <f ca="1">INDIRECT(ADDRESS(11+(MATCH(RIGHT(Table11[[#This Row],[spawner_sku]],LEN(Table11[[#This Row],[spawner_sku]])-FIND("/",Table11[[#This Row],[spawner_sku]])),Table28[Entity Prefab],0)),25,1,1,"Entities"))</f>
        <v>yes</v>
      </c>
      <c r="CS167" s="72">
        <v>1</v>
      </c>
      <c r="CT167" s="72">
        <v>1</v>
      </c>
      <c r="CU167" s="72" t="b">
        <v>0</v>
      </c>
      <c r="CW167" t="s">
        <v>243</v>
      </c>
      <c r="CX167">
        <v>3</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75</v>
      </c>
      <c r="DC167" s="145" t="str">
        <f ca="1">INDIRECT(ADDRESS(11+(MATCH(RIGHT(Table12[[#This Row],[spawner_sku]],LEN(Table12[[#This Row],[spawner_sku]])-FIND("/",Table12[[#This Row],[spawner_sku]])),Table28[Entity Prefab],0)),25,1,1,"Entities"))</f>
        <v>no</v>
      </c>
      <c r="DD167" s="72">
        <v>3</v>
      </c>
      <c r="DE167" s="72">
        <v>3</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223</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384</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590</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2697</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2704</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216</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242</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226</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3819</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466</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222</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219</v>
      </c>
      <c r="CM168">
        <v>1</v>
      </c>
      <c r="CN168">
        <v>250</v>
      </c>
      <c r="CO168">
        <v>100</v>
      </c>
      <c r="CP168" s="75">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5" t="str">
        <f ca="1">INDIRECT(ADDRESS(11+(MATCH(RIGHT(Table11[[#This Row],[spawner_sku]],LEN(Table11[[#This Row],[spawner_sku]])-FIND("/",Table11[[#This Row],[spawner_sku]])),Table28[Entity Prefab],0)),25,1,1,"Entities"))</f>
        <v>yes</v>
      </c>
      <c r="CS168" s="72">
        <v>1</v>
      </c>
      <c r="CT168" s="72">
        <v>1</v>
      </c>
      <c r="CU168" s="72" t="b">
        <v>0</v>
      </c>
      <c r="CW168" t="s">
        <v>243</v>
      </c>
      <c r="CX168">
        <v>1</v>
      </c>
      <c r="CY168">
        <v>150</v>
      </c>
      <c r="CZ168">
        <v>50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13</v>
      </c>
      <c r="DC168" s="145" t="str">
        <f ca="1">INDIRECT(ADDRESS(11+(MATCH(RIGHT(Table12[[#This Row],[spawner_sku]],LEN(Table12[[#This Row],[spawner_sku]])-FIND("/",Table12[[#This Row],[spawner_sku]])),Table28[Entity Prefab],0)),25,1,1,"Entities"))</f>
        <v>no</v>
      </c>
      <c r="DD168" s="72">
        <v>1</v>
      </c>
      <c r="DE168" s="72">
        <v>1</v>
      </c>
      <c r="DF168" s="72" t="b">
        <v>0</v>
      </c>
      <c r="DH168" t="s">
        <v>241</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223</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384</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590</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2697</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2704</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216</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242</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226</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3819</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467</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222</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219</v>
      </c>
      <c r="CM169">
        <v>1</v>
      </c>
      <c r="CN169">
        <v>250</v>
      </c>
      <c r="CO169">
        <v>100</v>
      </c>
      <c r="CP169" s="75">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5" t="str">
        <f ca="1">INDIRECT(ADDRESS(11+(MATCH(RIGHT(Table11[[#This Row],[spawner_sku]],LEN(Table11[[#This Row],[spawner_sku]])-FIND("/",Table11[[#This Row],[spawner_sku]])),Table28[Entity Prefab],0)),25,1,1,"Entities"))</f>
        <v>yes</v>
      </c>
      <c r="CS169" s="72">
        <v>1</v>
      </c>
      <c r="CT169" s="72">
        <v>1</v>
      </c>
      <c r="CU169" s="72" t="b">
        <v>0</v>
      </c>
      <c r="CW169" t="s">
        <v>243</v>
      </c>
      <c r="CX169">
        <v>1</v>
      </c>
      <c r="CY169">
        <v>150</v>
      </c>
      <c r="CZ169">
        <v>30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8</v>
      </c>
      <c r="DC169" s="145" t="str">
        <f ca="1">INDIRECT(ADDRESS(11+(MATCH(RIGHT(Table12[[#This Row],[spawner_sku]],LEN(Table12[[#This Row],[spawner_sku]])-FIND("/",Table12[[#This Row],[spawner_sku]])),Table28[Entity Prefab],0)),25,1,1,"Entities"))</f>
        <v>no</v>
      </c>
      <c r="DD169" s="72">
        <v>1</v>
      </c>
      <c r="DE169" s="72">
        <v>1</v>
      </c>
      <c r="DF169" s="72" t="b">
        <v>0</v>
      </c>
      <c r="DH169" t="s">
        <v>241</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223</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384</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590</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2697</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2704</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216</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242</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226</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3819</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467</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222</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219</v>
      </c>
      <c r="CM170">
        <v>1</v>
      </c>
      <c r="CN170">
        <v>240</v>
      </c>
      <c r="CO170">
        <v>100</v>
      </c>
      <c r="CP170" s="75">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5" t="str">
        <f ca="1">INDIRECT(ADDRESS(11+(MATCH(RIGHT(Table11[[#This Row],[spawner_sku]],LEN(Table11[[#This Row],[spawner_sku]])-FIND("/",Table11[[#This Row],[spawner_sku]])),Table28[Entity Prefab],0)),25,1,1,"Entities"))</f>
        <v>yes</v>
      </c>
      <c r="CS170" s="72">
        <v>1</v>
      </c>
      <c r="CT170" s="72">
        <v>1</v>
      </c>
      <c r="CU170" s="72" t="b">
        <v>0</v>
      </c>
      <c r="CW170" t="s">
        <v>243</v>
      </c>
      <c r="CX170">
        <v>1</v>
      </c>
      <c r="CY170">
        <v>150</v>
      </c>
      <c r="CZ170">
        <v>100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25</v>
      </c>
      <c r="DC170" s="145" t="str">
        <f ca="1">INDIRECT(ADDRESS(11+(MATCH(RIGHT(Table12[[#This Row],[spawner_sku]],LEN(Table12[[#This Row],[spawner_sku]])-FIND("/",Table12[[#This Row],[spawner_sku]])),Table28[Entity Prefab],0)),25,1,1,"Entities"))</f>
        <v>no</v>
      </c>
      <c r="DD170" s="72">
        <v>1</v>
      </c>
      <c r="DE170" s="72">
        <v>1</v>
      </c>
      <c r="DF170" s="72" t="b">
        <v>0</v>
      </c>
      <c r="DH170" t="s">
        <v>241</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223</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384</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590</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2703</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2704</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216</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242</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226</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AT171" t="s">
        <v>3819</v>
      </c>
      <c r="AU171">
        <v>1</v>
      </c>
      <c r="AV171">
        <v>180</v>
      </c>
      <c r="AW171">
        <v>100</v>
      </c>
      <c r="AX171" s="75">
        <f ca="1">INDIRECT(ADDRESS(11+(MATCH(RIGHT(Table6[[#This Row],[spawner_sku]],LEN(Table6[[#This Row],[spawner_sku]])-FIND("/",Table6[[#This Row],[spawner_sku]])),Table1[Entity Prefab],0)),10,1,1,"Entities"))</f>
        <v>50</v>
      </c>
      <c r="AY171" s="75">
        <f ca="1">ROUND((Table6[[#This Row],[XP]]*Table6[[#This Row],[entity_spawned (AVG)]])*(Table6[[#This Row],[activating_chance]]/100),0)</f>
        <v>50</v>
      </c>
      <c r="AZ171" s="145" t="str">
        <f ca="1">INDIRECT(ADDRESS(11+(MATCH(RIGHT(Table6[[#This Row],[spawner_sku]],LEN(Table6[[#This Row],[spawner_sku]])-FIND("/",Table6[[#This Row],[spawner_sku]])),Table28[Entity Prefab],0)),24,1,1,"Entities"))</f>
        <v>no</v>
      </c>
      <c r="BA171">
        <v>1</v>
      </c>
      <c r="BB171">
        <v>1</v>
      </c>
      <c r="BC171" t="b">
        <v>0</v>
      </c>
      <c r="BE171" t="s">
        <v>467</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222</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219</v>
      </c>
      <c r="CM171">
        <v>1</v>
      </c>
      <c r="CN171">
        <v>250</v>
      </c>
      <c r="CO171">
        <v>100</v>
      </c>
      <c r="CP171" s="75">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5" t="str">
        <f ca="1">INDIRECT(ADDRESS(11+(MATCH(RIGHT(Table11[[#This Row],[spawner_sku]],LEN(Table11[[#This Row],[spawner_sku]])-FIND("/",Table11[[#This Row],[spawner_sku]])),Table28[Entity Prefab],0)),25,1,1,"Entities"))</f>
        <v>yes</v>
      </c>
      <c r="CS171" s="72">
        <v>1</v>
      </c>
      <c r="CT171" s="72">
        <v>1</v>
      </c>
      <c r="CU171" s="72" t="b">
        <v>0</v>
      </c>
      <c r="CW171" t="s">
        <v>243</v>
      </c>
      <c r="CX171">
        <v>1</v>
      </c>
      <c r="CY171">
        <v>150</v>
      </c>
      <c r="CZ171">
        <v>100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25</v>
      </c>
      <c r="DC171" s="145" t="str">
        <f ca="1">INDIRECT(ADDRESS(11+(MATCH(RIGHT(Table12[[#This Row],[spawner_sku]],LEN(Table12[[#This Row],[spawner_sku]])-FIND("/",Table12[[#This Row],[spawner_sku]])),Table28[Entity Prefab],0)),25,1,1,"Entities"))</f>
        <v>no</v>
      </c>
      <c r="DD171" s="72">
        <v>1</v>
      </c>
      <c r="DE171" s="72">
        <v>1</v>
      </c>
      <c r="DF171" s="72" t="b">
        <v>0</v>
      </c>
      <c r="DH171" t="s">
        <v>241</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223</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384</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590</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2703</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2697</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216</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242</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226</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467</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222</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219</v>
      </c>
      <c r="CM172">
        <v>1</v>
      </c>
      <c r="CN172">
        <v>240</v>
      </c>
      <c r="CO172">
        <v>100</v>
      </c>
      <c r="CP172" s="75">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5" t="str">
        <f ca="1">INDIRECT(ADDRESS(11+(MATCH(RIGHT(Table11[[#This Row],[spawner_sku]],LEN(Table11[[#This Row],[spawner_sku]])-FIND("/",Table11[[#This Row],[spawner_sku]])),Table28[Entity Prefab],0)),25,1,1,"Entities"))</f>
        <v>yes</v>
      </c>
      <c r="CS172" s="72">
        <v>1</v>
      </c>
      <c r="CT172" s="72">
        <v>1</v>
      </c>
      <c r="CU172" s="72" t="b">
        <v>0</v>
      </c>
      <c r="CW172" t="s">
        <v>243</v>
      </c>
      <c r="CX172">
        <v>1.5</v>
      </c>
      <c r="CY172">
        <v>150</v>
      </c>
      <c r="CZ172">
        <v>30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11</v>
      </c>
      <c r="DC172" s="145" t="str">
        <f ca="1">INDIRECT(ADDRESS(11+(MATCH(RIGHT(Table12[[#This Row],[spawner_sku]],LEN(Table12[[#This Row],[spawner_sku]])-FIND("/",Table12[[#This Row],[spawner_sku]])),Table28[Entity Prefab],0)),25,1,1,"Entities"))</f>
        <v>no</v>
      </c>
      <c r="DD172" s="72">
        <v>1</v>
      </c>
      <c r="DE172" s="72">
        <v>2</v>
      </c>
      <c r="DF172" s="72" t="b">
        <v>0</v>
      </c>
      <c r="DH172" t="s">
        <v>241</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223</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384</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590</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2703</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2697</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216</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242</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226</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467</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223</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219</v>
      </c>
      <c r="CM173">
        <v>1</v>
      </c>
      <c r="CN173">
        <v>250</v>
      </c>
      <c r="CO173">
        <v>100</v>
      </c>
      <c r="CP173" s="75">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5" t="str">
        <f ca="1">INDIRECT(ADDRESS(11+(MATCH(RIGHT(Table11[[#This Row],[spawner_sku]],LEN(Table11[[#This Row],[spawner_sku]])-FIND("/",Table11[[#This Row],[spawner_sku]])),Table28[Entity Prefab],0)),25,1,1,"Entities"))</f>
        <v>yes</v>
      </c>
      <c r="CS173" s="72">
        <v>1</v>
      </c>
      <c r="CT173" s="72">
        <v>1</v>
      </c>
      <c r="CU173" s="72" t="b">
        <v>0</v>
      </c>
      <c r="CW173" t="s">
        <v>243</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241</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223</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384</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590</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2703</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2697</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216</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242</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227</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234</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223</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219</v>
      </c>
      <c r="CM174">
        <v>1</v>
      </c>
      <c r="CN174">
        <v>250</v>
      </c>
      <c r="CO174">
        <v>100</v>
      </c>
      <c r="CP174" s="75">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5" t="str">
        <f ca="1">INDIRECT(ADDRESS(11+(MATCH(RIGHT(Table11[[#This Row],[spawner_sku]],LEN(Table11[[#This Row],[spawner_sku]])-FIND("/",Table11[[#This Row],[spawner_sku]])),Table28[Entity Prefab],0)),25,1,1,"Entities"))</f>
        <v>yes</v>
      </c>
      <c r="CS174" s="72">
        <v>1</v>
      </c>
      <c r="CT174" s="72">
        <v>1</v>
      </c>
      <c r="CU174" s="72" t="b">
        <v>0</v>
      </c>
      <c r="CW174" t="s">
        <v>244</v>
      </c>
      <c r="CX174">
        <v>1</v>
      </c>
      <c r="CY174">
        <v>220</v>
      </c>
      <c r="CZ174">
        <v>30</v>
      </c>
      <c r="DA174" s="75">
        <f ca="1">INDIRECT(ADDRESS(11+(MATCH(RIGHT(Table12[[#This Row],[spawner_sku]],LEN(Table12[[#This Row],[spawner_sku]])-FIND("/",Table12[[#This Row],[spawner_sku]])),Table1[Entity Prefab],0)),10,1,1,"Entities"))</f>
        <v>50</v>
      </c>
      <c r="DB174" s="75">
        <f ca="1">ROUND((Table12[[#This Row],[XP]]*Table12[[#This Row],[entity_spawned (AVG)]])*(Table12[[#This Row],[activating_chance]]/100),0)</f>
        <v>15</v>
      </c>
      <c r="DC174" s="145" t="str">
        <f ca="1">INDIRECT(ADDRESS(11+(MATCH(RIGHT(Table12[[#This Row],[spawner_sku]],LEN(Table12[[#This Row],[spawner_sku]])-FIND("/",Table12[[#This Row],[spawner_sku]])),Table28[Entity Prefab],0)),25,1,1,"Entities"))</f>
        <v>no</v>
      </c>
      <c r="DD174" s="72">
        <v>1</v>
      </c>
      <c r="DE174" s="72">
        <v>1</v>
      </c>
      <c r="DF174" s="72" t="b">
        <v>0</v>
      </c>
      <c r="DH174" t="s">
        <v>241</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223</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384</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590</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2703</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2697</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217</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243</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227</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234</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223</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219</v>
      </c>
      <c r="CM175">
        <v>1</v>
      </c>
      <c r="CN175">
        <v>250</v>
      </c>
      <c r="CO175">
        <v>100</v>
      </c>
      <c r="CP175" s="75">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5" t="str">
        <f ca="1">INDIRECT(ADDRESS(11+(MATCH(RIGHT(Table11[[#This Row],[spawner_sku]],LEN(Table11[[#This Row],[spawner_sku]])-FIND("/",Table11[[#This Row],[spawner_sku]])),Table28[Entity Prefab],0)),25,1,1,"Entities"))</f>
        <v>yes</v>
      </c>
      <c r="CS175" s="72">
        <v>1</v>
      </c>
      <c r="CT175" s="72">
        <v>1</v>
      </c>
      <c r="CU175" s="72" t="b">
        <v>0</v>
      </c>
      <c r="CW175" t="s">
        <v>244</v>
      </c>
      <c r="CX175">
        <v>1</v>
      </c>
      <c r="CY175">
        <v>220</v>
      </c>
      <c r="CZ175">
        <v>100</v>
      </c>
      <c r="DA175" s="75">
        <f ca="1">INDIRECT(ADDRESS(11+(MATCH(RIGHT(Table12[[#This Row],[spawner_sku]],LEN(Table12[[#This Row],[spawner_sku]])-FIND("/",Table12[[#This Row],[spawner_sku]])),Table1[Entity Prefab],0)),10,1,1,"Entities"))</f>
        <v>50</v>
      </c>
      <c r="DB175" s="75">
        <f ca="1">ROUND((Table12[[#This Row],[XP]]*Table12[[#This Row],[entity_spawned (AVG)]])*(Table12[[#This Row],[activating_chance]]/100),0)</f>
        <v>50</v>
      </c>
      <c r="DC175" s="145" t="str">
        <f ca="1">INDIRECT(ADDRESS(11+(MATCH(RIGHT(Table12[[#This Row],[spawner_sku]],LEN(Table12[[#This Row],[spawner_sku]])-FIND("/",Table12[[#This Row],[spawner_sku]])),Table28[Entity Prefab],0)),25,1,1,"Entities"))</f>
        <v>no</v>
      </c>
      <c r="DD175" s="72">
        <v>1</v>
      </c>
      <c r="DE175" s="72">
        <v>1</v>
      </c>
      <c r="DF175" s="72" t="b">
        <v>0</v>
      </c>
      <c r="DH175" t="s">
        <v>241</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223</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384</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590</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2697</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217</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243</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227</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378</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223</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219</v>
      </c>
      <c r="CM176">
        <v>1</v>
      </c>
      <c r="CN176">
        <v>260</v>
      </c>
      <c r="CO176">
        <v>100</v>
      </c>
      <c r="CP176" s="75">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5" t="str">
        <f ca="1">INDIRECT(ADDRESS(11+(MATCH(RIGHT(Table11[[#This Row],[spawner_sku]],LEN(Table11[[#This Row],[spawner_sku]])-FIND("/",Table11[[#This Row],[spawner_sku]])),Table28[Entity Prefab],0)),25,1,1,"Entities"))</f>
        <v>yes</v>
      </c>
      <c r="CS176" s="72">
        <v>1</v>
      </c>
      <c r="CT176" s="72">
        <v>1</v>
      </c>
      <c r="CU176" s="72" t="b">
        <v>0</v>
      </c>
      <c r="CW176" t="s">
        <v>244</v>
      </c>
      <c r="CX176">
        <v>1</v>
      </c>
      <c r="CY176">
        <v>220</v>
      </c>
      <c r="CZ176">
        <v>100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50</v>
      </c>
      <c r="DC176" s="145" t="str">
        <f ca="1">INDIRECT(ADDRESS(11+(MATCH(RIGHT(Table12[[#This Row],[spawner_sku]],LEN(Table12[[#This Row],[spawner_sku]])-FIND("/",Table12[[#This Row],[spawner_sku]])),Table28[Entity Prefab],0)),25,1,1,"Entities"))</f>
        <v>no</v>
      </c>
      <c r="DD176" s="72">
        <v>1</v>
      </c>
      <c r="DE176" s="72">
        <v>1</v>
      </c>
      <c r="DF176" s="72" t="b">
        <v>0</v>
      </c>
      <c r="DH176" t="s">
        <v>241</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223</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384</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590</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2697</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217</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243</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228</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378</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223</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219</v>
      </c>
      <c r="CM177">
        <v>1</v>
      </c>
      <c r="CN177">
        <v>250</v>
      </c>
      <c r="CO177">
        <v>100</v>
      </c>
      <c r="CP177" s="75">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5" t="str">
        <f ca="1">INDIRECT(ADDRESS(11+(MATCH(RIGHT(Table11[[#This Row],[spawner_sku]],LEN(Table11[[#This Row],[spawner_sku]])-FIND("/",Table11[[#This Row],[spawner_sku]])),Table28[Entity Prefab],0)),25,1,1,"Entities"))</f>
        <v>yes</v>
      </c>
      <c r="CS177" s="72">
        <v>1</v>
      </c>
      <c r="CT177" s="72">
        <v>1</v>
      </c>
      <c r="CU177" s="72" t="b">
        <v>0</v>
      </c>
      <c r="CW177" t="s">
        <v>244</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241</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223</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3839</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590</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2697</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217</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243</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228</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378</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223</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219</v>
      </c>
      <c r="CM178">
        <v>1</v>
      </c>
      <c r="CN178">
        <v>250</v>
      </c>
      <c r="CO178">
        <v>100</v>
      </c>
      <c r="CP178" s="75">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5" t="str">
        <f ca="1">INDIRECT(ADDRESS(11+(MATCH(RIGHT(Table11[[#This Row],[spawner_sku]],LEN(Table11[[#This Row],[spawner_sku]])-FIND("/",Table11[[#This Row],[spawner_sku]])),Table28[Entity Prefab],0)),25,1,1,"Entities"))</f>
        <v>yes</v>
      </c>
      <c r="CS178" s="72">
        <v>1</v>
      </c>
      <c r="CT178" s="72">
        <v>1</v>
      </c>
      <c r="CU178" s="72" t="b">
        <v>0</v>
      </c>
      <c r="CW178" t="s">
        <v>244</v>
      </c>
      <c r="CX178">
        <v>1</v>
      </c>
      <c r="CY178">
        <v>220</v>
      </c>
      <c r="CZ178">
        <v>30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15</v>
      </c>
      <c r="DC178" s="145" t="str">
        <f ca="1">INDIRECT(ADDRESS(11+(MATCH(RIGHT(Table12[[#This Row],[spawner_sku]],LEN(Table12[[#This Row],[spawner_sku]])-FIND("/",Table12[[#This Row],[spawner_sku]])),Table28[Entity Prefab],0)),25,1,1,"Entities"))</f>
        <v>no</v>
      </c>
      <c r="DD178" s="72">
        <v>1</v>
      </c>
      <c r="DE178" s="72">
        <v>1</v>
      </c>
      <c r="DF178" s="72" t="b">
        <v>0</v>
      </c>
      <c r="DH178" t="s">
        <v>241</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223</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3839</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590</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2697</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217</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243</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228</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378</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223</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220</v>
      </c>
      <c r="CM179">
        <v>1</v>
      </c>
      <c r="CN179">
        <v>300</v>
      </c>
      <c r="CO179">
        <v>100</v>
      </c>
      <c r="CP179" s="75">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5" t="str">
        <f ca="1">INDIRECT(ADDRESS(11+(MATCH(RIGHT(Table11[[#This Row],[spawner_sku]],LEN(Table11[[#This Row],[spawner_sku]])-FIND("/",Table11[[#This Row],[spawner_sku]])),Table28[Entity Prefab],0)),25,1,1,"Entities"))</f>
        <v>yes</v>
      </c>
      <c r="CS179" s="72">
        <v>1</v>
      </c>
      <c r="CT179" s="72">
        <v>1</v>
      </c>
      <c r="CU179" s="72" t="b">
        <v>0</v>
      </c>
      <c r="CW179" t="s">
        <v>3819</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241</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223</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3839</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590</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2697</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217</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243</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228</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378</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223</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220</v>
      </c>
      <c r="CM180">
        <v>1</v>
      </c>
      <c r="CN180">
        <v>300</v>
      </c>
      <c r="CO180">
        <v>100</v>
      </c>
      <c r="CP180" s="75">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5" t="str">
        <f ca="1">INDIRECT(ADDRESS(11+(MATCH(RIGHT(Table11[[#This Row],[spawner_sku]],LEN(Table11[[#This Row],[spawner_sku]])-FIND("/",Table11[[#This Row],[spawner_sku]])),Table28[Entity Prefab],0)),25,1,1,"Entities"))</f>
        <v>yes</v>
      </c>
      <c r="CS180" s="72">
        <v>1</v>
      </c>
      <c r="CT180" s="72">
        <v>1</v>
      </c>
      <c r="CU180" s="72" t="b">
        <v>0</v>
      </c>
      <c r="CW180" t="s">
        <v>505</v>
      </c>
      <c r="CX180">
        <v>1</v>
      </c>
      <c r="CY180">
        <v>240</v>
      </c>
      <c r="CZ180">
        <v>100</v>
      </c>
      <c r="DA180" s="75">
        <f ca="1">INDIRECT(ADDRESS(11+(MATCH(RIGHT(Table12[[#This Row],[spawner_sku]],LEN(Table12[[#This Row],[spawner_sku]])-FIND("/",Table12[[#This Row],[spawner_sku]])),Table1[Entity Prefab],0)),10,1,1,"Entities"))</f>
        <v>55</v>
      </c>
      <c r="DB180" s="75">
        <f ca="1">ROUND((Table12[[#This Row],[XP]]*Table12[[#This Row],[entity_spawned (AVG)]])*(Table12[[#This Row],[activating_chance]]/100),0)</f>
        <v>55</v>
      </c>
      <c r="DC180" s="145" t="str">
        <f ca="1">INDIRECT(ADDRESS(11+(MATCH(RIGHT(Table12[[#This Row],[spawner_sku]],LEN(Table12[[#This Row],[spawner_sku]])-FIND("/",Table12[[#This Row],[spawner_sku]])),Table28[Entity Prefab],0)),25,1,1,"Entities"))</f>
        <v>yes</v>
      </c>
      <c r="DD180" s="72">
        <v>1</v>
      </c>
      <c r="DE180" s="72">
        <v>1</v>
      </c>
      <c r="DF180" s="72" t="b">
        <v>0</v>
      </c>
      <c r="DH180" t="s">
        <v>241</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223</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3839</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590</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2703</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217</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243</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228</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378</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223</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220</v>
      </c>
      <c r="CM181">
        <v>1</v>
      </c>
      <c r="CN181">
        <v>300</v>
      </c>
      <c r="CO181">
        <v>100</v>
      </c>
      <c r="CP181" s="75">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5" t="str">
        <f ca="1">INDIRECT(ADDRESS(11+(MATCH(RIGHT(Table11[[#This Row],[spawner_sku]],LEN(Table11[[#This Row],[spawner_sku]])-FIND("/",Table11[[#This Row],[spawner_sku]])),Table28[Entity Prefab],0)),25,1,1,"Entities"))</f>
        <v>yes</v>
      </c>
      <c r="CS181" s="72">
        <v>1</v>
      </c>
      <c r="CT181" s="72">
        <v>1</v>
      </c>
      <c r="CU181" s="72" t="b">
        <v>0</v>
      </c>
      <c r="CW181" t="s">
        <v>505</v>
      </c>
      <c r="CX181">
        <v>1</v>
      </c>
      <c r="CY181">
        <v>240</v>
      </c>
      <c r="CZ181">
        <v>100</v>
      </c>
      <c r="DA181" s="75">
        <f ca="1">INDIRECT(ADDRESS(11+(MATCH(RIGHT(Table12[[#This Row],[spawner_sku]],LEN(Table12[[#This Row],[spawner_sku]])-FIND("/",Table12[[#This Row],[spawner_sku]])),Table1[Entity Prefab],0)),10,1,1,"Entities"))</f>
        <v>55</v>
      </c>
      <c r="DB181" s="75">
        <f ca="1">ROUND((Table12[[#This Row],[XP]]*Table12[[#This Row],[entity_spawned (AVG)]])*(Table12[[#This Row],[activating_chance]]/100),0)</f>
        <v>55</v>
      </c>
      <c r="DC181" s="145" t="str">
        <f ca="1">INDIRECT(ADDRESS(11+(MATCH(RIGHT(Table12[[#This Row],[spawner_sku]],LEN(Table12[[#This Row],[spawner_sku]])-FIND("/",Table12[[#This Row],[spawner_sku]])),Table28[Entity Prefab],0)),25,1,1,"Entities"))</f>
        <v>yes</v>
      </c>
      <c r="DD181" s="72">
        <v>1</v>
      </c>
      <c r="DE181" s="72">
        <v>1</v>
      </c>
      <c r="DF181" s="72" t="b">
        <v>0</v>
      </c>
      <c r="DH181" t="s">
        <v>241</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223</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430</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424</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2703</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217</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243</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228</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378</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223</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384</v>
      </c>
      <c r="CM182">
        <v>1</v>
      </c>
      <c r="CN182">
        <v>340</v>
      </c>
      <c r="CO182">
        <v>100</v>
      </c>
      <c r="CP182" s="75">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5" t="str">
        <f ca="1">INDIRECT(ADDRESS(11+(MATCH(RIGHT(Table11[[#This Row],[spawner_sku]],LEN(Table11[[#This Row],[spawner_sku]])-FIND("/",Table11[[#This Row],[spawner_sku]])),Table28[Entity Prefab],0)),25,1,1,"Entities"))</f>
        <v>yes</v>
      </c>
      <c r="CS182" s="72">
        <v>1</v>
      </c>
      <c r="CT182" s="72">
        <v>1</v>
      </c>
      <c r="CU182" s="72" t="b">
        <v>0</v>
      </c>
      <c r="CW182" t="s">
        <v>505</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241</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223</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430</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233</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2713</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217</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243</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228</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378</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223</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384</v>
      </c>
      <c r="CM183">
        <v>1</v>
      </c>
      <c r="CN183">
        <v>340</v>
      </c>
      <c r="CO183">
        <v>100</v>
      </c>
      <c r="CP183" s="75">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5" t="str">
        <f ca="1">INDIRECT(ADDRESS(11+(MATCH(RIGHT(Table11[[#This Row],[spawner_sku]],LEN(Table11[[#This Row],[spawner_sku]])-FIND("/",Table11[[#This Row],[spawner_sku]])),Table28[Entity Prefab],0)),25,1,1,"Entities"))</f>
        <v>yes</v>
      </c>
      <c r="CS183" s="72">
        <v>1</v>
      </c>
      <c r="CT183" s="72">
        <v>1</v>
      </c>
      <c r="CU183" s="72" t="b">
        <v>0</v>
      </c>
      <c r="CW183" t="s">
        <v>505</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241</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223</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492</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233</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2713</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217</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243</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228</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378</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223</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384</v>
      </c>
      <c r="CM184">
        <v>1</v>
      </c>
      <c r="CN184">
        <v>340</v>
      </c>
      <c r="CO184">
        <v>100</v>
      </c>
      <c r="CP184" s="75">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5" t="str">
        <f ca="1">INDIRECT(ADDRESS(11+(MATCH(RIGHT(Table11[[#This Row],[spawner_sku]],LEN(Table11[[#This Row],[spawner_sku]])-FIND("/",Table11[[#This Row],[spawner_sku]])),Table28[Entity Prefab],0)),25,1,1,"Entities"))</f>
        <v>yes</v>
      </c>
      <c r="CS184" s="72">
        <v>1</v>
      </c>
      <c r="CT184" s="72">
        <v>1</v>
      </c>
      <c r="CU184" s="72" t="b">
        <v>0</v>
      </c>
      <c r="CW184" t="s">
        <v>505</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242</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223</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495</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233</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2713</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217</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243</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228</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378</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223</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222</v>
      </c>
      <c r="CM185">
        <v>1</v>
      </c>
      <c r="CN185">
        <v>180</v>
      </c>
      <c r="CO185">
        <v>100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5" t="str">
        <f ca="1">INDIRECT(ADDRESS(11+(MATCH(RIGHT(Table11[[#This Row],[spawner_sku]],LEN(Table11[[#This Row],[spawner_sku]])-FIND("/",Table11[[#This Row],[spawner_sku]])),Table28[Entity Prefab],0)),25,1,1,"Entities"))</f>
        <v>yes</v>
      </c>
      <c r="CS185" s="72">
        <v>1</v>
      </c>
      <c r="CT185" s="72">
        <v>1</v>
      </c>
      <c r="CU185" s="72" t="b">
        <v>0</v>
      </c>
      <c r="CW185" t="s">
        <v>505</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242</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223</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495</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233</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2713</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217</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244</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228</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378</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223</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222</v>
      </c>
      <c r="CM186">
        <v>1</v>
      </c>
      <c r="CN186">
        <v>190</v>
      </c>
      <c r="CO186">
        <v>30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5" t="str">
        <f ca="1">INDIRECT(ADDRESS(11+(MATCH(RIGHT(Table11[[#This Row],[spawner_sku]],LEN(Table11[[#This Row],[spawner_sku]])-FIND("/",Table11[[#This Row],[spawner_sku]])),Table28[Entity Prefab],0)),25,1,1,"Entities"))</f>
        <v>yes</v>
      </c>
      <c r="CS186" s="72">
        <v>1</v>
      </c>
      <c r="CT186" s="72">
        <v>1</v>
      </c>
      <c r="CU186" s="72" t="b">
        <v>0</v>
      </c>
      <c r="CW186" t="s">
        <v>505</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242</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223</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495</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233</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2713</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217</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244</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228</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378</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223</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222</v>
      </c>
      <c r="CM187">
        <v>1</v>
      </c>
      <c r="CN187">
        <v>180</v>
      </c>
      <c r="CO187">
        <v>100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5" t="str">
        <f ca="1">INDIRECT(ADDRESS(11+(MATCH(RIGHT(Table11[[#This Row],[spawner_sku]],LEN(Table11[[#This Row],[spawner_sku]])-FIND("/",Table11[[#This Row],[spawner_sku]])),Table28[Entity Prefab],0)),25,1,1,"Entities"))</f>
        <v>yes</v>
      </c>
      <c r="CS187" s="72">
        <v>1</v>
      </c>
      <c r="CT187" s="72">
        <v>1</v>
      </c>
      <c r="CU187" s="72" t="b">
        <v>0</v>
      </c>
      <c r="CW187" t="s">
        <v>506</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no</v>
      </c>
      <c r="DD187" s="72">
        <v>1</v>
      </c>
      <c r="DE187" s="72">
        <v>1</v>
      </c>
      <c r="DF187" s="72" t="b">
        <v>0</v>
      </c>
      <c r="DH187" t="s">
        <v>242</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223</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495</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233</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2713</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217</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244</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228</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378</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223</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222</v>
      </c>
      <c r="CM188">
        <v>1</v>
      </c>
      <c r="CN188">
        <v>180</v>
      </c>
      <c r="CO188">
        <v>100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5" t="str">
        <f ca="1">INDIRECT(ADDRESS(11+(MATCH(RIGHT(Table11[[#This Row],[spawner_sku]],LEN(Table11[[#This Row],[spawner_sku]])-FIND("/",Table11[[#This Row],[spawner_sku]])),Table28[Entity Prefab],0)),25,1,1,"Entities"))</f>
        <v>yes</v>
      </c>
      <c r="CS188" s="72">
        <v>1</v>
      </c>
      <c r="CT188" s="72">
        <v>1</v>
      </c>
      <c r="CU188" s="72" t="b">
        <v>0</v>
      </c>
      <c r="CW188" t="s">
        <v>506</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no</v>
      </c>
      <c r="DD188" s="72">
        <v>1</v>
      </c>
      <c r="DE188" s="72">
        <v>1</v>
      </c>
      <c r="DF188" s="72" t="b">
        <v>0</v>
      </c>
      <c r="DH188" t="s">
        <v>242</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223</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495</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5017</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2713</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217</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244</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228</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378</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224</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222</v>
      </c>
      <c r="CM189">
        <v>1</v>
      </c>
      <c r="CN189">
        <v>180</v>
      </c>
      <c r="CO189">
        <v>100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5" t="str">
        <f ca="1">INDIRECT(ADDRESS(11+(MATCH(RIGHT(Table11[[#This Row],[spawner_sku]],LEN(Table11[[#This Row],[spawner_sku]])-FIND("/",Table11[[#This Row],[spawner_sku]])),Table28[Entity Prefab],0)),25,1,1,"Entities"))</f>
        <v>yes</v>
      </c>
      <c r="CS189" s="72">
        <v>1</v>
      </c>
      <c r="CT189" s="72">
        <v>1</v>
      </c>
      <c r="CU189" s="72" t="b">
        <v>0</v>
      </c>
      <c r="CW189" t="s">
        <v>367</v>
      </c>
      <c r="CX189">
        <v>2.5</v>
      </c>
      <c r="CY189">
        <v>100</v>
      </c>
      <c r="CZ189">
        <v>80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50</v>
      </c>
      <c r="DC189" s="145" t="str">
        <f ca="1">INDIRECT(ADDRESS(11+(MATCH(RIGHT(Table12[[#This Row],[spawner_sku]],LEN(Table12[[#This Row],[spawner_sku]])-FIND("/",Table12[[#This Row],[spawner_sku]])),Table28[Entity Prefab],0)),25,1,1,"Entities"))</f>
        <v>no</v>
      </c>
      <c r="DD189" s="72">
        <v>2</v>
      </c>
      <c r="DE189" s="72">
        <v>3</v>
      </c>
      <c r="DF189" s="72" t="b">
        <v>0</v>
      </c>
      <c r="DH189" t="s">
        <v>242</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225</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495</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5017</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2713</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373</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376</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229</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378</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232</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222</v>
      </c>
      <c r="CM190">
        <v>1</v>
      </c>
      <c r="CN190">
        <v>180</v>
      </c>
      <c r="CO190">
        <v>100</v>
      </c>
      <c r="CP190" s="75">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5" t="str">
        <f ca="1">INDIRECT(ADDRESS(11+(MATCH(RIGHT(Table11[[#This Row],[spawner_sku]],LEN(Table11[[#This Row],[spawner_sku]])-FIND("/",Table11[[#This Row],[spawner_sku]])),Table28[Entity Prefab],0)),25,1,1,"Entities"))</f>
        <v>yes</v>
      </c>
      <c r="CS190" s="72">
        <v>1</v>
      </c>
      <c r="CT190" s="72">
        <v>1</v>
      </c>
      <c r="CU190" s="72" t="b">
        <v>0</v>
      </c>
      <c r="CW190" t="s">
        <v>367</v>
      </c>
      <c r="CX190">
        <v>5.5</v>
      </c>
      <c r="CY190">
        <v>100</v>
      </c>
      <c r="CZ190">
        <v>30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41</v>
      </c>
      <c r="DC190" s="145" t="str">
        <f ca="1">INDIRECT(ADDRESS(11+(MATCH(RIGHT(Table12[[#This Row],[spawner_sku]],LEN(Table12[[#This Row],[spawner_sku]])-FIND("/",Table12[[#This Row],[spawner_sku]])),Table28[Entity Prefab],0)),25,1,1,"Entities"))</f>
        <v>no</v>
      </c>
      <c r="DD190" s="72">
        <v>5</v>
      </c>
      <c r="DE190" s="72">
        <v>6</v>
      </c>
      <c r="DF190" s="72" t="b">
        <v>1</v>
      </c>
      <c r="DH190" t="s">
        <v>242</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225</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495</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466</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2713</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377</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376</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229</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378</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232</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222</v>
      </c>
      <c r="CM191">
        <v>1</v>
      </c>
      <c r="CN191">
        <v>180</v>
      </c>
      <c r="CO191">
        <v>100</v>
      </c>
      <c r="CP191" s="75">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5" t="str">
        <f ca="1">INDIRECT(ADDRESS(11+(MATCH(RIGHT(Table11[[#This Row],[spawner_sku]],LEN(Table11[[#This Row],[spawner_sku]])-FIND("/",Table11[[#This Row],[spawner_sku]])),Table28[Entity Prefab],0)),25,1,1,"Entities"))</f>
        <v>yes</v>
      </c>
      <c r="CS191" s="72">
        <v>1</v>
      </c>
      <c r="CT191" s="72">
        <v>1</v>
      </c>
      <c r="CU191" s="72" t="b">
        <v>0</v>
      </c>
      <c r="CW191" t="s">
        <v>367</v>
      </c>
      <c r="CX191">
        <v>5.5</v>
      </c>
      <c r="CY191">
        <v>100</v>
      </c>
      <c r="CZ191">
        <v>100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138</v>
      </c>
      <c r="DC191" s="145" t="str">
        <f ca="1">INDIRECT(ADDRESS(11+(MATCH(RIGHT(Table12[[#This Row],[spawner_sku]],LEN(Table12[[#This Row],[spawner_sku]])-FIND("/",Table12[[#This Row],[spawner_sku]])),Table28[Entity Prefab],0)),25,1,1,"Entities"))</f>
        <v>no</v>
      </c>
      <c r="DD191" s="72">
        <v>5</v>
      </c>
      <c r="DE191" s="72">
        <v>6</v>
      </c>
      <c r="DF191" s="72" t="b">
        <v>1</v>
      </c>
      <c r="DH191" t="s">
        <v>242</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225</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495</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466</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2713</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377</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376</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229</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378</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232</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222</v>
      </c>
      <c r="CM192">
        <v>1</v>
      </c>
      <c r="CN192">
        <v>180</v>
      </c>
      <c r="CO192">
        <v>100</v>
      </c>
      <c r="CP192" s="75">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5" t="str">
        <f ca="1">INDIRECT(ADDRESS(11+(MATCH(RIGHT(Table11[[#This Row],[spawner_sku]],LEN(Table11[[#This Row],[spawner_sku]])-FIND("/",Table11[[#This Row],[spawner_sku]])),Table28[Entity Prefab],0)),25,1,1,"Entities"))</f>
        <v>yes</v>
      </c>
      <c r="CS192" s="72">
        <v>1</v>
      </c>
      <c r="CT192" s="72">
        <v>1</v>
      </c>
      <c r="CU192" s="72" t="b">
        <v>0</v>
      </c>
      <c r="CW192" t="s">
        <v>367</v>
      </c>
      <c r="CX192">
        <v>3</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60</v>
      </c>
      <c r="DC192" s="145" t="str">
        <f ca="1">INDIRECT(ADDRESS(11+(MATCH(RIGHT(Table12[[#This Row],[spawner_sku]],LEN(Table12[[#This Row],[spawner_sku]])-FIND("/",Table12[[#This Row],[spawner_sku]])),Table28[Entity Prefab],0)),25,1,1,"Entities"))</f>
        <v>no</v>
      </c>
      <c r="DD192" s="72">
        <v>2</v>
      </c>
      <c r="DE192" s="72">
        <v>4</v>
      </c>
      <c r="DF192" s="72" t="b">
        <v>0</v>
      </c>
      <c r="DH192" t="s">
        <v>242</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225</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495</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467</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2713</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377</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376</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229</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378</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232</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223</v>
      </c>
      <c r="CM193">
        <v>1</v>
      </c>
      <c r="CN193">
        <v>120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5" t="str">
        <f ca="1">INDIRECT(ADDRESS(11+(MATCH(RIGHT(Table11[[#This Row],[spawner_sku]],LEN(Table11[[#This Row],[spawner_sku]])-FIND("/",Table11[[#This Row],[spawner_sku]])),Table28[Entity Prefab],0)),25,1,1,"Entities"))</f>
        <v>no</v>
      </c>
      <c r="CS193" s="72">
        <v>1</v>
      </c>
      <c r="CT193" s="72">
        <v>1</v>
      </c>
      <c r="CU193" s="72" t="b">
        <v>0</v>
      </c>
      <c r="CW193" t="s">
        <v>367</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242</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225</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577</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467</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2713</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218</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376</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229</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429</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232</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223</v>
      </c>
      <c r="CM194">
        <v>1</v>
      </c>
      <c r="CN194">
        <v>120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5" t="str">
        <f ca="1">INDIRECT(ADDRESS(11+(MATCH(RIGHT(Table11[[#This Row],[spawner_sku]],LEN(Table11[[#This Row],[spawner_sku]])-FIND("/",Table11[[#This Row],[spawner_sku]])),Table28[Entity Prefab],0)),25,1,1,"Entities"))</f>
        <v>no</v>
      </c>
      <c r="CS194" s="72">
        <v>1</v>
      </c>
      <c r="CT194" s="72">
        <v>1</v>
      </c>
      <c r="CU194" s="72" t="b">
        <v>0</v>
      </c>
      <c r="CW194" t="s">
        <v>367</v>
      </c>
      <c r="CX194">
        <v>5.5</v>
      </c>
      <c r="CY194">
        <v>100</v>
      </c>
      <c r="CZ194">
        <v>30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41</v>
      </c>
      <c r="DC194" s="145" t="str">
        <f ca="1">INDIRECT(ADDRESS(11+(MATCH(RIGHT(Table12[[#This Row],[spawner_sku]],LEN(Table12[[#This Row],[spawner_sku]])-FIND("/",Table12[[#This Row],[spawner_sku]])),Table28[Entity Prefab],0)),25,1,1,"Entities"))</f>
        <v>no</v>
      </c>
      <c r="DD194" s="72">
        <v>5</v>
      </c>
      <c r="DE194" s="72">
        <v>6</v>
      </c>
      <c r="DF194" s="72" t="b">
        <v>1</v>
      </c>
      <c r="DH194" t="s">
        <v>242</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227</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577</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467</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2713</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218</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3818</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230</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429</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232</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223</v>
      </c>
      <c r="CM195">
        <v>1</v>
      </c>
      <c r="CN195">
        <v>120</v>
      </c>
      <c r="CO195">
        <v>100</v>
      </c>
      <c r="CP195" s="75">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5" t="str">
        <f ca="1">INDIRECT(ADDRESS(11+(MATCH(RIGHT(Table11[[#This Row],[spawner_sku]],LEN(Table11[[#This Row],[spawner_sku]])-FIND("/",Table11[[#This Row],[spawner_sku]])),Table28[Entity Prefab],0)),25,1,1,"Entities"))</f>
        <v>no</v>
      </c>
      <c r="CS195" s="72">
        <v>1</v>
      </c>
      <c r="CT195" s="72">
        <v>1</v>
      </c>
      <c r="CU195" s="72" t="b">
        <v>0</v>
      </c>
      <c r="CW195" t="s">
        <v>367</v>
      </c>
      <c r="CX195">
        <v>3</v>
      </c>
      <c r="CY195">
        <v>100</v>
      </c>
      <c r="CZ195">
        <v>80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60</v>
      </c>
      <c r="DC195" s="145" t="str">
        <f ca="1">INDIRECT(ADDRESS(11+(MATCH(RIGHT(Table12[[#This Row],[spawner_sku]],LEN(Table12[[#This Row],[spawner_sku]])-FIND("/",Table12[[#This Row],[spawner_sku]])),Table28[Entity Prefab],0)),25,1,1,"Entities"))</f>
        <v>no</v>
      </c>
      <c r="DD195" s="72">
        <v>2</v>
      </c>
      <c r="DE195" s="72">
        <v>4</v>
      </c>
      <c r="DF195" s="72" t="b">
        <v>0</v>
      </c>
      <c r="DH195" t="s">
        <v>242</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227</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577</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467</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2714</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218</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487</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230</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240</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232</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223</v>
      </c>
      <c r="CM196">
        <v>1</v>
      </c>
      <c r="CN196">
        <v>120</v>
      </c>
      <c r="CO196">
        <v>100</v>
      </c>
      <c r="CP196" s="75">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5" t="str">
        <f ca="1">INDIRECT(ADDRESS(11+(MATCH(RIGHT(Table11[[#This Row],[spawner_sku]],LEN(Table11[[#This Row],[spawner_sku]])-FIND("/",Table11[[#This Row],[spawner_sku]])),Table28[Entity Prefab],0)),25,1,1,"Entities"))</f>
        <v>no</v>
      </c>
      <c r="CS196" s="72">
        <v>1</v>
      </c>
      <c r="CT196" s="72">
        <v>1</v>
      </c>
      <c r="CU196" s="72" t="b">
        <v>0</v>
      </c>
      <c r="CW196" t="s">
        <v>367</v>
      </c>
      <c r="CX196">
        <v>2.5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63</v>
      </c>
      <c r="DC196" s="145" t="str">
        <f ca="1">INDIRECT(ADDRESS(11+(MATCH(RIGHT(Table12[[#This Row],[spawner_sku]],LEN(Table12[[#This Row],[spawner_sku]])-FIND("/",Table12[[#This Row],[spawner_sku]])),Table28[Entity Prefab],0)),25,1,1,"Entities"))</f>
        <v>no</v>
      </c>
      <c r="DD196" s="72">
        <v>2</v>
      </c>
      <c r="DE196" s="72">
        <v>3</v>
      </c>
      <c r="DF196" s="72" t="b">
        <v>0</v>
      </c>
      <c r="DH196" t="s">
        <v>242</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228</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577</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467</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2714</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218</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487</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230</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241</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232</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224</v>
      </c>
      <c r="CM197">
        <v>1</v>
      </c>
      <c r="CN197">
        <v>2500</v>
      </c>
      <c r="CO197">
        <v>100</v>
      </c>
      <c r="CP197" s="75">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5" t="str">
        <f ca="1">INDIRECT(ADDRESS(11+(MATCH(RIGHT(Table11[[#This Row],[spawner_sku]],LEN(Table11[[#This Row],[spawner_sku]])-FIND("/",Table11[[#This Row],[spawner_sku]])),Table28[Entity Prefab],0)),25,1,1,"Entities"))</f>
        <v>yes</v>
      </c>
      <c r="CS197" s="72">
        <v>1</v>
      </c>
      <c r="CT197" s="72">
        <v>1</v>
      </c>
      <c r="CU197" s="72" t="b">
        <v>0</v>
      </c>
      <c r="CW197" t="s">
        <v>367</v>
      </c>
      <c r="CX197">
        <v>1.5</v>
      </c>
      <c r="CY197">
        <v>100</v>
      </c>
      <c r="CZ197">
        <v>30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11</v>
      </c>
      <c r="DC197" s="145" t="str">
        <f ca="1">INDIRECT(ADDRESS(11+(MATCH(RIGHT(Table12[[#This Row],[spawner_sku]],LEN(Table12[[#This Row],[spawner_sku]])-FIND("/",Table12[[#This Row],[spawner_sku]])),Table28[Entity Prefab],0)),25,1,1,"Entities"))</f>
        <v>no</v>
      </c>
      <c r="DD197" s="72">
        <v>1</v>
      </c>
      <c r="DE197" s="72">
        <v>2</v>
      </c>
      <c r="DF197" s="72" t="b">
        <v>0</v>
      </c>
      <c r="DH197" t="s">
        <v>242</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228</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577</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467</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2714</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218</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487</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232</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241</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232</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225</v>
      </c>
      <c r="CM198">
        <v>1</v>
      </c>
      <c r="CN198">
        <v>2500</v>
      </c>
      <c r="CO198">
        <v>100</v>
      </c>
      <c r="CP198" s="75">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5" t="str">
        <f ca="1">INDIRECT(ADDRESS(11+(MATCH(RIGHT(Table11[[#This Row],[spawner_sku]],LEN(Table11[[#This Row],[spawner_sku]])-FIND("/",Table11[[#This Row],[spawner_sku]])),Table28[Entity Prefab],0)),25,1,1,"Entities"))</f>
        <v>yes</v>
      </c>
      <c r="CS198" s="72">
        <v>1</v>
      </c>
      <c r="CT198" s="72">
        <v>1</v>
      </c>
      <c r="CU198" s="72" t="b">
        <v>0</v>
      </c>
      <c r="CW198" t="s">
        <v>367</v>
      </c>
      <c r="CX198">
        <v>1.5</v>
      </c>
      <c r="CY198">
        <v>100</v>
      </c>
      <c r="CZ198">
        <v>80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30</v>
      </c>
      <c r="DC198" s="145" t="str">
        <f ca="1">INDIRECT(ADDRESS(11+(MATCH(RIGHT(Table12[[#This Row],[spawner_sku]],LEN(Table12[[#This Row],[spawner_sku]])-FIND("/",Table12[[#This Row],[spawner_sku]])),Table28[Entity Prefab],0)),25,1,1,"Entities"))</f>
        <v>no</v>
      </c>
      <c r="DD198" s="72">
        <v>1</v>
      </c>
      <c r="DE198" s="72">
        <v>2</v>
      </c>
      <c r="DF198" s="72" t="b">
        <v>0</v>
      </c>
      <c r="DH198" t="s">
        <v>242</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371</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577</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467</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2714</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218</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487</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232</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241</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232</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226</v>
      </c>
      <c r="CM199">
        <v>1</v>
      </c>
      <c r="CN199">
        <v>2000</v>
      </c>
      <c r="CO199">
        <v>100</v>
      </c>
      <c r="CP199" s="75">
        <f ca="1">INDIRECT(ADDRESS(11+(MATCH(RIGHT(Table11[[#This Row],[spawner_sku]],LEN(Table11[[#This Row],[spawner_sku]])-FIND("/",Table11[[#This Row],[spawner_sku]])),Table1[Entity Prefab],0)),10,1,1,"Entities"))</f>
        <v>175</v>
      </c>
      <c r="CQ199">
        <f ca="1">ROUND((Table11[[#This Row],[XP]]*Table11[[#This Row],[entity_spawned (AVG)]])*(Table11[[#This Row],[activating_chance]]/100),0)</f>
        <v>175</v>
      </c>
      <c r="CR199" s="145" t="str">
        <f ca="1">INDIRECT(ADDRESS(11+(MATCH(RIGHT(Table11[[#This Row],[spawner_sku]],LEN(Table11[[#This Row],[spawner_sku]])-FIND("/",Table11[[#This Row],[spawner_sku]])),Table28[Entity Prefab],0)),25,1,1,"Entities"))</f>
        <v>yes</v>
      </c>
      <c r="CS199" s="72">
        <v>1</v>
      </c>
      <c r="CT199" s="72">
        <v>1</v>
      </c>
      <c r="CU199" s="72" t="b">
        <v>0</v>
      </c>
      <c r="CW199" t="s">
        <v>367</v>
      </c>
      <c r="CX199">
        <v>9</v>
      </c>
      <c r="CY199">
        <v>100</v>
      </c>
      <c r="CZ199">
        <v>80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180</v>
      </c>
      <c r="DC199" s="145" t="str">
        <f ca="1">INDIRECT(ADDRESS(11+(MATCH(RIGHT(Table12[[#This Row],[spawner_sku]],LEN(Table12[[#This Row],[spawner_sku]])-FIND("/",Table12[[#This Row],[spawner_sku]])),Table28[Entity Prefab],0)),25,1,1,"Entities"))</f>
        <v>no</v>
      </c>
      <c r="DD199" s="72">
        <v>8</v>
      </c>
      <c r="DE199" s="72">
        <v>10</v>
      </c>
      <c r="DF199" s="72" t="b">
        <v>1</v>
      </c>
      <c r="DH199" t="s">
        <v>242</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371</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577</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592</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2711</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218</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487</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232</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241</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232</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226</v>
      </c>
      <c r="CM200">
        <v>1</v>
      </c>
      <c r="CN200">
        <v>2000</v>
      </c>
      <c r="CO200">
        <v>100</v>
      </c>
      <c r="CP200" s="75">
        <f ca="1">INDIRECT(ADDRESS(11+(MATCH(RIGHT(Table11[[#This Row],[spawner_sku]],LEN(Table11[[#This Row],[spawner_sku]])-FIND("/",Table11[[#This Row],[spawner_sku]])),Table1[Entity Prefab],0)),10,1,1,"Entities"))</f>
        <v>175</v>
      </c>
      <c r="CQ200">
        <f ca="1">ROUND((Table11[[#This Row],[XP]]*Table11[[#This Row],[entity_spawned (AVG)]])*(Table11[[#This Row],[activating_chance]]/100),0)</f>
        <v>175</v>
      </c>
      <c r="CR200" s="145" t="str">
        <f ca="1">INDIRECT(ADDRESS(11+(MATCH(RIGHT(Table11[[#This Row],[spawner_sku]],LEN(Table11[[#This Row],[spawner_sku]])-FIND("/",Table11[[#This Row],[spawner_sku]])),Table28[Entity Prefab],0)),25,1,1,"Entities"))</f>
        <v>yes</v>
      </c>
      <c r="CS200" s="72">
        <v>1</v>
      </c>
      <c r="CT200" s="72">
        <v>1</v>
      </c>
      <c r="CU200" s="72" t="b">
        <v>0</v>
      </c>
      <c r="CW200" t="s">
        <v>367</v>
      </c>
      <c r="CX200">
        <v>1.5</v>
      </c>
      <c r="CY200">
        <v>100</v>
      </c>
      <c r="CZ200">
        <v>100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38</v>
      </c>
      <c r="DC200" s="145" t="str">
        <f ca="1">INDIRECT(ADDRESS(11+(MATCH(RIGHT(Table12[[#This Row],[spawner_sku]],LEN(Table12[[#This Row],[spawner_sku]])-FIND("/",Table12[[#This Row],[spawner_sku]])),Table28[Entity Prefab],0)),25,1,1,"Entities"))</f>
        <v>no</v>
      </c>
      <c r="DD200" s="72">
        <v>1</v>
      </c>
      <c r="DE200" s="72">
        <v>2</v>
      </c>
      <c r="DF200" s="72" t="b">
        <v>0</v>
      </c>
      <c r="DH200" t="s">
        <v>242</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371</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577</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592</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2711</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218</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367</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232</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241</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232</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226</v>
      </c>
      <c r="CM201">
        <v>1</v>
      </c>
      <c r="CN201">
        <v>2000</v>
      </c>
      <c r="CO201">
        <v>100</v>
      </c>
      <c r="CP201" s="75">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5" t="str">
        <f ca="1">INDIRECT(ADDRESS(11+(MATCH(RIGHT(Table11[[#This Row],[spawner_sku]],LEN(Table11[[#This Row],[spawner_sku]])-FIND("/",Table11[[#This Row],[spawner_sku]])),Table28[Entity Prefab],0)),25,1,1,"Entities"))</f>
        <v>yes</v>
      </c>
      <c r="CS201" s="72">
        <v>1</v>
      </c>
      <c r="CT201" s="72">
        <v>1</v>
      </c>
      <c r="CU201" s="72" t="b">
        <v>0</v>
      </c>
      <c r="CW201" t="s">
        <v>367</v>
      </c>
      <c r="CX201">
        <v>1.5</v>
      </c>
      <c r="CY201">
        <v>100</v>
      </c>
      <c r="CZ201">
        <v>100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38</v>
      </c>
      <c r="DC201" s="145" t="str">
        <f ca="1">INDIRECT(ADDRESS(11+(MATCH(RIGHT(Table12[[#This Row],[spawner_sku]],LEN(Table12[[#This Row],[spawner_sku]])-FIND("/",Table12[[#This Row],[spawner_sku]])),Table28[Entity Prefab],0)),25,1,1,"Entities"))</f>
        <v>no</v>
      </c>
      <c r="DD201" s="72">
        <v>1</v>
      </c>
      <c r="DE201" s="72">
        <v>2</v>
      </c>
      <c r="DF201" s="72" t="b">
        <v>0</v>
      </c>
      <c r="DH201" t="s">
        <v>242</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371</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371</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592</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2711</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218</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367</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232</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241</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232</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226</v>
      </c>
      <c r="CM202">
        <v>1</v>
      </c>
      <c r="CN202">
        <v>2000</v>
      </c>
      <c r="CO202">
        <v>100</v>
      </c>
      <c r="CP202" s="75">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5" t="str">
        <f ca="1">INDIRECT(ADDRESS(11+(MATCH(RIGHT(Table11[[#This Row],[spawner_sku]],LEN(Table11[[#This Row],[spawner_sku]])-FIND("/",Table11[[#This Row],[spawner_sku]])),Table28[Entity Prefab],0)),25,1,1,"Entities"))</f>
        <v>yes</v>
      </c>
      <c r="CS202" s="72">
        <v>1</v>
      </c>
      <c r="CT202" s="72">
        <v>1</v>
      </c>
      <c r="CU202" s="72" t="b">
        <v>0</v>
      </c>
      <c r="CW202" t="s">
        <v>367</v>
      </c>
      <c r="CX202">
        <v>2.5</v>
      </c>
      <c r="CY202">
        <v>100</v>
      </c>
      <c r="CZ202">
        <v>30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19</v>
      </c>
      <c r="DC202" s="145" t="str">
        <f ca="1">INDIRECT(ADDRESS(11+(MATCH(RIGHT(Table12[[#This Row],[spawner_sku]],LEN(Table12[[#This Row],[spawner_sku]])-FIND("/",Table12[[#This Row],[spawner_sku]])),Table28[Entity Prefab],0)),25,1,1,"Entities"))</f>
        <v>no</v>
      </c>
      <c r="DD202" s="72">
        <v>2</v>
      </c>
      <c r="DE202" s="72">
        <v>3</v>
      </c>
      <c r="DF202" s="72" t="b">
        <v>0</v>
      </c>
      <c r="DH202" t="s">
        <v>242</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371</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448</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592</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2711</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219</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367</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577</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241</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232</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226</v>
      </c>
      <c r="CM203">
        <v>1</v>
      </c>
      <c r="CN203">
        <v>2000</v>
      </c>
      <c r="CO203">
        <v>100</v>
      </c>
      <c r="CP203" s="75">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5" t="str">
        <f ca="1">INDIRECT(ADDRESS(11+(MATCH(RIGHT(Table11[[#This Row],[spawner_sku]],LEN(Table11[[#This Row],[spawner_sku]])-FIND("/",Table11[[#This Row],[spawner_sku]])),Table28[Entity Prefab],0)),25,1,1,"Entities"))</f>
        <v>yes</v>
      </c>
      <c r="CS203" s="72">
        <v>1</v>
      </c>
      <c r="CT203" s="72">
        <v>1</v>
      </c>
      <c r="CU203" s="72" t="b">
        <v>0</v>
      </c>
      <c r="CW203" t="s">
        <v>367</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242</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371</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448</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592</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2711</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219</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367</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577</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241</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232</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227</v>
      </c>
      <c r="CM204">
        <v>1</v>
      </c>
      <c r="CN204">
        <v>2000</v>
      </c>
      <c r="CO204">
        <v>100</v>
      </c>
      <c r="CP204" s="75">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5" t="str">
        <f ca="1">INDIRECT(ADDRESS(11+(MATCH(RIGHT(Table11[[#This Row],[spawner_sku]],LEN(Table11[[#This Row],[spawner_sku]])-FIND("/",Table11[[#This Row],[spawner_sku]])),Table28[Entity Prefab],0)),25,1,1,"Entities"))</f>
        <v>yes</v>
      </c>
      <c r="CS204" s="72">
        <v>1</v>
      </c>
      <c r="CT204" s="72">
        <v>1</v>
      </c>
      <c r="CU204" s="72" t="b">
        <v>0</v>
      </c>
      <c r="CW204" t="s">
        <v>367</v>
      </c>
      <c r="CX204">
        <v>5.5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41</v>
      </c>
      <c r="DC204" s="145" t="str">
        <f ca="1">INDIRECT(ADDRESS(11+(MATCH(RIGHT(Table12[[#This Row],[spawner_sku]],LEN(Table12[[#This Row],[spawner_sku]])-FIND("/",Table12[[#This Row],[spawner_sku]])),Table28[Entity Prefab],0)),25,1,1,"Entities"))</f>
        <v>no</v>
      </c>
      <c r="DD204" s="72">
        <v>5</v>
      </c>
      <c r="DE204" s="72">
        <v>6</v>
      </c>
      <c r="DF204" s="72" t="b">
        <v>1</v>
      </c>
      <c r="DH204" t="s">
        <v>242</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448</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449</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592</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2711</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219</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367</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577</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241</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232</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227</v>
      </c>
      <c r="CM205">
        <v>1</v>
      </c>
      <c r="CN205">
        <v>2000</v>
      </c>
      <c r="CO205">
        <v>100</v>
      </c>
      <c r="CP205" s="75">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5" t="str">
        <f ca="1">INDIRECT(ADDRESS(11+(MATCH(RIGHT(Table11[[#This Row],[spawner_sku]],LEN(Table11[[#This Row],[spawner_sku]])-FIND("/",Table11[[#This Row],[spawner_sku]])),Table28[Entity Prefab],0)),25,1,1,"Entities"))</f>
        <v>yes</v>
      </c>
      <c r="CS205" s="72">
        <v>1</v>
      </c>
      <c r="CT205" s="72">
        <v>1</v>
      </c>
      <c r="CU205" s="72" t="b">
        <v>0</v>
      </c>
      <c r="CW205" t="s">
        <v>367</v>
      </c>
      <c r="CX205">
        <v>1.5</v>
      </c>
      <c r="CY205">
        <v>100</v>
      </c>
      <c r="CZ205">
        <v>30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11</v>
      </c>
      <c r="DC205" s="145" t="str">
        <f ca="1">INDIRECT(ADDRESS(11+(MATCH(RIGHT(Table12[[#This Row],[spawner_sku]],LEN(Table12[[#This Row],[spawner_sku]])-FIND("/",Table12[[#This Row],[spawner_sku]])),Table28[Entity Prefab],0)),25,1,1,"Entities"))</f>
        <v>no</v>
      </c>
      <c r="DD205" s="72">
        <v>1</v>
      </c>
      <c r="DE205" s="72">
        <v>2</v>
      </c>
      <c r="DF205" s="72" t="b">
        <v>0</v>
      </c>
      <c r="DH205" t="s">
        <v>242</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450</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449</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580</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2711</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219</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367</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577</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242</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232</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227</v>
      </c>
      <c r="CM206">
        <v>1</v>
      </c>
      <c r="CN206">
        <v>2000</v>
      </c>
      <c r="CO206">
        <v>100</v>
      </c>
      <c r="CP206" s="75">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5" t="str">
        <f ca="1">INDIRECT(ADDRESS(11+(MATCH(RIGHT(Table11[[#This Row],[spawner_sku]],LEN(Table11[[#This Row],[spawner_sku]])-FIND("/",Table11[[#This Row],[spawner_sku]])),Table28[Entity Prefab],0)),25,1,1,"Entities"))</f>
        <v>yes</v>
      </c>
      <c r="CS206" s="72">
        <v>1</v>
      </c>
      <c r="CT206" s="72">
        <v>1</v>
      </c>
      <c r="CU206" s="72" t="b">
        <v>0</v>
      </c>
      <c r="CW206" t="s">
        <v>367</v>
      </c>
      <c r="CX206">
        <v>3</v>
      </c>
      <c r="CY206">
        <v>100</v>
      </c>
      <c r="CZ206">
        <v>100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75</v>
      </c>
      <c r="DC206" s="145" t="str">
        <f ca="1">INDIRECT(ADDRESS(11+(MATCH(RIGHT(Table12[[#This Row],[spawner_sku]],LEN(Table12[[#This Row],[spawner_sku]])-FIND("/",Table12[[#This Row],[spawner_sku]])),Table28[Entity Prefab],0)),25,1,1,"Entities"))</f>
        <v>no</v>
      </c>
      <c r="DD206" s="72">
        <v>2</v>
      </c>
      <c r="DE206" s="72">
        <v>4</v>
      </c>
      <c r="DF206" s="72" t="b">
        <v>0</v>
      </c>
      <c r="DH206" t="s">
        <v>242</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450</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449</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580</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2711</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219</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367</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577</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242</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232</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227</v>
      </c>
      <c r="CM207">
        <v>1</v>
      </c>
      <c r="CN207">
        <v>2000</v>
      </c>
      <c r="CO207">
        <v>100</v>
      </c>
      <c r="CP207" s="75">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5" t="str">
        <f ca="1">INDIRECT(ADDRESS(11+(MATCH(RIGHT(Table11[[#This Row],[spawner_sku]],LEN(Table11[[#This Row],[spawner_sku]])-FIND("/",Table11[[#This Row],[spawner_sku]])),Table28[Entity Prefab],0)),25,1,1,"Entities"))</f>
        <v>yes</v>
      </c>
      <c r="CS207" s="72">
        <v>1</v>
      </c>
      <c r="CT207" s="72">
        <v>1</v>
      </c>
      <c r="CU207" s="72" t="b">
        <v>0</v>
      </c>
      <c r="CW207" t="s">
        <v>367</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242</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451</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450</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580</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2711</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219</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367</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577</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242</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232</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227</v>
      </c>
      <c r="CM208">
        <v>1</v>
      </c>
      <c r="CN208">
        <v>2000</v>
      </c>
      <c r="CO208">
        <v>100</v>
      </c>
      <c r="CP208" s="75">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5" t="str">
        <f ca="1">INDIRECT(ADDRESS(11+(MATCH(RIGHT(Table11[[#This Row],[spawner_sku]],LEN(Table11[[#This Row],[spawner_sku]])-FIND("/",Table11[[#This Row],[spawner_sku]])),Table28[Entity Prefab],0)),25,1,1,"Entities"))</f>
        <v>yes</v>
      </c>
      <c r="CS208" s="72">
        <v>1</v>
      </c>
      <c r="CT208" s="72">
        <v>1</v>
      </c>
      <c r="CU208" s="72" t="b">
        <v>0</v>
      </c>
      <c r="CW208" t="s">
        <v>367</v>
      </c>
      <c r="CX208">
        <v>6.5</v>
      </c>
      <c r="CY208">
        <v>100</v>
      </c>
      <c r="CZ208">
        <v>80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130</v>
      </c>
      <c r="DC208" s="145" t="str">
        <f ca="1">INDIRECT(ADDRESS(11+(MATCH(RIGHT(Table12[[#This Row],[spawner_sku]],LEN(Table12[[#This Row],[spawner_sku]])-FIND("/",Table12[[#This Row],[spawner_sku]])),Table28[Entity Prefab],0)),25,1,1,"Entities"))</f>
        <v>no</v>
      </c>
      <c r="DD208" s="72">
        <v>5</v>
      </c>
      <c r="DE208" s="72">
        <v>8</v>
      </c>
      <c r="DF208" s="72" t="b">
        <v>1</v>
      </c>
      <c r="DH208" t="s">
        <v>242</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451</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450</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580</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2711</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219</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367</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371</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242</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232</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228</v>
      </c>
      <c r="CM209">
        <v>1</v>
      </c>
      <c r="CN209">
        <v>1500</v>
      </c>
      <c r="CO209">
        <v>100</v>
      </c>
      <c r="CP209" s="75">
        <f ca="1">INDIRECT(ADDRESS(11+(MATCH(RIGHT(Table11[[#This Row],[spawner_sku]],LEN(Table11[[#This Row],[spawner_sku]])-FIND("/",Table11[[#This Row],[spawner_sku]])),Table1[Entity Prefab],0)),10,1,1,"Entities"))</f>
        <v>130</v>
      </c>
      <c r="CQ209">
        <f ca="1">ROUND((Table11[[#This Row],[XP]]*Table11[[#This Row],[entity_spawned (AVG)]])*(Table11[[#This Row],[activating_chance]]/100),0)</f>
        <v>130</v>
      </c>
      <c r="CR209" s="145" t="str">
        <f ca="1">INDIRECT(ADDRESS(11+(MATCH(RIGHT(Table11[[#This Row],[spawner_sku]],LEN(Table11[[#This Row],[spawner_sku]])-FIND("/",Table11[[#This Row],[spawner_sku]])),Table28[Entity Prefab],0)),25,1,1,"Entities"))</f>
        <v>yes</v>
      </c>
      <c r="CS209" s="72">
        <v>1</v>
      </c>
      <c r="CT209" s="72">
        <v>1</v>
      </c>
      <c r="CU209" s="72" t="b">
        <v>0</v>
      </c>
      <c r="CW209" t="s">
        <v>367</v>
      </c>
      <c r="CX209">
        <v>1.5</v>
      </c>
      <c r="CY209">
        <v>100</v>
      </c>
      <c r="CZ209">
        <v>80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30</v>
      </c>
      <c r="DC209" s="145" t="str">
        <f ca="1">INDIRECT(ADDRESS(11+(MATCH(RIGHT(Table12[[#This Row],[spawner_sku]],LEN(Table12[[#This Row],[spawner_sku]])-FIND("/",Table12[[#This Row],[spawner_sku]])),Table28[Entity Prefab],0)),25,1,1,"Entities"))</f>
        <v>no</v>
      </c>
      <c r="DD209" s="72">
        <v>1</v>
      </c>
      <c r="DE209" s="72">
        <v>2</v>
      </c>
      <c r="DF209" s="72" t="b">
        <v>0</v>
      </c>
      <c r="DH209" t="s">
        <v>242</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370</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450</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580</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2711</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219</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367</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371</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242</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232</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228</v>
      </c>
      <c r="CM210">
        <v>1</v>
      </c>
      <c r="CN210">
        <v>1500</v>
      </c>
      <c r="CO210">
        <v>100</v>
      </c>
      <c r="CP210" s="75">
        <f ca="1">INDIRECT(ADDRESS(11+(MATCH(RIGHT(Table11[[#This Row],[spawner_sku]],LEN(Table11[[#This Row],[spawner_sku]])-FIND("/",Table11[[#This Row],[spawner_sku]])),Table1[Entity Prefab],0)),10,1,1,"Entities"))</f>
        <v>130</v>
      </c>
      <c r="CQ210">
        <f ca="1">ROUND((Table11[[#This Row],[XP]]*Table11[[#This Row],[entity_spawned (AVG)]])*(Table11[[#This Row],[activating_chance]]/100),0)</f>
        <v>130</v>
      </c>
      <c r="CR210" s="145" t="str">
        <f ca="1">INDIRECT(ADDRESS(11+(MATCH(RIGHT(Table11[[#This Row],[spawner_sku]],LEN(Table11[[#This Row],[spawner_sku]])-FIND("/",Table11[[#This Row],[spawner_sku]])),Table28[Entity Prefab],0)),25,1,1,"Entities"))</f>
        <v>yes</v>
      </c>
      <c r="CS210" s="72">
        <v>1</v>
      </c>
      <c r="CT210" s="72">
        <v>1</v>
      </c>
      <c r="CU210" s="72" t="b">
        <v>0</v>
      </c>
      <c r="CW210" t="s">
        <v>367</v>
      </c>
      <c r="CX210">
        <v>1.5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30</v>
      </c>
      <c r="DC210" s="145" t="str">
        <f ca="1">INDIRECT(ADDRESS(11+(MATCH(RIGHT(Table12[[#This Row],[spawner_sku]],LEN(Table12[[#This Row],[spawner_sku]])-FIND("/",Table12[[#This Row],[spawner_sku]])),Table28[Entity Prefab],0)),25,1,1,"Entities"))</f>
        <v>no</v>
      </c>
      <c r="DD210" s="72">
        <v>1</v>
      </c>
      <c r="DE210" s="72">
        <v>2</v>
      </c>
      <c r="DF210" s="72" t="b">
        <v>0</v>
      </c>
      <c r="DH210" t="s">
        <v>242</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370</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451</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2707</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2711</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219</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367</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371</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242</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232</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228</v>
      </c>
      <c r="CM211">
        <v>1</v>
      </c>
      <c r="CN211">
        <v>1500</v>
      </c>
      <c r="CO211">
        <v>100</v>
      </c>
      <c r="CP211" s="75">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5" t="str">
        <f ca="1">INDIRECT(ADDRESS(11+(MATCH(RIGHT(Table11[[#This Row],[spawner_sku]],LEN(Table11[[#This Row],[spawner_sku]])-FIND("/",Table11[[#This Row],[spawner_sku]])),Table28[Entity Prefab],0)),25,1,1,"Entities"))</f>
        <v>yes</v>
      </c>
      <c r="CS211" s="72">
        <v>1</v>
      </c>
      <c r="CT211" s="72">
        <v>1</v>
      </c>
      <c r="CU211" s="72" t="b">
        <v>0</v>
      </c>
      <c r="CW211" t="s">
        <v>367</v>
      </c>
      <c r="CX211">
        <v>3</v>
      </c>
      <c r="CY211">
        <v>100</v>
      </c>
      <c r="CZ211">
        <v>100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75</v>
      </c>
      <c r="DC211" s="145" t="str">
        <f ca="1">INDIRECT(ADDRESS(11+(MATCH(RIGHT(Table12[[#This Row],[spawner_sku]],LEN(Table12[[#This Row],[spawner_sku]])-FIND("/",Table12[[#This Row],[spawner_sku]])),Table28[Entity Prefab],0)),25,1,1,"Entities"))</f>
        <v>no</v>
      </c>
      <c r="DD211" s="72">
        <v>2</v>
      </c>
      <c r="DE211" s="72">
        <v>4</v>
      </c>
      <c r="DF211" s="72" t="b">
        <v>0</v>
      </c>
      <c r="DH211" t="s">
        <v>242</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370</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424</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2707</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2711</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219</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367</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447</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242</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232</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229</v>
      </c>
      <c r="CM212">
        <v>1</v>
      </c>
      <c r="CN212">
        <v>1500</v>
      </c>
      <c r="CO212">
        <v>100</v>
      </c>
      <c r="CP212" s="75">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5" t="str">
        <f ca="1">INDIRECT(ADDRESS(11+(MATCH(RIGHT(Table11[[#This Row],[spawner_sku]],LEN(Table11[[#This Row],[spawner_sku]])-FIND("/",Table11[[#This Row],[spawner_sku]])),Table28[Entity Prefab],0)),25,1,1,"Entities"))</f>
        <v>yes</v>
      </c>
      <c r="CS212" s="72">
        <v>1</v>
      </c>
      <c r="CT212" s="72">
        <v>1</v>
      </c>
      <c r="CU212" s="72" t="b">
        <v>0</v>
      </c>
      <c r="CW212" t="s">
        <v>367</v>
      </c>
      <c r="CX212">
        <v>3</v>
      </c>
      <c r="CY212">
        <v>100</v>
      </c>
      <c r="CZ212">
        <v>100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75</v>
      </c>
      <c r="DC212" s="145" t="str">
        <f ca="1">INDIRECT(ADDRESS(11+(MATCH(RIGHT(Table12[[#This Row],[spawner_sku]],LEN(Table12[[#This Row],[spawner_sku]])-FIND("/",Table12[[#This Row],[spawner_sku]])),Table28[Entity Prefab],0)),25,1,1,"Entities"))</f>
        <v>no</v>
      </c>
      <c r="DD212" s="72">
        <v>2</v>
      </c>
      <c r="DE212" s="72">
        <v>4</v>
      </c>
      <c r="DF212" s="72" t="b">
        <v>0</v>
      </c>
      <c r="DH212" t="s">
        <v>242</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370</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424</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2707</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2711</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219</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367</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447</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242</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232</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229</v>
      </c>
      <c r="CM213">
        <v>1</v>
      </c>
      <c r="CN213">
        <v>1500</v>
      </c>
      <c r="CO213">
        <v>100</v>
      </c>
      <c r="CP213" s="75">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5" t="str">
        <f ca="1">INDIRECT(ADDRESS(11+(MATCH(RIGHT(Table11[[#This Row],[spawner_sku]],LEN(Table11[[#This Row],[spawner_sku]])-FIND("/",Table11[[#This Row],[spawner_sku]])),Table28[Entity Prefab],0)),25,1,1,"Entities"))</f>
        <v>yes</v>
      </c>
      <c r="CS213" s="72">
        <v>1</v>
      </c>
      <c r="CT213" s="72">
        <v>1</v>
      </c>
      <c r="CU213" s="72" t="b">
        <v>0</v>
      </c>
      <c r="CW213" t="s">
        <v>367</v>
      </c>
      <c r="CX213">
        <v>2.5</v>
      </c>
      <c r="CY213">
        <v>100</v>
      </c>
      <c r="CZ213">
        <v>80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50</v>
      </c>
      <c r="DC213" s="145" t="str">
        <f ca="1">INDIRECT(ADDRESS(11+(MATCH(RIGHT(Table12[[#This Row],[spawner_sku]],LEN(Table12[[#This Row],[spawner_sku]])-FIND("/",Table12[[#This Row],[spawner_sku]])),Table28[Entity Prefab],0)),25,1,1,"Entities"))</f>
        <v>no</v>
      </c>
      <c r="DD213" s="72">
        <v>2</v>
      </c>
      <c r="DE213" s="72">
        <v>3</v>
      </c>
      <c r="DF213" s="72" t="b">
        <v>0</v>
      </c>
      <c r="DH213" t="s">
        <v>242</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370</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424</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2707</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8043</v>
      </c>
      <c r="FW213">
        <v>1</v>
      </c>
      <c r="FX213">
        <v>120</v>
      </c>
      <c r="FY213">
        <v>100</v>
      </c>
      <c r="FZ213" s="75">
        <v>195</v>
      </c>
      <c r="GA213" s="75">
        <f>ROUND((Table18202324[[#This Row],[XP]]*Table18202324[[#This Row],[entity_spawned (AVG)]])*(Table18202324[[#This Row],[activating_chance]]/100),0)</f>
        <v>195</v>
      </c>
      <c r="GB213" s="75" t="s">
        <v>328</v>
      </c>
      <c r="GC213">
        <v>1</v>
      </c>
      <c r="GD213">
        <v>1</v>
      </c>
      <c r="GE213" t="b">
        <v>0</v>
      </c>
    </row>
    <row r="214" spans="2:187" x14ac:dyDescent="0.25">
      <c r="B214" s="73" t="s">
        <v>219</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367</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447</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242</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577</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229</v>
      </c>
      <c r="CM214">
        <v>1</v>
      </c>
      <c r="CN214">
        <v>1500</v>
      </c>
      <c r="CO214">
        <v>100</v>
      </c>
      <c r="CP214" s="75">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5" t="str">
        <f ca="1">INDIRECT(ADDRESS(11+(MATCH(RIGHT(Table11[[#This Row],[spawner_sku]],LEN(Table11[[#This Row],[spawner_sku]])-FIND("/",Table11[[#This Row],[spawner_sku]])),Table28[Entity Prefab],0)),25,1,1,"Entities"))</f>
        <v>yes</v>
      </c>
      <c r="CS214" s="72">
        <v>1</v>
      </c>
      <c r="CT214" s="72">
        <v>1</v>
      </c>
      <c r="CU214" s="72" t="b">
        <v>0</v>
      </c>
      <c r="CW214" t="s">
        <v>367</v>
      </c>
      <c r="CX214">
        <v>1.5</v>
      </c>
      <c r="CY214">
        <v>100</v>
      </c>
      <c r="CZ214">
        <v>30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11</v>
      </c>
      <c r="DC214" s="145" t="str">
        <f ca="1">INDIRECT(ADDRESS(11+(MATCH(RIGHT(Table12[[#This Row],[spawner_sku]],LEN(Table12[[#This Row],[spawner_sku]])-FIND("/",Table12[[#This Row],[spawner_sku]])),Table28[Entity Prefab],0)),25,1,1,"Entities"))</f>
        <v>no</v>
      </c>
      <c r="DD214" s="72">
        <v>1</v>
      </c>
      <c r="DE214" s="72">
        <v>2</v>
      </c>
      <c r="DF214" s="72" t="b">
        <v>0</v>
      </c>
      <c r="DH214" t="s">
        <v>242</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370</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424</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579</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8043</v>
      </c>
      <c r="FW214">
        <v>1</v>
      </c>
      <c r="FX214">
        <v>120</v>
      </c>
      <c r="FY214">
        <v>80</v>
      </c>
      <c r="FZ214" s="75">
        <v>195</v>
      </c>
      <c r="GA214" s="75">
        <f>ROUND((Table18202324[[#This Row],[XP]]*Table18202324[[#This Row],[entity_spawned (AVG)]])*(Table18202324[[#This Row],[activating_chance]]/100),0)</f>
        <v>156</v>
      </c>
      <c r="GB214" s="75" t="s">
        <v>328</v>
      </c>
      <c r="GC214">
        <v>1</v>
      </c>
      <c r="GD214">
        <v>1</v>
      </c>
      <c r="GE214" t="b">
        <v>0</v>
      </c>
    </row>
    <row r="215" spans="2:187" x14ac:dyDescent="0.25">
      <c r="B215" s="73" t="s">
        <v>219</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367</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447</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242</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577</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229</v>
      </c>
      <c r="CM215">
        <v>1</v>
      </c>
      <c r="CN215">
        <v>1500</v>
      </c>
      <c r="CO215">
        <v>100</v>
      </c>
      <c r="CP215" s="75">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5" t="str">
        <f ca="1">INDIRECT(ADDRESS(11+(MATCH(RIGHT(Table11[[#This Row],[spawner_sku]],LEN(Table11[[#This Row],[spawner_sku]])-FIND("/",Table11[[#This Row],[spawner_sku]])),Table28[Entity Prefab],0)),25,1,1,"Entities"))</f>
        <v>yes</v>
      </c>
      <c r="CS215" s="72">
        <v>1</v>
      </c>
      <c r="CT215" s="72">
        <v>1</v>
      </c>
      <c r="CU215" s="72" t="b">
        <v>0</v>
      </c>
      <c r="CW215" t="s">
        <v>367</v>
      </c>
      <c r="CX215">
        <v>2</v>
      </c>
      <c r="CY215">
        <v>100</v>
      </c>
      <c r="CZ215">
        <v>100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1</v>
      </c>
      <c r="DE215" s="72">
        <v>3</v>
      </c>
      <c r="DF215" s="72" t="b">
        <v>0</v>
      </c>
      <c r="DH215" t="s">
        <v>242</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370</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233</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591</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8043</v>
      </c>
      <c r="FW215">
        <v>1</v>
      </c>
      <c r="FX215">
        <v>140</v>
      </c>
      <c r="FY215">
        <v>100</v>
      </c>
      <c r="FZ215" s="75">
        <v>195</v>
      </c>
      <c r="GA215" s="75">
        <f>ROUND((Table18202324[[#This Row],[XP]]*Table18202324[[#This Row],[entity_spawned (AVG)]])*(Table18202324[[#This Row],[activating_chance]]/100),0)</f>
        <v>195</v>
      </c>
      <c r="GB215" s="75" t="s">
        <v>328</v>
      </c>
      <c r="GC215">
        <v>1</v>
      </c>
      <c r="GD215">
        <v>1</v>
      </c>
      <c r="GE215" t="b">
        <v>0</v>
      </c>
    </row>
    <row r="216" spans="2:187" x14ac:dyDescent="0.25">
      <c r="B216" s="73" t="s">
        <v>219</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367</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447</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242</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577</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229</v>
      </c>
      <c r="CM216">
        <v>1</v>
      </c>
      <c r="CN216">
        <v>1500</v>
      </c>
      <c r="CO216">
        <v>100</v>
      </c>
      <c r="CP216" s="75">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5" t="str">
        <f ca="1">INDIRECT(ADDRESS(11+(MATCH(RIGHT(Table11[[#This Row],[spawner_sku]],LEN(Table11[[#This Row],[spawner_sku]])-FIND("/",Table11[[#This Row],[spawner_sku]])),Table28[Entity Prefab],0)),25,1,1,"Entities"))</f>
        <v>yes</v>
      </c>
      <c r="CS216" s="72">
        <v>1</v>
      </c>
      <c r="CT216" s="72">
        <v>1</v>
      </c>
      <c r="CU216" s="72" t="b">
        <v>0</v>
      </c>
      <c r="CW216" t="s">
        <v>367</v>
      </c>
      <c r="CX216">
        <v>9</v>
      </c>
      <c r="CY216">
        <v>100</v>
      </c>
      <c r="CZ216">
        <v>100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225</v>
      </c>
      <c r="DC216" s="145" t="str">
        <f ca="1">INDIRECT(ADDRESS(11+(MATCH(RIGHT(Table12[[#This Row],[spawner_sku]],LEN(Table12[[#This Row],[spawner_sku]])-FIND("/",Table12[[#This Row],[spawner_sku]])),Table28[Entity Prefab],0)),25,1,1,"Entities"))</f>
        <v>no</v>
      </c>
      <c r="DD216" s="72">
        <v>8</v>
      </c>
      <c r="DE216" s="72">
        <v>10</v>
      </c>
      <c r="DF216" s="72" t="b">
        <v>1</v>
      </c>
      <c r="DH216" t="s">
        <v>242</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370</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233</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591</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8043</v>
      </c>
      <c r="FW216">
        <v>1</v>
      </c>
      <c r="FX216">
        <v>140</v>
      </c>
      <c r="FY216">
        <v>100</v>
      </c>
      <c r="FZ216" s="75">
        <v>195</v>
      </c>
      <c r="GA216" s="75">
        <f>ROUND((Table18202324[[#This Row],[XP]]*Table18202324[[#This Row],[entity_spawned (AVG)]])*(Table18202324[[#This Row],[activating_chance]]/100),0)</f>
        <v>195</v>
      </c>
      <c r="GB216" s="75" t="s">
        <v>328</v>
      </c>
      <c r="GC216">
        <v>1</v>
      </c>
      <c r="GD216">
        <v>1</v>
      </c>
      <c r="GE216" t="b">
        <v>0</v>
      </c>
    </row>
    <row r="217" spans="2:187" x14ac:dyDescent="0.25">
      <c r="B217" s="73" t="s">
        <v>219</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367</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447</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242</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577</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229</v>
      </c>
      <c r="CM217">
        <v>1</v>
      </c>
      <c r="CN217">
        <v>1500</v>
      </c>
      <c r="CO217">
        <v>100</v>
      </c>
      <c r="CP217" s="75">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5" t="str">
        <f ca="1">INDIRECT(ADDRESS(11+(MATCH(RIGHT(Table11[[#This Row],[spawner_sku]],LEN(Table11[[#This Row],[spawner_sku]])-FIND("/",Table11[[#This Row],[spawner_sku]])),Table28[Entity Prefab],0)),25,1,1,"Entities"))</f>
        <v>yes</v>
      </c>
      <c r="CS217" s="72">
        <v>1</v>
      </c>
      <c r="CT217" s="72">
        <v>1</v>
      </c>
      <c r="CU217" s="72" t="b">
        <v>0</v>
      </c>
      <c r="CW217" t="s">
        <v>366</v>
      </c>
      <c r="CX217">
        <v>2</v>
      </c>
      <c r="CY217">
        <v>170</v>
      </c>
      <c r="CZ217">
        <v>100</v>
      </c>
      <c r="DA217" s="75">
        <f ca="1">INDIRECT(ADDRESS(11+(MATCH(RIGHT(Table12[[#This Row],[spawner_sku]],LEN(Table12[[#This Row],[spawner_sku]])-FIND("/",Table12[[#This Row],[spawner_sku]])),Table1[Entity Prefab],0)),10,1,1,"Entities"))</f>
        <v>28</v>
      </c>
      <c r="DB217" s="75">
        <f ca="1">ROUND((Table12[[#This Row],[XP]]*Table12[[#This Row],[entity_spawned (AVG)]])*(Table12[[#This Row],[activating_chance]]/100),0)</f>
        <v>56</v>
      </c>
      <c r="DC217" s="145" t="str">
        <f ca="1">INDIRECT(ADDRESS(11+(MATCH(RIGHT(Table12[[#This Row],[spawner_sku]],LEN(Table12[[#This Row],[spawner_sku]])-FIND("/",Table12[[#This Row],[spawner_sku]])),Table28[Entity Prefab],0)),25,1,1,"Entities"))</f>
        <v>yes</v>
      </c>
      <c r="DD217" s="72">
        <v>2</v>
      </c>
      <c r="DE217" s="72">
        <v>2</v>
      </c>
      <c r="DF217" s="72" t="b">
        <v>0</v>
      </c>
      <c r="DH217" t="s">
        <v>242</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370</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233</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591</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2709</v>
      </c>
      <c r="FW217">
        <v>3.5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245</v>
      </c>
      <c r="GB217" s="75" t="str">
        <f ca="1">INDIRECT(ADDRESS(11+(MATCH(RIGHT(Table18202324[[#This Row],[spawner_sku]],LEN(Table18202324[[#This Row],[spawner_sku]])-FIND("/",Table18202324[[#This Row],[spawner_sku]])),Table28[Entity Prefab],0)),26,1,1,"Entities"))</f>
        <v>yes</v>
      </c>
      <c r="GC217">
        <v>3</v>
      </c>
      <c r="GD217">
        <v>4</v>
      </c>
      <c r="GE217" t="b">
        <v>0</v>
      </c>
    </row>
    <row r="218" spans="2:187" x14ac:dyDescent="0.25">
      <c r="B218" s="73" t="s">
        <v>219</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367</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448</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242</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577</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229</v>
      </c>
      <c r="CM218">
        <v>1</v>
      </c>
      <c r="CN218">
        <v>1500</v>
      </c>
      <c r="CO218">
        <v>100</v>
      </c>
      <c r="CP218" s="75">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5" t="str">
        <f ca="1">INDIRECT(ADDRESS(11+(MATCH(RIGHT(Table11[[#This Row],[spawner_sku]],LEN(Table11[[#This Row],[spawner_sku]])-FIND("/",Table11[[#This Row],[spawner_sku]])),Table28[Entity Prefab],0)),25,1,1,"Entities"))</f>
        <v>yes</v>
      </c>
      <c r="CS218" s="72">
        <v>1</v>
      </c>
      <c r="CT218" s="72">
        <v>1</v>
      </c>
      <c r="CU218" s="72" t="b">
        <v>0</v>
      </c>
      <c r="CW218" t="s">
        <v>366</v>
      </c>
      <c r="CX218">
        <v>2.5</v>
      </c>
      <c r="CY218">
        <v>170</v>
      </c>
      <c r="CZ218">
        <v>100</v>
      </c>
      <c r="DA218" s="75">
        <f ca="1">INDIRECT(ADDRESS(11+(MATCH(RIGHT(Table12[[#This Row],[spawner_sku]],LEN(Table12[[#This Row],[spawner_sku]])-FIND("/",Table12[[#This Row],[spawner_sku]])),Table1[Entity Prefab],0)),10,1,1,"Entities"))</f>
        <v>28</v>
      </c>
      <c r="DB218" s="75">
        <f ca="1">ROUND((Table12[[#This Row],[XP]]*Table12[[#This Row],[entity_spawned (AVG)]])*(Table12[[#This Row],[activating_chance]]/100),0)</f>
        <v>70</v>
      </c>
      <c r="DC218" s="145" t="str">
        <f ca="1">INDIRECT(ADDRESS(11+(MATCH(RIGHT(Table12[[#This Row],[spawner_sku]],LEN(Table12[[#This Row],[spawner_sku]])-FIND("/",Table12[[#This Row],[spawner_sku]])),Table28[Entity Prefab],0)),25,1,1,"Entities"))</f>
        <v>yes</v>
      </c>
      <c r="DD218" s="72">
        <v>2</v>
      </c>
      <c r="DE218" s="72">
        <v>3</v>
      </c>
      <c r="DF218" s="72" t="b">
        <v>0</v>
      </c>
      <c r="DH218" t="s">
        <v>242</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370</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233</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591</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2709</v>
      </c>
      <c r="FW218">
        <v>3.5</v>
      </c>
      <c r="FX218">
        <v>100</v>
      </c>
      <c r="FY218">
        <v>100</v>
      </c>
      <c r="FZ218" s="75">
        <f ca="1">INDIRECT(ADDRESS(11+(MATCH(RIGHT(Table18202324[[#This Row],[spawner_sku]],LEN(Table18202324[[#This Row],[spawner_sku]])-FIND("/",Table18202324[[#This Row],[spawner_sku]])),Table1[Entity Prefab],0)),10,1,1,"Entities"))</f>
        <v>70</v>
      </c>
      <c r="GA218" s="75">
        <f ca="1">ROUND((Table18202324[[#This Row],[XP]]*Table18202324[[#This Row],[entity_spawned (AVG)]])*(Table18202324[[#This Row],[activating_chance]]/100),0)</f>
        <v>245</v>
      </c>
      <c r="GB218" s="75" t="str">
        <f ca="1">INDIRECT(ADDRESS(11+(MATCH(RIGHT(Table18202324[[#This Row],[spawner_sku]],LEN(Table18202324[[#This Row],[spawner_sku]])-FIND("/",Table18202324[[#This Row],[spawner_sku]])),Table28[Entity Prefab],0)),26,1,1,"Entities"))</f>
        <v>yes</v>
      </c>
      <c r="GC218">
        <v>3</v>
      </c>
      <c r="GD218">
        <v>4</v>
      </c>
      <c r="GE218" t="b">
        <v>0</v>
      </c>
    </row>
    <row r="219" spans="2:187" x14ac:dyDescent="0.25">
      <c r="B219" s="73" t="s">
        <v>219</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367</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448</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242</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577</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229</v>
      </c>
      <c r="CM219">
        <v>1</v>
      </c>
      <c r="CN219">
        <v>1500</v>
      </c>
      <c r="CO219">
        <v>100</v>
      </c>
      <c r="CP219" s="75">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5" t="str">
        <f ca="1">INDIRECT(ADDRESS(11+(MATCH(RIGHT(Table11[[#This Row],[spawner_sku]],LEN(Table11[[#This Row],[spawner_sku]])-FIND("/",Table11[[#This Row],[spawner_sku]])),Table28[Entity Prefab],0)),25,1,1,"Entities"))</f>
        <v>yes</v>
      </c>
      <c r="CS219" s="72">
        <v>1</v>
      </c>
      <c r="CT219" s="72">
        <v>1</v>
      </c>
      <c r="CU219" s="72" t="b">
        <v>0</v>
      </c>
      <c r="CW219" t="s">
        <v>366</v>
      </c>
      <c r="CX219">
        <v>1</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28</v>
      </c>
      <c r="DC219" s="145" t="str">
        <f ca="1">INDIRECT(ADDRESS(11+(MATCH(RIGHT(Table12[[#This Row],[spawner_sku]],LEN(Table12[[#This Row],[spawner_sku]])-FIND("/",Table12[[#This Row],[spawner_sku]])),Table28[Entity Prefab],0)),25,1,1,"Entities"))</f>
        <v>yes</v>
      </c>
      <c r="DD219" s="72">
        <v>1</v>
      </c>
      <c r="DE219" s="72">
        <v>1</v>
      </c>
      <c r="DF219" s="72" t="b">
        <v>0</v>
      </c>
      <c r="DH219" t="s">
        <v>242</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370</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233</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234</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2709</v>
      </c>
      <c r="FW219">
        <v>3</v>
      </c>
      <c r="FX219">
        <v>100</v>
      </c>
      <c r="FY219">
        <v>100</v>
      </c>
      <c r="FZ219" s="75">
        <f ca="1">INDIRECT(ADDRESS(11+(MATCH(RIGHT(Table18202324[[#This Row],[spawner_sku]],LEN(Table18202324[[#This Row],[spawner_sku]])-FIND("/",Table18202324[[#This Row],[spawner_sku]])),Table1[Entity Prefab],0)),10,1,1,"Entities"))</f>
        <v>70</v>
      </c>
      <c r="GA219" s="75">
        <f ca="1">ROUND((Table18202324[[#This Row],[XP]]*Table18202324[[#This Row],[entity_spawned (AVG)]])*(Table18202324[[#This Row],[activating_chance]]/100),0)</f>
        <v>210</v>
      </c>
      <c r="GB219" s="75" t="str">
        <f ca="1">INDIRECT(ADDRESS(11+(MATCH(RIGHT(Table18202324[[#This Row],[spawner_sku]],LEN(Table18202324[[#This Row],[spawner_sku]])-FIND("/",Table18202324[[#This Row],[spawner_sku]])),Table28[Entity Prefab],0)),26,1,1,"Entities"))</f>
        <v>yes</v>
      </c>
      <c r="GC219">
        <v>2</v>
      </c>
      <c r="GD219">
        <v>4</v>
      </c>
      <c r="GE219" t="b">
        <v>0</v>
      </c>
    </row>
    <row r="220" spans="2:187" x14ac:dyDescent="0.25">
      <c r="B220" s="73" t="s">
        <v>219</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367</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450</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242</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577</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229</v>
      </c>
      <c r="CM220">
        <v>1</v>
      </c>
      <c r="CN220">
        <v>1500</v>
      </c>
      <c r="CO220">
        <v>100</v>
      </c>
      <c r="CP220" s="75">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5" t="str">
        <f ca="1">INDIRECT(ADDRESS(11+(MATCH(RIGHT(Table11[[#This Row],[spawner_sku]],LEN(Table11[[#This Row],[spawner_sku]])-FIND("/",Table11[[#This Row],[spawner_sku]])),Table28[Entity Prefab],0)),25,1,1,"Entities"))</f>
        <v>yes</v>
      </c>
      <c r="CS220" s="72">
        <v>1</v>
      </c>
      <c r="CT220" s="72">
        <v>1</v>
      </c>
      <c r="CU220" s="72" t="b">
        <v>0</v>
      </c>
      <c r="CW220" t="s">
        <v>366</v>
      </c>
      <c r="CX220">
        <v>1.5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42</v>
      </c>
      <c r="DC220" s="145" t="str">
        <f ca="1">INDIRECT(ADDRESS(11+(MATCH(RIGHT(Table12[[#This Row],[spawner_sku]],LEN(Table12[[#This Row],[spawner_sku]])-FIND("/",Table12[[#This Row],[spawner_sku]])),Table28[Entity Prefab],0)),25,1,1,"Entities"))</f>
        <v>yes</v>
      </c>
      <c r="DD220" s="72">
        <v>1</v>
      </c>
      <c r="DE220" s="72">
        <v>2</v>
      </c>
      <c r="DF220" s="72" t="b">
        <v>0</v>
      </c>
      <c r="DH220" t="s">
        <v>242</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370</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233</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234</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2709</v>
      </c>
      <c r="FW220">
        <v>3.5</v>
      </c>
      <c r="FX220">
        <v>90</v>
      </c>
      <c r="FY220">
        <v>100</v>
      </c>
      <c r="FZ220" s="75">
        <f ca="1">INDIRECT(ADDRESS(11+(MATCH(RIGHT(Table18202324[[#This Row],[spawner_sku]],LEN(Table18202324[[#This Row],[spawner_sku]])-FIND("/",Table18202324[[#This Row],[spawner_sku]])),Table1[Entity Prefab],0)),10,1,1,"Entities"))</f>
        <v>70</v>
      </c>
      <c r="GA220" s="75">
        <f ca="1">ROUND((Table18202324[[#This Row],[XP]]*Table18202324[[#This Row],[entity_spawned (AVG)]])*(Table18202324[[#This Row],[activating_chance]]/100),0)</f>
        <v>245</v>
      </c>
      <c r="GB220" s="75" t="str">
        <f ca="1">INDIRECT(ADDRESS(11+(MATCH(RIGHT(Table18202324[[#This Row],[spawner_sku]],LEN(Table18202324[[#This Row],[spawner_sku]])-FIND("/",Table18202324[[#This Row],[spawner_sku]])),Table28[Entity Prefab],0)),26,1,1,"Entities"))</f>
        <v>yes</v>
      </c>
      <c r="GC220">
        <v>3</v>
      </c>
      <c r="GD220">
        <v>4</v>
      </c>
      <c r="GE220" t="b">
        <v>0</v>
      </c>
    </row>
    <row r="221" spans="2:187" x14ac:dyDescent="0.25">
      <c r="B221" s="73" t="s">
        <v>219</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367</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450</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242</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577</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230</v>
      </c>
      <c r="CM221">
        <v>1.5</v>
      </c>
      <c r="CN221">
        <v>200</v>
      </c>
      <c r="CO221">
        <v>100</v>
      </c>
      <c r="CP221" s="75">
        <f ca="1">INDIRECT(ADDRESS(11+(MATCH(RIGHT(Table11[[#This Row],[spawner_sku]],LEN(Table11[[#This Row],[spawner_sku]])-FIND("/",Table11[[#This Row],[spawner_sku]])),Table1[Entity Prefab],0)),10,1,1,"Entities"))</f>
        <v>28</v>
      </c>
      <c r="CQ221">
        <f ca="1">ROUND((Table11[[#This Row],[XP]]*Table11[[#This Row],[entity_spawned (AVG)]])*(Table11[[#This Row],[activating_chance]]/100),0)</f>
        <v>42</v>
      </c>
      <c r="CR221" s="145" t="str">
        <f ca="1">INDIRECT(ADDRESS(11+(MATCH(RIGHT(Table11[[#This Row],[spawner_sku]],LEN(Table11[[#This Row],[spawner_sku]])-FIND("/",Table11[[#This Row],[spawner_sku]])),Table28[Entity Prefab],0)),25,1,1,"Entities"))</f>
        <v>no</v>
      </c>
      <c r="CS221" s="72">
        <v>1</v>
      </c>
      <c r="CT221" s="72">
        <v>2</v>
      </c>
      <c r="CU221" s="72" t="b">
        <v>0</v>
      </c>
      <c r="CW221" t="s">
        <v>366</v>
      </c>
      <c r="CX221">
        <v>2</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56</v>
      </c>
      <c r="DC221" s="145" t="str">
        <f ca="1">INDIRECT(ADDRESS(11+(MATCH(RIGHT(Table12[[#This Row],[spawner_sku]],LEN(Table12[[#This Row],[spawner_sku]])-FIND("/",Table12[[#This Row],[spawner_sku]])),Table28[Entity Prefab],0)),25,1,1,"Entities"))</f>
        <v>yes</v>
      </c>
      <c r="DD221" s="72">
        <v>2</v>
      </c>
      <c r="DE221" s="72">
        <v>2</v>
      </c>
      <c r="DF221" s="72" t="b">
        <v>0</v>
      </c>
      <c r="DH221" t="s">
        <v>242</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370</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233</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5016</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2709</v>
      </c>
      <c r="FW221">
        <v>5.5</v>
      </c>
      <c r="FX221">
        <v>100</v>
      </c>
      <c r="FY221">
        <v>100</v>
      </c>
      <c r="FZ221" s="75">
        <f ca="1">INDIRECT(ADDRESS(11+(MATCH(RIGHT(Table18202324[[#This Row],[spawner_sku]],LEN(Table18202324[[#This Row],[spawner_sku]])-FIND("/",Table18202324[[#This Row],[spawner_sku]])),Table1[Entity Prefab],0)),10,1,1,"Entities"))</f>
        <v>70</v>
      </c>
      <c r="GA221" s="75">
        <f ca="1">ROUND((Table18202324[[#This Row],[XP]]*Table18202324[[#This Row],[entity_spawned (AVG)]])*(Table18202324[[#This Row],[activating_chance]]/100),0)</f>
        <v>385</v>
      </c>
      <c r="GB221" s="75" t="str">
        <f ca="1">INDIRECT(ADDRESS(11+(MATCH(RIGHT(Table18202324[[#This Row],[spawner_sku]],LEN(Table18202324[[#This Row],[spawner_sku]])-FIND("/",Table18202324[[#This Row],[spawner_sku]])),Table28[Entity Prefab],0)),26,1,1,"Entities"))</f>
        <v>yes</v>
      </c>
      <c r="GC221">
        <v>5</v>
      </c>
      <c r="GD221">
        <v>6</v>
      </c>
      <c r="GE221" t="b">
        <v>1</v>
      </c>
    </row>
    <row r="222" spans="2:187" x14ac:dyDescent="0.25">
      <c r="B222" s="73" t="s">
        <v>320</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367</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451</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242</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577</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230</v>
      </c>
      <c r="CM222">
        <v>1.5</v>
      </c>
      <c r="CN222">
        <v>200</v>
      </c>
      <c r="CO222">
        <v>100</v>
      </c>
      <c r="CP222" s="75">
        <f ca="1">INDIRECT(ADDRESS(11+(MATCH(RIGHT(Table11[[#This Row],[spawner_sku]],LEN(Table11[[#This Row],[spawner_sku]])-FIND("/",Table11[[#This Row],[spawner_sku]])),Table1[Entity Prefab],0)),10,1,1,"Entities"))</f>
        <v>28</v>
      </c>
      <c r="CQ222">
        <f ca="1">ROUND((Table11[[#This Row],[XP]]*Table11[[#This Row],[entity_spawned (AVG)]])*(Table11[[#This Row],[activating_chance]]/100),0)</f>
        <v>42</v>
      </c>
      <c r="CR222" s="145" t="str">
        <f ca="1">INDIRECT(ADDRESS(11+(MATCH(RIGHT(Table11[[#This Row],[spawner_sku]],LEN(Table11[[#This Row],[spawner_sku]])-FIND("/",Table11[[#This Row],[spawner_sku]])),Table28[Entity Prefab],0)),25,1,1,"Entities"))</f>
        <v>no</v>
      </c>
      <c r="CS222" s="72">
        <v>1</v>
      </c>
      <c r="CT222" s="72">
        <v>2</v>
      </c>
      <c r="CU222" s="72" t="b">
        <v>0</v>
      </c>
      <c r="CW222" t="s">
        <v>366</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242</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370</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5017</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5016</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c r="FV222" t="s">
        <v>2710</v>
      </c>
      <c r="FW222">
        <v>1</v>
      </c>
      <c r="FX222">
        <v>140</v>
      </c>
      <c r="FY222">
        <v>100</v>
      </c>
      <c r="FZ222" s="75">
        <f ca="1">INDIRECT(ADDRESS(11+(MATCH(RIGHT(Table18202324[[#This Row],[spawner_sku]],LEN(Table18202324[[#This Row],[spawner_sku]])-FIND("/",Table18202324[[#This Row],[spawner_sku]])),Table1[Entity Prefab],0)),10,1,1,"Entities"))</f>
        <v>195</v>
      </c>
      <c r="GA222" s="75">
        <f ca="1">ROUND((Table18202324[[#This Row],[XP]]*Table18202324[[#This Row],[entity_spawned (AVG)]])*(Table18202324[[#This Row],[activating_chance]]/100),0)</f>
        <v>195</v>
      </c>
      <c r="GB222" s="75" t="str">
        <f ca="1">INDIRECT(ADDRESS(11+(MATCH(RIGHT(Table18202324[[#This Row],[spawner_sku]],LEN(Table18202324[[#This Row],[spawner_sku]])-FIND("/",Table18202324[[#This Row],[spawner_sku]])),Table28[Entity Prefab],0)),26,1,1,"Entities"))</f>
        <v>yes</v>
      </c>
      <c r="GC222">
        <v>1</v>
      </c>
      <c r="GD222">
        <v>1</v>
      </c>
      <c r="GE222" t="b">
        <v>0</v>
      </c>
    </row>
    <row r="223" spans="2:187" x14ac:dyDescent="0.25">
      <c r="B223" s="73" t="s">
        <v>320</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367</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370</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242</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577</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230</v>
      </c>
      <c r="CM223">
        <v>1.5</v>
      </c>
      <c r="CN223">
        <v>200</v>
      </c>
      <c r="CO223">
        <v>100</v>
      </c>
      <c r="CP223" s="75">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5" t="str">
        <f ca="1">INDIRECT(ADDRESS(11+(MATCH(RIGHT(Table11[[#This Row],[spawner_sku]],LEN(Table11[[#This Row],[spawner_sku]])-FIND("/",Table11[[#This Row],[spawner_sku]])),Table28[Entity Prefab],0)),25,1,1,"Entities"))</f>
        <v>no</v>
      </c>
      <c r="CS223" s="72">
        <v>1</v>
      </c>
      <c r="CT223" s="72">
        <v>2</v>
      </c>
      <c r="CU223" s="72" t="b">
        <v>0</v>
      </c>
      <c r="CW223" t="s">
        <v>366</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514</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5017</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5016</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c r="FV223" t="s">
        <v>2710</v>
      </c>
      <c r="FW223">
        <v>1</v>
      </c>
      <c r="FX223">
        <v>120</v>
      </c>
      <c r="FY223">
        <v>100</v>
      </c>
      <c r="FZ223" s="75">
        <f ca="1">INDIRECT(ADDRESS(11+(MATCH(RIGHT(Table18202324[[#This Row],[spawner_sku]],LEN(Table18202324[[#This Row],[spawner_sku]])-FIND("/",Table18202324[[#This Row],[spawner_sku]])),Table1[Entity Prefab],0)),10,1,1,"Entities"))</f>
        <v>195</v>
      </c>
      <c r="GA223" s="75">
        <f ca="1">ROUND((Table18202324[[#This Row],[XP]]*Table18202324[[#This Row],[entity_spawned (AVG)]])*(Table18202324[[#This Row],[activating_chance]]/100),0)</f>
        <v>195</v>
      </c>
      <c r="GB223" s="75" t="str">
        <f ca="1">INDIRECT(ADDRESS(11+(MATCH(RIGHT(Table18202324[[#This Row],[spawner_sku]],LEN(Table18202324[[#This Row],[spawner_sku]])-FIND("/",Table18202324[[#This Row],[spawner_sku]])),Table28[Entity Prefab],0)),26,1,1,"Entities"))</f>
        <v>yes</v>
      </c>
      <c r="GC223">
        <v>1</v>
      </c>
      <c r="GD223">
        <v>1</v>
      </c>
      <c r="GE223" t="b">
        <v>0</v>
      </c>
    </row>
    <row r="224" spans="2:187" x14ac:dyDescent="0.25">
      <c r="B224" s="73" t="s">
        <v>320</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367</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370</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242</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371</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230</v>
      </c>
      <c r="CM224">
        <v>1.5</v>
      </c>
      <c r="CN224">
        <v>200</v>
      </c>
      <c r="CO224">
        <v>100</v>
      </c>
      <c r="CP224" s="75">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5" t="str">
        <f ca="1">INDIRECT(ADDRESS(11+(MATCH(RIGHT(Table11[[#This Row],[spawner_sku]],LEN(Table11[[#This Row],[spawner_sku]])-FIND("/",Table11[[#This Row],[spawner_sku]])),Table28[Entity Prefab],0)),25,1,1,"Entities"))</f>
        <v>no</v>
      </c>
      <c r="CS224" s="72">
        <v>1</v>
      </c>
      <c r="CT224" s="72">
        <v>2</v>
      </c>
      <c r="CU224" s="72" t="b">
        <v>0</v>
      </c>
      <c r="CW224" t="s">
        <v>8042</v>
      </c>
      <c r="CX224">
        <v>1</v>
      </c>
      <c r="CY224">
        <v>150</v>
      </c>
      <c r="CZ224">
        <v>100</v>
      </c>
      <c r="DA224" s="75">
        <f ca="1">INDIRECT(ADDRESS(11+(MATCH(RIGHT(Table12[[#This Row],[spawner_sku]],LEN(Table12[[#This Row],[spawner_sku]])-FIND("/",Table12[[#This Row],[spawner_sku]])),Table1[Entity Prefab],0)),10,1,1,"Entities"))</f>
        <v>50</v>
      </c>
      <c r="DB224" s="75">
        <f ca="1">ROUND((Table12[[#This Row],[XP]]*Table12[[#This Row],[entity_spawned (AVG)]])*(Table12[[#This Row],[activating_chance]]/100),0)</f>
        <v>50</v>
      </c>
      <c r="DC224" s="145" t="str">
        <f ca="1">INDIRECT(ADDRESS(11+(MATCH(RIGHT(Table12[[#This Row],[spawner_sku]],LEN(Table12[[#This Row],[spawner_sku]])-FIND("/",Table12[[#This Row],[spawner_sku]])),Table28[Entity Prefab],0)),25,1,1,"Entities"))</f>
        <v>no</v>
      </c>
      <c r="DD224" s="72">
        <v>1</v>
      </c>
      <c r="DE224" s="72">
        <v>1</v>
      </c>
      <c r="DF224" s="72" t="b">
        <v>0</v>
      </c>
      <c r="DH224" t="s">
        <v>243</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514</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5017</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5016</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c r="FV224" t="s">
        <v>2710</v>
      </c>
      <c r="FW224">
        <v>1</v>
      </c>
      <c r="FX224">
        <v>140</v>
      </c>
      <c r="FY224">
        <v>100</v>
      </c>
      <c r="FZ224" s="75">
        <f ca="1">INDIRECT(ADDRESS(11+(MATCH(RIGHT(Table18202324[[#This Row],[spawner_sku]],LEN(Table18202324[[#This Row],[spawner_sku]])-FIND("/",Table18202324[[#This Row],[spawner_sku]])),Table1[Entity Prefab],0)),10,1,1,"Entities"))</f>
        <v>195</v>
      </c>
      <c r="GA224" s="75">
        <f ca="1">ROUND((Table18202324[[#This Row],[XP]]*Table18202324[[#This Row],[entity_spawned (AVG)]])*(Table18202324[[#This Row],[activating_chance]]/100),0)</f>
        <v>195</v>
      </c>
      <c r="GB224" s="75" t="str">
        <f ca="1">INDIRECT(ADDRESS(11+(MATCH(RIGHT(Table18202324[[#This Row],[spawner_sku]],LEN(Table18202324[[#This Row],[spawner_sku]])-FIND("/",Table18202324[[#This Row],[spawner_sku]])),Table28[Entity Prefab],0)),26,1,1,"Entities"))</f>
        <v>yes</v>
      </c>
      <c r="GC224">
        <v>1</v>
      </c>
      <c r="GD224">
        <v>1</v>
      </c>
      <c r="GE224" t="b">
        <v>0</v>
      </c>
    </row>
    <row r="225" spans="2:187" x14ac:dyDescent="0.25">
      <c r="B225" s="73" t="s">
        <v>320</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367</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370</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242</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371</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230</v>
      </c>
      <c r="CM225">
        <v>1.5</v>
      </c>
      <c r="CN225">
        <v>200</v>
      </c>
      <c r="CO225">
        <v>100</v>
      </c>
      <c r="CP225" s="75">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5" t="str">
        <f ca="1">INDIRECT(ADDRESS(11+(MATCH(RIGHT(Table11[[#This Row],[spawner_sku]],LEN(Table11[[#This Row],[spawner_sku]])-FIND("/",Table11[[#This Row],[spawner_sku]])),Table28[Entity Prefab],0)),25,1,1,"Entities"))</f>
        <v>no</v>
      </c>
      <c r="CS225" s="72">
        <v>1</v>
      </c>
      <c r="CT225" s="72">
        <v>2</v>
      </c>
      <c r="CU225" s="72" t="b">
        <v>0</v>
      </c>
      <c r="CW225" t="s">
        <v>8042</v>
      </c>
      <c r="CX225">
        <v>1</v>
      </c>
      <c r="CY225">
        <v>150</v>
      </c>
      <c r="CZ225">
        <v>100</v>
      </c>
      <c r="DA225" s="75">
        <f ca="1">INDIRECT(ADDRESS(11+(MATCH(RIGHT(Table12[[#This Row],[spawner_sku]],LEN(Table12[[#This Row],[spawner_sku]])-FIND("/",Table12[[#This Row],[spawner_sku]])),Table1[Entity Prefab],0)),10,1,1,"Entities"))</f>
        <v>50</v>
      </c>
      <c r="DB225" s="75">
        <f ca="1">ROUND((Table12[[#This Row],[XP]]*Table12[[#This Row],[entity_spawned (AVG)]])*(Table12[[#This Row],[activating_chance]]/100),0)</f>
        <v>50</v>
      </c>
      <c r="DC225" s="145" t="str">
        <f ca="1">INDIRECT(ADDRESS(11+(MATCH(RIGHT(Table12[[#This Row],[spawner_sku]],LEN(Table12[[#This Row],[spawner_sku]])-FIND("/",Table12[[#This Row],[spawner_sku]])),Table28[Entity Prefab],0)),25,1,1,"Entities"))</f>
        <v>no</v>
      </c>
      <c r="DD225" s="72">
        <v>1</v>
      </c>
      <c r="DE225" s="72">
        <v>1</v>
      </c>
      <c r="DF225" s="72" t="b">
        <v>0</v>
      </c>
      <c r="DH225" t="s">
        <v>243</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514</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466</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240</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c r="FV225" t="s">
        <v>2710</v>
      </c>
      <c r="FW225">
        <v>1</v>
      </c>
      <c r="FX225">
        <v>120</v>
      </c>
      <c r="FY225">
        <v>80</v>
      </c>
      <c r="FZ225" s="75">
        <f ca="1">INDIRECT(ADDRESS(11+(MATCH(RIGHT(Table18202324[[#This Row],[spawner_sku]],LEN(Table18202324[[#This Row],[spawner_sku]])-FIND("/",Table18202324[[#This Row],[spawner_sku]])),Table1[Entity Prefab],0)),10,1,1,"Entities"))</f>
        <v>195</v>
      </c>
      <c r="GA225" s="75">
        <f ca="1">ROUND((Table18202324[[#This Row],[XP]]*Table18202324[[#This Row],[entity_spawned (AVG)]])*(Table18202324[[#This Row],[activating_chance]]/100),0)</f>
        <v>156</v>
      </c>
      <c r="GB225" s="75" t="str">
        <f ca="1">INDIRECT(ADDRESS(11+(MATCH(RIGHT(Table18202324[[#This Row],[spawner_sku]],LEN(Table18202324[[#This Row],[spawner_sku]])-FIND("/",Table18202324[[#This Row],[spawner_sku]])),Table28[Entity Prefab],0)),26,1,1,"Entities"))</f>
        <v>yes</v>
      </c>
      <c r="GC225">
        <v>1</v>
      </c>
      <c r="GD225">
        <v>1</v>
      </c>
      <c r="GE225" t="b">
        <v>0</v>
      </c>
    </row>
    <row r="226" spans="2:187" x14ac:dyDescent="0.25">
      <c r="B226" s="73" t="s">
        <v>320</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367</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370</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242</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447</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230</v>
      </c>
      <c r="CM226">
        <v>1.5</v>
      </c>
      <c r="CN226">
        <v>200</v>
      </c>
      <c r="CO226">
        <v>100</v>
      </c>
      <c r="CP226" s="75">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5" t="str">
        <f ca="1">INDIRECT(ADDRESS(11+(MATCH(RIGHT(Table11[[#This Row],[spawner_sku]],LEN(Table11[[#This Row],[spawner_sku]])-FIND("/",Table11[[#This Row],[spawner_sku]])),Table28[Entity Prefab],0)),25,1,1,"Entities"))</f>
        <v>no</v>
      </c>
      <c r="CS226" s="72">
        <v>1</v>
      </c>
      <c r="CT226" s="72">
        <v>2</v>
      </c>
      <c r="CU226" s="72" t="b">
        <v>0</v>
      </c>
      <c r="CW226" t="s">
        <v>8042</v>
      </c>
      <c r="CX226">
        <v>1</v>
      </c>
      <c r="CY226">
        <v>150</v>
      </c>
      <c r="CZ226">
        <v>100</v>
      </c>
      <c r="DA226" s="75">
        <f ca="1">INDIRECT(ADDRESS(11+(MATCH(RIGHT(Table12[[#This Row],[spawner_sku]],LEN(Table12[[#This Row],[spawner_sku]])-FIND("/",Table12[[#This Row],[spawner_sku]])),Table1[Entity Prefab],0)),10,1,1,"Entities"))</f>
        <v>50</v>
      </c>
      <c r="DB226" s="75">
        <f ca="1">ROUND((Table12[[#This Row],[XP]]*Table12[[#This Row],[entity_spawned (AVG)]])*(Table12[[#This Row],[activating_chance]]/100),0)</f>
        <v>50</v>
      </c>
      <c r="DC226" s="145" t="str">
        <f ca="1">INDIRECT(ADDRESS(11+(MATCH(RIGHT(Table12[[#This Row],[spawner_sku]],LEN(Table12[[#This Row],[spawner_sku]])-FIND("/",Table12[[#This Row],[spawner_sku]])),Table28[Entity Prefab],0)),25,1,1,"Entities"))</f>
        <v>no</v>
      </c>
      <c r="DD226" s="72">
        <v>1</v>
      </c>
      <c r="DE226" s="72">
        <v>1</v>
      </c>
      <c r="DF226" s="72" t="b">
        <v>0</v>
      </c>
      <c r="DH226" t="s">
        <v>243</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514</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466</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242</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87" x14ac:dyDescent="0.25">
      <c r="B227" s="73" t="s">
        <v>320</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367</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370</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242</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447</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230</v>
      </c>
      <c r="CM227">
        <v>1</v>
      </c>
      <c r="CN227">
        <v>200</v>
      </c>
      <c r="CO227">
        <v>100</v>
      </c>
      <c r="CP227" s="75">
        <f ca="1">INDIRECT(ADDRESS(11+(MATCH(RIGHT(Table11[[#This Row],[spawner_sku]],LEN(Table11[[#This Row],[spawner_sku]])-FIND("/",Table11[[#This Row],[spawner_sku]])),Table1[Entity Prefab],0)),10,1,1,"Entities"))</f>
        <v>28</v>
      </c>
      <c r="CQ227">
        <f ca="1">ROUND((Table11[[#This Row],[XP]]*Table11[[#This Row],[entity_spawned (AVG)]])*(Table11[[#This Row],[activating_chance]]/100),0)</f>
        <v>28</v>
      </c>
      <c r="CR227" s="145" t="str">
        <f ca="1">INDIRECT(ADDRESS(11+(MATCH(RIGHT(Table11[[#This Row],[spawner_sku]],LEN(Table11[[#This Row],[spawner_sku]])-FIND("/",Table11[[#This Row],[spawner_sku]])),Table28[Entity Prefab],0)),25,1,1,"Entities"))</f>
        <v>no</v>
      </c>
      <c r="CS227" s="72">
        <v>1</v>
      </c>
      <c r="CT227" s="72">
        <v>1</v>
      </c>
      <c r="CU227" s="72" t="b">
        <v>0</v>
      </c>
      <c r="DH227" t="s">
        <v>243</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514</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466</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242</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87" x14ac:dyDescent="0.25">
      <c r="B228" s="73" t="s">
        <v>320</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370</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242</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447</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230</v>
      </c>
      <c r="CM228">
        <v>1.5</v>
      </c>
      <c r="CN228">
        <v>200</v>
      </c>
      <c r="CO228">
        <v>100</v>
      </c>
      <c r="CP228" s="75">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5" t="str">
        <f ca="1">INDIRECT(ADDRESS(11+(MATCH(RIGHT(Table11[[#This Row],[spawner_sku]],LEN(Table11[[#This Row],[spawner_sku]])-FIND("/",Table11[[#This Row],[spawner_sku]])),Table28[Entity Prefab],0)),25,1,1,"Entities"))</f>
        <v>no</v>
      </c>
      <c r="CS228" s="72">
        <v>1</v>
      </c>
      <c r="CT228" s="72">
        <v>2</v>
      </c>
      <c r="CU228" s="72" t="b">
        <v>0</v>
      </c>
      <c r="DH228" t="s">
        <v>243</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514</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466</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242</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87" x14ac:dyDescent="0.25">
      <c r="B229" s="73" t="s">
        <v>320</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367</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370</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242</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447</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230</v>
      </c>
      <c r="CM229">
        <v>1</v>
      </c>
      <c r="CN229">
        <v>200</v>
      </c>
      <c r="CO229">
        <v>100</v>
      </c>
      <c r="CP229" s="75">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5" t="str">
        <f ca="1">INDIRECT(ADDRESS(11+(MATCH(RIGHT(Table11[[#This Row],[spawner_sku]],LEN(Table11[[#This Row],[spawner_sku]])-FIND("/",Table11[[#This Row],[spawner_sku]])),Table28[Entity Prefab],0)),25,1,1,"Entities"))</f>
        <v>no</v>
      </c>
      <c r="CS229" s="72">
        <v>1</v>
      </c>
      <c r="CT229" s="72">
        <v>1</v>
      </c>
      <c r="CU229" s="72" t="b">
        <v>0</v>
      </c>
      <c r="DH229" t="s">
        <v>243</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514</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467</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242</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87" x14ac:dyDescent="0.25">
      <c r="B230" s="73" t="s">
        <v>320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370</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242</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447</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231</v>
      </c>
      <c r="CM230">
        <v>1</v>
      </c>
      <c r="CN230">
        <v>220</v>
      </c>
      <c r="CO230">
        <v>100</v>
      </c>
      <c r="CP230" s="75">
        <f ca="1">INDIRECT(ADDRESS(11+(MATCH(RIGHT(Table11[[#This Row],[spawner_sku]],LEN(Table11[[#This Row],[spawner_sku]])-FIND("/",Table11[[#This Row],[spawner_sku]])),Table1[Entity Prefab],0)),10,1,1,"Entities"))</f>
        <v>25</v>
      </c>
      <c r="CQ230">
        <f ca="1">ROUND((Table11[[#This Row],[XP]]*Table11[[#This Row],[entity_spawned (AVG)]])*(Table11[[#This Row],[activating_chance]]/100),0)</f>
        <v>25</v>
      </c>
      <c r="CR230" s="145" t="str">
        <f ca="1">INDIRECT(ADDRESS(11+(MATCH(RIGHT(Table11[[#This Row],[spawner_sku]],LEN(Table11[[#This Row],[spawner_sku]])-FIND("/",Table11[[#This Row],[spawner_sku]])),Table28[Entity Prefab],0)),25,1,1,"Entities"))</f>
        <v>no</v>
      </c>
      <c r="CS230" s="72">
        <v>1</v>
      </c>
      <c r="CT230" s="72">
        <v>1</v>
      </c>
      <c r="CU230" s="72" t="b">
        <v>0</v>
      </c>
      <c r="DH230" t="s">
        <v>243</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514</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467</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242</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87" x14ac:dyDescent="0.25">
      <c r="B231" s="73" t="s">
        <v>320</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367</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370</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242</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447</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231</v>
      </c>
      <c r="CM231">
        <v>1</v>
      </c>
      <c r="CN231">
        <v>220</v>
      </c>
      <c r="CO231">
        <v>80</v>
      </c>
      <c r="CP231" s="75">
        <f ca="1">INDIRECT(ADDRESS(11+(MATCH(RIGHT(Table11[[#This Row],[spawner_sku]],LEN(Table11[[#This Row],[spawner_sku]])-FIND("/",Table11[[#This Row],[spawner_sku]])),Table1[Entity Prefab],0)),10,1,1,"Entities"))</f>
        <v>25</v>
      </c>
      <c r="CQ231">
        <f ca="1">ROUND((Table11[[#This Row],[XP]]*Table11[[#This Row],[entity_spawned (AVG)]])*(Table11[[#This Row],[activating_chance]]/100),0)</f>
        <v>20</v>
      </c>
      <c r="CR231" s="145" t="str">
        <f ca="1">INDIRECT(ADDRESS(11+(MATCH(RIGHT(Table11[[#This Row],[spawner_sku]],LEN(Table11[[#This Row],[spawner_sku]])-FIND("/",Table11[[#This Row],[spawner_sku]])),Table28[Entity Prefab],0)),25,1,1,"Entities"))</f>
        <v>no</v>
      </c>
      <c r="CS231" s="72">
        <v>1</v>
      </c>
      <c r="CT231" s="72">
        <v>1</v>
      </c>
      <c r="CU231" s="72" t="b">
        <v>0</v>
      </c>
      <c r="DH231" t="s">
        <v>243</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514</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467</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242</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87" x14ac:dyDescent="0.25">
      <c r="B232" s="73" t="s">
        <v>320</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367</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370</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242</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447</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231</v>
      </c>
      <c r="CM232">
        <v>1</v>
      </c>
      <c r="CN232">
        <v>180</v>
      </c>
      <c r="CO232">
        <v>100</v>
      </c>
      <c r="CP232" s="75">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5" t="str">
        <f ca="1">INDIRECT(ADDRESS(11+(MATCH(RIGHT(Table11[[#This Row],[spawner_sku]],LEN(Table11[[#This Row],[spawner_sku]])-FIND("/",Table11[[#This Row],[spawner_sku]])),Table28[Entity Prefab],0)),25,1,1,"Entities"))</f>
        <v>no</v>
      </c>
      <c r="CS232" s="72">
        <v>1</v>
      </c>
      <c r="CT232" s="72">
        <v>1</v>
      </c>
      <c r="CU232" s="72" t="b">
        <v>0</v>
      </c>
      <c r="DH232" t="s">
        <v>243</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514</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467</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242</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87" x14ac:dyDescent="0.25">
      <c r="B233" s="73" t="s">
        <v>320</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367</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370</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242</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448</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231</v>
      </c>
      <c r="CM233">
        <v>1</v>
      </c>
      <c r="CN233">
        <v>220</v>
      </c>
      <c r="CO233">
        <v>80</v>
      </c>
      <c r="CP233" s="75">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5" t="str">
        <f ca="1">INDIRECT(ADDRESS(11+(MATCH(RIGHT(Table11[[#This Row],[spawner_sku]],LEN(Table11[[#This Row],[spawner_sku]])-FIND("/",Table11[[#This Row],[spawner_sku]])),Table28[Entity Prefab],0)),25,1,1,"Entities"))</f>
        <v>no</v>
      </c>
      <c r="CS233" s="72">
        <v>1</v>
      </c>
      <c r="CT233" s="72">
        <v>1</v>
      </c>
      <c r="CU233" s="72" t="b">
        <v>0</v>
      </c>
      <c r="DH233" t="s">
        <v>243</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514</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467</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242</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87" x14ac:dyDescent="0.25">
      <c r="B234" s="73" t="s">
        <v>320</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367</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370</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242</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448</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231</v>
      </c>
      <c r="CM234">
        <v>1</v>
      </c>
      <c r="CN234">
        <v>220</v>
      </c>
      <c r="CO234">
        <v>80</v>
      </c>
      <c r="CP234" s="75">
        <f ca="1">INDIRECT(ADDRESS(11+(MATCH(RIGHT(Table11[[#This Row],[spawner_sku]],LEN(Table11[[#This Row],[spawner_sku]])-FIND("/",Table11[[#This Row],[spawner_sku]])),Table1[Entity Prefab],0)),10,1,1,"Entities"))</f>
        <v>25</v>
      </c>
      <c r="CQ234">
        <f ca="1">ROUND((Table11[[#This Row],[XP]]*Table11[[#This Row],[entity_spawned (AVG)]])*(Table11[[#This Row],[activating_chance]]/100),0)</f>
        <v>20</v>
      </c>
      <c r="CR234" s="145" t="str">
        <f ca="1">INDIRECT(ADDRESS(11+(MATCH(RIGHT(Table11[[#This Row],[spawner_sku]],LEN(Table11[[#This Row],[spawner_sku]])-FIND("/",Table11[[#This Row],[spawner_sku]])),Table28[Entity Prefab],0)),25,1,1,"Entities"))</f>
        <v>no</v>
      </c>
      <c r="CS234" s="72">
        <v>1</v>
      </c>
      <c r="CT234" s="72">
        <v>1</v>
      </c>
      <c r="CU234" s="72" t="b">
        <v>0</v>
      </c>
      <c r="DH234" t="s">
        <v>243</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514</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467</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242</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87" x14ac:dyDescent="0.25">
      <c r="B235" s="73" t="s">
        <v>320</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370</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242</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448</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231</v>
      </c>
      <c r="CM235">
        <v>1</v>
      </c>
      <c r="CN235">
        <v>220</v>
      </c>
      <c r="CO235">
        <v>80</v>
      </c>
      <c r="CP235" s="75">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5" t="str">
        <f ca="1">INDIRECT(ADDRESS(11+(MATCH(RIGHT(Table11[[#This Row],[spawner_sku]],LEN(Table11[[#This Row],[spawner_sku]])-FIND("/",Table11[[#This Row],[spawner_sku]])),Table28[Entity Prefab],0)),25,1,1,"Entities"))</f>
        <v>no</v>
      </c>
      <c r="CS235" s="72">
        <v>1</v>
      </c>
      <c r="CT235" s="72">
        <v>1</v>
      </c>
      <c r="CU235" s="72" t="b">
        <v>0</v>
      </c>
      <c r="DH235" t="s">
        <v>243</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496</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467</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242</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87" x14ac:dyDescent="0.25">
      <c r="B236" s="73" t="s">
        <v>220</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367</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372</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242</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448</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231</v>
      </c>
      <c r="CM236">
        <v>1</v>
      </c>
      <c r="CN236">
        <v>220</v>
      </c>
      <c r="CO236">
        <v>80</v>
      </c>
      <c r="CP236" s="75">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5" t="str">
        <f ca="1">INDIRECT(ADDRESS(11+(MATCH(RIGHT(Table11[[#This Row],[spawner_sku]],LEN(Table11[[#This Row],[spawner_sku]])-FIND("/",Table11[[#This Row],[spawner_sku]])),Table28[Entity Prefab],0)),25,1,1,"Entities"))</f>
        <v>no</v>
      </c>
      <c r="CS236" s="72">
        <v>1</v>
      </c>
      <c r="CT236" s="72">
        <v>1</v>
      </c>
      <c r="CU236" s="72" t="b">
        <v>0</v>
      </c>
      <c r="DH236" t="s">
        <v>243</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496</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578</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242</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87" x14ac:dyDescent="0.25">
      <c r="B237" s="73" t="s">
        <v>220</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367</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372</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242</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448</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231</v>
      </c>
      <c r="CM237">
        <v>1</v>
      </c>
      <c r="CN237">
        <v>220</v>
      </c>
      <c r="CO237">
        <v>100</v>
      </c>
      <c r="CP237" s="75">
        <f ca="1">INDIRECT(ADDRESS(11+(MATCH(RIGHT(Table11[[#This Row],[spawner_sku]],LEN(Table11[[#This Row],[spawner_sku]])-FIND("/",Table11[[#This Row],[spawner_sku]])),Table1[Entity Prefab],0)),10,1,1,"Entities"))</f>
        <v>25</v>
      </c>
      <c r="CQ237">
        <f ca="1">ROUND((Table11[[#This Row],[XP]]*Table11[[#This Row],[entity_spawned (AVG)]])*(Table11[[#This Row],[activating_chance]]/100),0)</f>
        <v>25</v>
      </c>
      <c r="CR237" s="145" t="str">
        <f ca="1">INDIRECT(ADDRESS(11+(MATCH(RIGHT(Table11[[#This Row],[spawner_sku]],LEN(Table11[[#This Row],[spawner_sku]])-FIND("/",Table11[[#This Row],[spawner_sku]])),Table28[Entity Prefab],0)),25,1,1,"Entities"))</f>
        <v>no</v>
      </c>
      <c r="CS237" s="72">
        <v>1</v>
      </c>
      <c r="CT237" s="72">
        <v>1</v>
      </c>
      <c r="CU237" s="72" t="b">
        <v>0</v>
      </c>
      <c r="DH237" t="s">
        <v>243</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496</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578</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242</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87" x14ac:dyDescent="0.25">
      <c r="B238" s="73" t="s">
        <v>220</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367</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372</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242</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448</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231</v>
      </c>
      <c r="CM238">
        <v>1</v>
      </c>
      <c r="CN238">
        <v>220</v>
      </c>
      <c r="CO238">
        <v>100</v>
      </c>
      <c r="CP238" s="75">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5" t="str">
        <f ca="1">INDIRECT(ADDRESS(11+(MATCH(RIGHT(Table11[[#This Row],[spawner_sku]],LEN(Table11[[#This Row],[spawner_sku]])-FIND("/",Table11[[#This Row],[spawner_sku]])),Table28[Entity Prefab],0)),25,1,1,"Entities"))</f>
        <v>no</v>
      </c>
      <c r="CS238" s="72">
        <v>1</v>
      </c>
      <c r="CT238" s="72">
        <v>1</v>
      </c>
      <c r="CU238" s="72" t="b">
        <v>0</v>
      </c>
      <c r="DH238" t="s">
        <v>243</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496</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578</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242</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87" x14ac:dyDescent="0.25">
      <c r="B239" s="73" t="s">
        <v>220</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366</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372</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242</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449</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231</v>
      </c>
      <c r="CM239">
        <v>1</v>
      </c>
      <c r="CN239">
        <v>220</v>
      </c>
      <c r="CO239">
        <v>100</v>
      </c>
      <c r="CP239" s="75">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5" t="str">
        <f ca="1">INDIRECT(ADDRESS(11+(MATCH(RIGHT(Table11[[#This Row],[spawner_sku]],LEN(Table11[[#This Row],[spawner_sku]])-FIND("/",Table11[[#This Row],[spawner_sku]])),Table28[Entity Prefab],0)),25,1,1,"Entities"))</f>
        <v>no</v>
      </c>
      <c r="CS239" s="72">
        <v>1</v>
      </c>
      <c r="CT239" s="72">
        <v>1</v>
      </c>
      <c r="CU239" s="72" t="b">
        <v>0</v>
      </c>
      <c r="DH239" t="s">
        <v>243</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496</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578</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242</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87" x14ac:dyDescent="0.25">
      <c r="B240" s="73" t="s">
        <v>220</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366</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372</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242</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449</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231</v>
      </c>
      <c r="CM240">
        <v>1</v>
      </c>
      <c r="CN240">
        <v>220</v>
      </c>
      <c r="CO240">
        <v>80</v>
      </c>
      <c r="CP240" s="75">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5" t="str">
        <f ca="1">INDIRECT(ADDRESS(11+(MATCH(RIGHT(Table11[[#This Row],[spawner_sku]],LEN(Table11[[#This Row],[spawner_sku]])-FIND("/",Table11[[#This Row],[spawner_sku]])),Table28[Entity Prefab],0)),25,1,1,"Entities"))</f>
        <v>no</v>
      </c>
      <c r="CS240" s="72">
        <v>1</v>
      </c>
      <c r="CT240" s="72">
        <v>1</v>
      </c>
      <c r="CU240" s="72" t="b">
        <v>0</v>
      </c>
      <c r="DH240" t="s">
        <v>243</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496</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578</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242</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220</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366</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372</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242</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449</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231</v>
      </c>
      <c r="CM241">
        <v>1</v>
      </c>
      <c r="CN241">
        <v>220</v>
      </c>
      <c r="CO241">
        <v>100</v>
      </c>
      <c r="CP241" s="75">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5" t="str">
        <f ca="1">INDIRECT(ADDRESS(11+(MATCH(RIGHT(Table11[[#This Row],[spawner_sku]],LEN(Table11[[#This Row],[spawner_sku]])-FIND("/",Table11[[#This Row],[spawner_sku]])),Table28[Entity Prefab],0)),25,1,1,"Entities"))</f>
        <v>no</v>
      </c>
      <c r="CS241" s="72">
        <v>1</v>
      </c>
      <c r="CT241" s="72">
        <v>1</v>
      </c>
      <c r="CU241" s="72" t="b">
        <v>0</v>
      </c>
      <c r="DH241" t="s">
        <v>243</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496</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578</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3819</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220</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366</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372</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242</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449</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231</v>
      </c>
      <c r="CM242">
        <v>1</v>
      </c>
      <c r="CN242">
        <v>220</v>
      </c>
      <c r="CO242">
        <v>100</v>
      </c>
      <c r="CP242" s="75">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5" t="str">
        <f ca="1">INDIRECT(ADDRESS(11+(MATCH(RIGHT(Table11[[#This Row],[spawner_sku]],LEN(Table11[[#This Row],[spawner_sku]])-FIND("/",Table11[[#This Row],[spawner_sku]])),Table28[Entity Prefab],0)),25,1,1,"Entities"))</f>
        <v>no</v>
      </c>
      <c r="CS242" s="72">
        <v>1</v>
      </c>
      <c r="CT242" s="72">
        <v>1</v>
      </c>
      <c r="CU242" s="72" t="b">
        <v>0</v>
      </c>
      <c r="DH242" t="s">
        <v>243</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496</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578</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220</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366</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372</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242</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450</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231</v>
      </c>
      <c r="CM243">
        <v>1</v>
      </c>
      <c r="CN243">
        <v>220</v>
      </c>
      <c r="CO243">
        <v>80</v>
      </c>
      <c r="CP243" s="75">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5" t="str">
        <f ca="1">INDIRECT(ADDRESS(11+(MATCH(RIGHT(Table11[[#This Row],[spawner_sku]],LEN(Table11[[#This Row],[spawner_sku]])-FIND("/",Table11[[#This Row],[spawner_sku]])),Table28[Entity Prefab],0)),25,1,1,"Entities"))</f>
        <v>no</v>
      </c>
      <c r="CS243" s="72">
        <v>1</v>
      </c>
      <c r="CT243" s="72">
        <v>1</v>
      </c>
      <c r="CU243" s="72" t="b">
        <v>0</v>
      </c>
      <c r="DH243" t="s">
        <v>243</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496</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578</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321</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366</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372</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242</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450</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231</v>
      </c>
      <c r="CM244">
        <v>1</v>
      </c>
      <c r="CN244">
        <v>220</v>
      </c>
      <c r="CO244">
        <v>80</v>
      </c>
      <c r="CP244" s="75">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5" t="str">
        <f ca="1">INDIRECT(ADDRESS(11+(MATCH(RIGHT(Table11[[#This Row],[spawner_sku]],LEN(Table11[[#This Row],[spawner_sku]])-FIND("/",Table11[[#This Row],[spawner_sku]])),Table28[Entity Prefab],0)),25,1,1,"Entities"))</f>
        <v>no</v>
      </c>
      <c r="CS244" s="72">
        <v>1</v>
      </c>
      <c r="CT244" s="72">
        <v>1</v>
      </c>
      <c r="CU244" s="72" t="b">
        <v>0</v>
      </c>
      <c r="DH244" t="s">
        <v>243</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496</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578</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321</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366</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372</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242</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450</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231</v>
      </c>
      <c r="CM245">
        <v>1</v>
      </c>
      <c r="CN245">
        <v>220</v>
      </c>
      <c r="CO245">
        <v>80</v>
      </c>
      <c r="CP245" s="75">
        <f ca="1">INDIRECT(ADDRESS(11+(MATCH(RIGHT(Table11[[#This Row],[spawner_sku]],LEN(Table11[[#This Row],[spawner_sku]])-FIND("/",Table11[[#This Row],[spawner_sku]])),Table1[Entity Prefab],0)),10,1,1,"Entities"))</f>
        <v>25</v>
      </c>
      <c r="CQ245">
        <f ca="1">ROUND((Table11[[#This Row],[XP]]*Table11[[#This Row],[entity_spawned (AVG)]])*(Table11[[#This Row],[activating_chance]]/100),0)</f>
        <v>20</v>
      </c>
      <c r="CR245" s="145" t="str">
        <f ca="1">INDIRECT(ADDRESS(11+(MATCH(RIGHT(Table11[[#This Row],[spawner_sku]],LEN(Table11[[#This Row],[spawner_sku]])-FIND("/",Table11[[#This Row],[spawner_sku]])),Table28[Entity Prefab],0)),25,1,1,"Entities"))</f>
        <v>no</v>
      </c>
      <c r="CS245" s="72">
        <v>1</v>
      </c>
      <c r="CT245" s="72">
        <v>1</v>
      </c>
      <c r="CU245" s="72" t="b">
        <v>0</v>
      </c>
      <c r="DH245" t="s">
        <v>243</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372</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578</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321</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366</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372</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243</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450</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231</v>
      </c>
      <c r="CM246">
        <v>1</v>
      </c>
      <c r="CN246">
        <v>220</v>
      </c>
      <c r="CO246">
        <v>80</v>
      </c>
      <c r="CP246" s="75">
        <f ca="1">INDIRECT(ADDRESS(11+(MATCH(RIGHT(Table11[[#This Row],[spawner_sku]],LEN(Table11[[#This Row],[spawner_sku]])-FIND("/",Table11[[#This Row],[spawner_sku]])),Table1[Entity Prefab],0)),10,1,1,"Entities"))</f>
        <v>25</v>
      </c>
      <c r="CQ246">
        <f ca="1">ROUND((Table11[[#This Row],[XP]]*Table11[[#This Row],[entity_spawned (AVG)]])*(Table11[[#This Row],[activating_chance]]/100),0)</f>
        <v>20</v>
      </c>
      <c r="CR246" s="145" t="str">
        <f ca="1">INDIRECT(ADDRESS(11+(MATCH(RIGHT(Table11[[#This Row],[spawner_sku]],LEN(Table11[[#This Row],[spawner_sku]])-FIND("/",Table11[[#This Row],[spawner_sku]])),Table28[Entity Prefab],0)),25,1,1,"Entities"))</f>
        <v>no</v>
      </c>
      <c r="CS246" s="72">
        <v>1</v>
      </c>
      <c r="CT246" s="72">
        <v>1</v>
      </c>
      <c r="CU246" s="72" t="b">
        <v>0</v>
      </c>
      <c r="DH246" t="s">
        <v>243</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372</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578</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321</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366</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372</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430</v>
      </c>
      <c r="CM247">
        <v>1</v>
      </c>
      <c r="CN247">
        <v>280</v>
      </c>
      <c r="CO247">
        <v>100</v>
      </c>
      <c r="CP247" s="75">
        <f ca="1">INDIRECT(ADDRESS(11+(MATCH(RIGHT(Table11[[#This Row],[spawner_sku]],LEN(Table11[[#This Row],[spawner_sku]])-FIND("/",Table11[[#This Row],[spawner_sku]])),Table1[Entity Prefab],0)),10,1,1,"Entities"))</f>
        <v>70</v>
      </c>
      <c r="CQ247">
        <f ca="1">ROUND((Table11[[#This Row],[XP]]*Table11[[#This Row],[entity_spawned (AVG)]])*(Table11[[#This Row],[activating_chance]]/100),0)</f>
        <v>70</v>
      </c>
      <c r="CR247" s="145" t="str">
        <f ca="1">INDIRECT(ADDRESS(11+(MATCH(RIGHT(Table11[[#This Row],[spawner_sku]],LEN(Table11[[#This Row],[spawner_sku]])-FIND("/",Table11[[#This Row],[spawner_sku]])),Table28[Entity Prefab],0)),25,1,1,"Entities"))</f>
        <v>yes</v>
      </c>
      <c r="CS247" s="72">
        <v>1</v>
      </c>
      <c r="CT247" s="72">
        <v>1</v>
      </c>
      <c r="CU247" s="72" t="b">
        <v>0</v>
      </c>
      <c r="DH247" t="s">
        <v>243</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372</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578</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321</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366</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372</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430</v>
      </c>
      <c r="CM248">
        <v>1.5</v>
      </c>
      <c r="CN248">
        <v>280</v>
      </c>
      <c r="CO248">
        <v>100</v>
      </c>
      <c r="CP248" s="75">
        <f ca="1">INDIRECT(ADDRESS(11+(MATCH(RIGHT(Table11[[#This Row],[spawner_sku]],LEN(Table11[[#This Row],[spawner_sku]])-FIND("/",Table11[[#This Row],[spawner_sku]])),Table1[Entity Prefab],0)),10,1,1,"Entities"))</f>
        <v>70</v>
      </c>
      <c r="CQ248">
        <f ca="1">ROUND((Table11[[#This Row],[XP]]*Table11[[#This Row],[entity_spawned (AVG)]])*(Table11[[#This Row],[activating_chance]]/100),0)</f>
        <v>105</v>
      </c>
      <c r="CR248" s="145" t="str">
        <f ca="1">INDIRECT(ADDRESS(11+(MATCH(RIGHT(Table11[[#This Row],[spawner_sku]],LEN(Table11[[#This Row],[spawner_sku]])-FIND("/",Table11[[#This Row],[spawner_sku]])),Table28[Entity Prefab],0)),25,1,1,"Entities"))</f>
        <v>yes</v>
      </c>
      <c r="CS248" s="72">
        <v>1</v>
      </c>
      <c r="CT248" s="72">
        <v>2</v>
      </c>
      <c r="CU248" s="72" t="b">
        <v>0</v>
      </c>
      <c r="DH248" t="s">
        <v>243</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372</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578</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221</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366</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372</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430</v>
      </c>
      <c r="CM249">
        <v>1.5</v>
      </c>
      <c r="CN249">
        <v>280</v>
      </c>
      <c r="CO249">
        <v>100</v>
      </c>
      <c r="CP249" s="75">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5" t="str">
        <f ca="1">INDIRECT(ADDRESS(11+(MATCH(RIGHT(Table11[[#This Row],[spawner_sku]],LEN(Table11[[#This Row],[spawner_sku]])-FIND("/",Table11[[#This Row],[spawner_sku]])),Table28[Entity Prefab],0)),25,1,1,"Entities"))</f>
        <v>yes</v>
      </c>
      <c r="CS249" s="72">
        <v>1</v>
      </c>
      <c r="CT249" s="72">
        <v>2</v>
      </c>
      <c r="CU249" s="72" t="b">
        <v>0</v>
      </c>
      <c r="DH249" t="s">
        <v>488</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372</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578</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221</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366</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369</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430</v>
      </c>
      <c r="CM250">
        <v>2</v>
      </c>
      <c r="CN250">
        <v>280</v>
      </c>
      <c r="CO250">
        <v>100</v>
      </c>
      <c r="CP250" s="75">
        <f ca="1">INDIRECT(ADDRESS(11+(MATCH(RIGHT(Table11[[#This Row],[spawner_sku]],LEN(Table11[[#This Row],[spawner_sku]])-FIND("/",Table11[[#This Row],[spawner_sku]])),Table1[Entity Prefab],0)),10,1,1,"Entities"))</f>
        <v>70</v>
      </c>
      <c r="CQ250">
        <f ca="1">ROUND((Table11[[#This Row],[XP]]*Table11[[#This Row],[entity_spawned (AVG)]])*(Table11[[#This Row],[activating_chance]]/100),0)</f>
        <v>140</v>
      </c>
      <c r="CR250" s="145" t="str">
        <f ca="1">INDIRECT(ADDRESS(11+(MATCH(RIGHT(Table11[[#This Row],[spawner_sku]],LEN(Table11[[#This Row],[spawner_sku]])-FIND("/",Table11[[#This Row],[spawner_sku]])),Table28[Entity Prefab],0)),25,1,1,"Entities"))</f>
        <v>yes</v>
      </c>
      <c r="CS250" s="72">
        <v>1</v>
      </c>
      <c r="CT250" s="72">
        <v>3</v>
      </c>
      <c r="CU250" s="72" t="b">
        <v>0</v>
      </c>
      <c r="DH250" t="s">
        <v>505</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578</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221</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366</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369</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430</v>
      </c>
      <c r="CM251">
        <v>1.5</v>
      </c>
      <c r="CN251">
        <v>280</v>
      </c>
      <c r="CO251">
        <v>100</v>
      </c>
      <c r="CP251" s="75">
        <f ca="1">INDIRECT(ADDRESS(11+(MATCH(RIGHT(Table11[[#This Row],[spawner_sku]],LEN(Table11[[#This Row],[spawner_sku]])-FIND("/",Table11[[#This Row],[spawner_sku]])),Table1[Entity Prefab],0)),10,1,1,"Entities"))</f>
        <v>70</v>
      </c>
      <c r="CQ251">
        <f ca="1">ROUND((Table11[[#This Row],[XP]]*Table11[[#This Row],[entity_spawned (AVG)]])*(Table11[[#This Row],[activating_chance]]/100),0)</f>
        <v>105</v>
      </c>
      <c r="CR251" s="145" t="str">
        <f ca="1">INDIRECT(ADDRESS(11+(MATCH(RIGHT(Table11[[#This Row],[spawner_sku]],LEN(Table11[[#This Row],[spawner_sku]])-FIND("/",Table11[[#This Row],[spawner_sku]])),Table28[Entity Prefab],0)),25,1,1,"Entities"))</f>
        <v>yes</v>
      </c>
      <c r="CS251" s="72">
        <v>1</v>
      </c>
      <c r="CT251" s="72">
        <v>2</v>
      </c>
      <c r="CU251" s="72" t="b">
        <v>0</v>
      </c>
      <c r="DH251" t="s">
        <v>505</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578</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221</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366</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369</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451</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430</v>
      </c>
      <c r="CM252">
        <v>1.5</v>
      </c>
      <c r="CN252">
        <v>280</v>
      </c>
      <c r="CO252">
        <v>100</v>
      </c>
      <c r="CP252" s="75">
        <f ca="1">INDIRECT(ADDRESS(11+(MATCH(RIGHT(Table11[[#This Row],[spawner_sku]],LEN(Table11[[#This Row],[spawner_sku]])-FIND("/",Table11[[#This Row],[spawner_sku]])),Table1[Entity Prefab],0)),10,1,1,"Entities"))</f>
        <v>70</v>
      </c>
      <c r="CQ252">
        <f ca="1">ROUND((Table11[[#This Row],[XP]]*Table11[[#This Row],[entity_spawned (AVG)]])*(Table11[[#This Row],[activating_chance]]/100),0)</f>
        <v>105</v>
      </c>
      <c r="CR252" s="145" t="str">
        <f ca="1">INDIRECT(ADDRESS(11+(MATCH(RIGHT(Table11[[#This Row],[spawner_sku]],LEN(Table11[[#This Row],[spawner_sku]])-FIND("/",Table11[[#This Row],[spawner_sku]])),Table28[Entity Prefab],0)),25,1,1,"Entities"))</f>
        <v>yes</v>
      </c>
      <c r="CS252" s="72">
        <v>1</v>
      </c>
      <c r="CT252" s="72">
        <v>2</v>
      </c>
      <c r="CU252" s="72" t="b">
        <v>0</v>
      </c>
      <c r="DH252" t="s">
        <v>505</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578</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221</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366</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369</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577</v>
      </c>
      <c r="CM253">
        <v>1</v>
      </c>
      <c r="CN253">
        <v>120</v>
      </c>
      <c r="CO253">
        <v>100</v>
      </c>
      <c r="CP253" s="75">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5" t="str">
        <f ca="1">INDIRECT(ADDRESS(11+(MATCH(RIGHT(Table11[[#This Row],[spawner_sku]],LEN(Table11[[#This Row],[spawner_sku]])-FIND("/",Table11[[#This Row],[spawner_sku]])),Table28[Entity Prefab],0)),25,1,1,"Entities"))</f>
        <v>no</v>
      </c>
      <c r="CS253" s="72">
        <v>1</v>
      </c>
      <c r="CT253" s="72">
        <v>1</v>
      </c>
      <c r="CU253" s="72" t="b">
        <v>0</v>
      </c>
      <c r="DH253" t="s">
        <v>505</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578</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221</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366</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369</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577</v>
      </c>
      <c r="CM254">
        <v>1</v>
      </c>
      <c r="CN254">
        <v>120</v>
      </c>
      <c r="CO254">
        <v>100</v>
      </c>
      <c r="CP254" s="75">
        <f ca="1">INDIRECT(ADDRESS(11+(MATCH(RIGHT(Table11[[#This Row],[spawner_sku]],LEN(Table11[[#This Row],[spawner_sku]])-FIND("/",Table11[[#This Row],[spawner_sku]])),Table1[Entity Prefab],0)),10,1,1,"Entities"))</f>
        <v>50</v>
      </c>
      <c r="CQ254">
        <f ca="1">ROUND((Table11[[#This Row],[XP]]*Table11[[#This Row],[entity_spawned (AVG)]])*(Table11[[#This Row],[activating_chance]]/100),0)</f>
        <v>50</v>
      </c>
      <c r="CR254" s="145" t="str">
        <f ca="1">INDIRECT(ADDRESS(11+(MATCH(RIGHT(Table11[[#This Row],[spawner_sku]],LEN(Table11[[#This Row],[spawner_sku]])-FIND("/",Table11[[#This Row],[spawner_sku]])),Table28[Entity Prefab],0)),25,1,1,"Entities"))</f>
        <v>no</v>
      </c>
      <c r="CS254" s="72">
        <v>1</v>
      </c>
      <c r="CT254" s="72">
        <v>1</v>
      </c>
      <c r="CU254" s="72" t="b">
        <v>0</v>
      </c>
      <c r="DH254" t="s">
        <v>505</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578</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221</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366</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369</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372</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577</v>
      </c>
      <c r="CM255">
        <v>1</v>
      </c>
      <c r="CN255">
        <v>120</v>
      </c>
      <c r="CO255">
        <v>100</v>
      </c>
      <c r="CP255" s="75">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5" t="str">
        <f ca="1">INDIRECT(ADDRESS(11+(MATCH(RIGHT(Table11[[#This Row],[spawner_sku]],LEN(Table11[[#This Row],[spawner_sku]])-FIND("/",Table11[[#This Row],[spawner_sku]])),Table28[Entity Prefab],0)),25,1,1,"Entities"))</f>
        <v>no</v>
      </c>
      <c r="CS255" s="72">
        <v>1</v>
      </c>
      <c r="CT255" s="72">
        <v>1</v>
      </c>
      <c r="CU255" s="72" t="b">
        <v>0</v>
      </c>
      <c r="DH255" t="s">
        <v>505</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372</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578</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221</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366</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369</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369</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577</v>
      </c>
      <c r="CM256">
        <v>2</v>
      </c>
      <c r="CN256">
        <v>120</v>
      </c>
      <c r="CO256">
        <v>20</v>
      </c>
      <c r="CP256" s="75">
        <f ca="1">INDIRECT(ADDRESS(11+(MATCH(RIGHT(Table11[[#This Row],[spawner_sku]],LEN(Table11[[#This Row],[spawner_sku]])-FIND("/",Table11[[#This Row],[spawner_sku]])),Table1[Entity Prefab],0)),10,1,1,"Entities"))</f>
        <v>50</v>
      </c>
      <c r="CQ256">
        <f ca="1">ROUND((Table11[[#This Row],[XP]]*Table11[[#This Row],[entity_spawned (AVG)]])*(Table11[[#This Row],[activating_chance]]/100),0)</f>
        <v>20</v>
      </c>
      <c r="CR256" s="145" t="str">
        <f ca="1">INDIRECT(ADDRESS(11+(MATCH(RIGHT(Table11[[#This Row],[spawner_sku]],LEN(Table11[[#This Row],[spawner_sku]])-FIND("/",Table11[[#This Row],[spawner_sku]])),Table28[Entity Prefab],0)),25,1,1,"Entities"))</f>
        <v>no</v>
      </c>
      <c r="CS256" s="72">
        <v>2</v>
      </c>
      <c r="CT256" s="72">
        <v>2</v>
      </c>
      <c r="CU256" s="72" t="b">
        <v>0</v>
      </c>
      <c r="DH256" t="s">
        <v>367</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372</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578</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221</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369</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369</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577</v>
      </c>
      <c r="CM257">
        <v>1</v>
      </c>
      <c r="CN257">
        <v>120</v>
      </c>
      <c r="CO257">
        <v>100</v>
      </c>
      <c r="CP257" s="75">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5" t="str">
        <f ca="1">INDIRECT(ADDRESS(11+(MATCH(RIGHT(Table11[[#This Row],[spawner_sku]],LEN(Table11[[#This Row],[spawner_sku]])-FIND("/",Table11[[#This Row],[spawner_sku]])),Table28[Entity Prefab],0)),25,1,1,"Entities"))</f>
        <v>no</v>
      </c>
      <c r="CS257" s="72">
        <v>1</v>
      </c>
      <c r="CT257" s="72">
        <v>1</v>
      </c>
      <c r="CU257" s="72" t="b">
        <v>0</v>
      </c>
      <c r="DH257" t="s">
        <v>367</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372</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579</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221</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369</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369</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577</v>
      </c>
      <c r="CM258">
        <v>1</v>
      </c>
      <c r="CN258">
        <v>120</v>
      </c>
      <c r="CO258">
        <v>100</v>
      </c>
      <c r="CP258" s="75">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5" t="str">
        <f ca="1">INDIRECT(ADDRESS(11+(MATCH(RIGHT(Table11[[#This Row],[spawner_sku]],LEN(Table11[[#This Row],[spawner_sku]])-FIND("/",Table11[[#This Row],[spawner_sku]])),Table28[Entity Prefab],0)),25,1,1,"Entities"))</f>
        <v>no</v>
      </c>
      <c r="CS258" s="72">
        <v>1</v>
      </c>
      <c r="CT258" s="72">
        <v>1</v>
      </c>
      <c r="CU258" s="72" t="b">
        <v>0</v>
      </c>
      <c r="DH258" t="s">
        <v>367</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372</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579</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384</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369</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368</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577</v>
      </c>
      <c r="CM259">
        <v>1</v>
      </c>
      <c r="CN259">
        <v>120</v>
      </c>
      <c r="CO259">
        <v>100</v>
      </c>
      <c r="CP259" s="75">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5" t="str">
        <f ca="1">INDIRECT(ADDRESS(11+(MATCH(RIGHT(Table11[[#This Row],[spawner_sku]],LEN(Table11[[#This Row],[spawner_sku]])-FIND("/",Table11[[#This Row],[spawner_sku]])),Table28[Entity Prefab],0)),25,1,1,"Entities"))</f>
        <v>no</v>
      </c>
      <c r="CS259" s="72">
        <v>1</v>
      </c>
      <c r="CT259" s="72">
        <v>1</v>
      </c>
      <c r="CU259" s="72" t="b">
        <v>0</v>
      </c>
      <c r="DH259" t="s">
        <v>367</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372</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579</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222</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369</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368</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577</v>
      </c>
      <c r="CM260">
        <v>1</v>
      </c>
      <c r="CN260">
        <v>120</v>
      </c>
      <c r="CO260">
        <v>100</v>
      </c>
      <c r="CP260" s="75">
        <f ca="1">INDIRECT(ADDRESS(11+(MATCH(RIGHT(Table11[[#This Row],[spawner_sku]],LEN(Table11[[#This Row],[spawner_sku]])-FIND("/",Table11[[#This Row],[spawner_sku]])),Table1[Entity Prefab],0)),10,1,1,"Entities"))</f>
        <v>50</v>
      </c>
      <c r="CQ260">
        <f ca="1">ROUND((Table11[[#This Row],[XP]]*Table11[[#This Row],[entity_spawned (AVG)]])*(Table11[[#This Row],[activating_chance]]/100),0)</f>
        <v>50</v>
      </c>
      <c r="CR260" s="145" t="str">
        <f ca="1">INDIRECT(ADDRESS(11+(MATCH(RIGHT(Table11[[#This Row],[spawner_sku]],LEN(Table11[[#This Row],[spawner_sku]])-FIND("/",Table11[[#This Row],[spawner_sku]])),Table28[Entity Prefab],0)),25,1,1,"Entities"))</f>
        <v>no</v>
      </c>
      <c r="CS260" s="72">
        <v>1</v>
      </c>
      <c r="CT260" s="72">
        <v>1</v>
      </c>
      <c r="CU260" s="72" t="b">
        <v>0</v>
      </c>
      <c r="DH260" t="s">
        <v>367</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372</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579</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368</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368</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577</v>
      </c>
      <c r="CM261">
        <v>1</v>
      </c>
      <c r="CN261">
        <v>120</v>
      </c>
      <c r="CO261">
        <v>100</v>
      </c>
      <c r="CP261" s="75">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5" t="str">
        <f ca="1">INDIRECT(ADDRESS(11+(MATCH(RIGHT(Table11[[#This Row],[spawner_sku]],LEN(Table11[[#This Row],[spawner_sku]])-FIND("/",Table11[[#This Row],[spawner_sku]])),Table28[Entity Prefab],0)),25,1,1,"Entities"))</f>
        <v>no</v>
      </c>
      <c r="CS261" s="72">
        <v>1</v>
      </c>
      <c r="CT261" s="72">
        <v>1</v>
      </c>
      <c r="CU261" s="72" t="b">
        <v>0</v>
      </c>
      <c r="DH261" t="s">
        <v>367</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372</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579</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368</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368</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577</v>
      </c>
      <c r="CM262">
        <v>1</v>
      </c>
      <c r="CN262">
        <v>120</v>
      </c>
      <c r="CO262">
        <v>30</v>
      </c>
      <c r="CP262" s="75">
        <f ca="1">INDIRECT(ADDRESS(11+(MATCH(RIGHT(Table11[[#This Row],[spawner_sku]],LEN(Table11[[#This Row],[spawner_sku]])-FIND("/",Table11[[#This Row],[spawner_sku]])),Table1[Entity Prefab],0)),10,1,1,"Entities"))</f>
        <v>50</v>
      </c>
      <c r="CQ262">
        <f ca="1">ROUND((Table11[[#This Row],[XP]]*Table11[[#This Row],[entity_spawned (AVG)]])*(Table11[[#This Row],[activating_chance]]/100),0)</f>
        <v>15</v>
      </c>
      <c r="CR262" s="145" t="str">
        <f ca="1">INDIRECT(ADDRESS(11+(MATCH(RIGHT(Table11[[#This Row],[spawner_sku]],LEN(Table11[[#This Row],[spawner_sku]])-FIND("/",Table11[[#This Row],[spawner_sku]])),Table28[Entity Prefab],0)),25,1,1,"Entities"))</f>
        <v>no</v>
      </c>
      <c r="CS262" s="72">
        <v>1</v>
      </c>
      <c r="CT262" s="72">
        <v>1</v>
      </c>
      <c r="CU262" s="72" t="b">
        <v>0</v>
      </c>
      <c r="DH262" t="s">
        <v>367</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372</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579</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368</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368</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577</v>
      </c>
      <c r="CM263">
        <v>1</v>
      </c>
      <c r="CN263">
        <v>120</v>
      </c>
      <c r="CO263">
        <v>100</v>
      </c>
      <c r="CP263" s="75">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5" t="str">
        <f ca="1">INDIRECT(ADDRESS(11+(MATCH(RIGHT(Table11[[#This Row],[spawner_sku]],LEN(Table11[[#This Row],[spawner_sku]])-FIND("/",Table11[[#This Row],[spawner_sku]])),Table28[Entity Prefab],0)),25,1,1,"Entities"))</f>
        <v>no</v>
      </c>
      <c r="CS263" s="72">
        <v>1</v>
      </c>
      <c r="CT263" s="72">
        <v>1</v>
      </c>
      <c r="CU263" s="72" t="b">
        <v>0</v>
      </c>
      <c r="DH263" t="s">
        <v>367</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372</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234</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368</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368</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577</v>
      </c>
      <c r="CM264">
        <v>1</v>
      </c>
      <c r="CN264">
        <v>120</v>
      </c>
      <c r="CO264">
        <v>100</v>
      </c>
      <c r="CP264" s="75">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5" t="str">
        <f ca="1">INDIRECT(ADDRESS(11+(MATCH(RIGHT(Table11[[#This Row],[spawner_sku]],LEN(Table11[[#This Row],[spawner_sku]])-FIND("/",Table11[[#This Row],[spawner_sku]])),Table28[Entity Prefab],0)),25,1,1,"Entities"))</f>
        <v>no</v>
      </c>
      <c r="CS264" s="72">
        <v>1</v>
      </c>
      <c r="CT264" s="72">
        <v>1</v>
      </c>
      <c r="CU264" s="72" t="b">
        <v>0</v>
      </c>
      <c r="DH264" t="s">
        <v>367</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369</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557</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223</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368</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368</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577</v>
      </c>
      <c r="CM265">
        <v>1</v>
      </c>
      <c r="CN265">
        <v>120</v>
      </c>
      <c r="CO265">
        <v>100</v>
      </c>
      <c r="CP265" s="75">
        <f ca="1">INDIRECT(ADDRESS(11+(MATCH(RIGHT(Table11[[#This Row],[spawner_sku]],LEN(Table11[[#This Row],[spawner_sku]])-FIND("/",Table11[[#This Row],[spawner_sku]])),Table1[Entity Prefab],0)),10,1,1,"Entities"))</f>
        <v>50</v>
      </c>
      <c r="CQ265">
        <f ca="1">ROUND((Table11[[#This Row],[XP]]*Table11[[#This Row],[entity_spawned (AVG)]])*(Table11[[#This Row],[activating_chance]]/100),0)</f>
        <v>50</v>
      </c>
      <c r="CR265" s="145" t="str">
        <f ca="1">INDIRECT(ADDRESS(11+(MATCH(RIGHT(Table11[[#This Row],[spawner_sku]],LEN(Table11[[#This Row],[spawner_sku]])-FIND("/",Table11[[#This Row],[spawner_sku]])),Table28[Entity Prefab],0)),25,1,1,"Entities"))</f>
        <v>no</v>
      </c>
      <c r="CS265" s="72">
        <v>1</v>
      </c>
      <c r="CT265" s="72">
        <v>1</v>
      </c>
      <c r="CU265" s="72" t="b">
        <v>0</v>
      </c>
      <c r="DH265" t="s">
        <v>367</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369</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557</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223</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368</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368</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577</v>
      </c>
      <c r="CM266">
        <v>1</v>
      </c>
      <c r="CN266">
        <v>120</v>
      </c>
      <c r="CO266">
        <v>100</v>
      </c>
      <c r="CP266" s="75">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5" t="str">
        <f ca="1">INDIRECT(ADDRESS(11+(MATCH(RIGHT(Table11[[#This Row],[spawner_sku]],LEN(Table11[[#This Row],[spawner_sku]])-FIND("/",Table11[[#This Row],[spawner_sku]])),Table28[Entity Prefab],0)),25,1,1,"Entities"))</f>
        <v>no</v>
      </c>
      <c r="CS266" s="72">
        <v>1</v>
      </c>
      <c r="CT266" s="72">
        <v>1</v>
      </c>
      <c r="CU266" s="72" t="b">
        <v>0</v>
      </c>
      <c r="DH266" t="s">
        <v>367</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369</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557</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223</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368</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368</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577</v>
      </c>
      <c r="CM267">
        <v>2</v>
      </c>
      <c r="CN267">
        <v>120</v>
      </c>
      <c r="CO267">
        <v>60</v>
      </c>
      <c r="CP267" s="75">
        <f ca="1">INDIRECT(ADDRESS(11+(MATCH(RIGHT(Table11[[#This Row],[spawner_sku]],LEN(Table11[[#This Row],[spawner_sku]])-FIND("/",Table11[[#This Row],[spawner_sku]])),Table1[Entity Prefab],0)),10,1,1,"Entities"))</f>
        <v>50</v>
      </c>
      <c r="CQ267">
        <f ca="1">ROUND((Table11[[#This Row],[XP]]*Table11[[#This Row],[entity_spawned (AVG)]])*(Table11[[#This Row],[activating_chance]]/100),0)</f>
        <v>60</v>
      </c>
      <c r="CR267" s="145" t="str">
        <f ca="1">INDIRECT(ADDRESS(11+(MATCH(RIGHT(Table11[[#This Row],[spawner_sku]],LEN(Table11[[#This Row],[spawner_sku]])-FIND("/",Table11[[#This Row],[spawner_sku]])),Table28[Entity Prefab],0)),25,1,1,"Entities"))</f>
        <v>no</v>
      </c>
      <c r="CS267" s="72">
        <v>2</v>
      </c>
      <c r="CT267" s="72">
        <v>2</v>
      </c>
      <c r="CU267" s="72" t="b">
        <v>0</v>
      </c>
      <c r="DH267" t="s">
        <v>367</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369</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557</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223</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368</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368</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577</v>
      </c>
      <c r="CM268">
        <v>1</v>
      </c>
      <c r="CN268">
        <v>120</v>
      </c>
      <c r="CO268">
        <v>100</v>
      </c>
      <c r="CP268" s="75">
        <f ca="1">INDIRECT(ADDRESS(11+(MATCH(RIGHT(Table11[[#This Row],[spawner_sku]],LEN(Table11[[#This Row],[spawner_sku]])-FIND("/",Table11[[#This Row],[spawner_sku]])),Table1[Entity Prefab],0)),10,1,1,"Entities"))</f>
        <v>50</v>
      </c>
      <c r="CQ268">
        <f ca="1">ROUND((Table11[[#This Row],[XP]]*Table11[[#This Row],[entity_spawned (AVG)]])*(Table11[[#This Row],[activating_chance]]/100),0)</f>
        <v>50</v>
      </c>
      <c r="CR268" s="145" t="str">
        <f ca="1">INDIRECT(ADDRESS(11+(MATCH(RIGHT(Table11[[#This Row],[spawner_sku]],LEN(Table11[[#This Row],[spawner_sku]])-FIND("/",Table11[[#This Row],[spawner_sku]])),Table28[Entity Prefab],0)),25,1,1,"Entities"))</f>
        <v>no</v>
      </c>
      <c r="CS268" s="72">
        <v>1</v>
      </c>
      <c r="CT268" s="72">
        <v>1</v>
      </c>
      <c r="CU268" s="72" t="b">
        <v>0</v>
      </c>
      <c r="DH268" t="s">
        <v>367</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369</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557</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223</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368</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368</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577</v>
      </c>
      <c r="CM269">
        <v>1</v>
      </c>
      <c r="CN269">
        <v>120</v>
      </c>
      <c r="CO269">
        <v>100</v>
      </c>
      <c r="CP269" s="75">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5" t="str">
        <f ca="1">INDIRECT(ADDRESS(11+(MATCH(RIGHT(Table11[[#This Row],[spawner_sku]],LEN(Table11[[#This Row],[spawner_sku]])-FIND("/",Table11[[#This Row],[spawner_sku]])),Table28[Entity Prefab],0)),25,1,1,"Entities"))</f>
        <v>no</v>
      </c>
      <c r="CS269" s="72">
        <v>1</v>
      </c>
      <c r="CT269" s="72">
        <v>1</v>
      </c>
      <c r="CU269" s="72" t="b">
        <v>0</v>
      </c>
      <c r="DH269" t="s">
        <v>367</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369</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557</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223</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368</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368</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577</v>
      </c>
      <c r="CM270">
        <v>1</v>
      </c>
      <c r="CN270">
        <v>120</v>
      </c>
      <c r="CO270">
        <v>30</v>
      </c>
      <c r="CP270" s="75">
        <f ca="1">INDIRECT(ADDRESS(11+(MATCH(RIGHT(Table11[[#This Row],[spawner_sku]],LEN(Table11[[#This Row],[spawner_sku]])-FIND("/",Table11[[#This Row],[spawner_sku]])),Table1[Entity Prefab],0)),10,1,1,"Entities"))</f>
        <v>50</v>
      </c>
      <c r="CQ270">
        <f ca="1">ROUND((Table11[[#This Row],[XP]]*Table11[[#This Row],[entity_spawned (AVG)]])*(Table11[[#This Row],[activating_chance]]/100),0)</f>
        <v>15</v>
      </c>
      <c r="CR270" s="145" t="str">
        <f ca="1">INDIRECT(ADDRESS(11+(MATCH(RIGHT(Table11[[#This Row],[spawner_sku]],LEN(Table11[[#This Row],[spawner_sku]])-FIND("/",Table11[[#This Row],[spawner_sku]])),Table28[Entity Prefab],0)),25,1,1,"Entities"))</f>
        <v>no</v>
      </c>
      <c r="CS270" s="72">
        <v>1</v>
      </c>
      <c r="CT270" s="72">
        <v>1</v>
      </c>
      <c r="CU270" s="72" t="b">
        <v>0</v>
      </c>
      <c r="DH270" t="s">
        <v>367</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369</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557</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223</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368</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368</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577</v>
      </c>
      <c r="CM271">
        <v>1</v>
      </c>
      <c r="CN271">
        <v>130</v>
      </c>
      <c r="CO271">
        <v>100</v>
      </c>
      <c r="CP271" s="75">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5" t="str">
        <f ca="1">INDIRECT(ADDRESS(11+(MATCH(RIGHT(Table11[[#This Row],[spawner_sku]],LEN(Table11[[#This Row],[spawner_sku]])-FIND("/",Table11[[#This Row],[spawner_sku]])),Table28[Entity Prefab],0)),25,1,1,"Entities"))</f>
        <v>no</v>
      </c>
      <c r="CS271" s="72">
        <v>1</v>
      </c>
      <c r="CT271" s="72">
        <v>1</v>
      </c>
      <c r="CU271" s="72" t="b">
        <v>0</v>
      </c>
      <c r="DH271" t="s">
        <v>367</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369</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557</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368</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368</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577</v>
      </c>
      <c r="CM272">
        <v>1</v>
      </c>
      <c r="CN272">
        <v>120</v>
      </c>
      <c r="CO272">
        <v>100</v>
      </c>
      <c r="CP272" s="75">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5" t="str">
        <f ca="1">INDIRECT(ADDRESS(11+(MATCH(RIGHT(Table11[[#This Row],[spawner_sku]],LEN(Table11[[#This Row],[spawner_sku]])-FIND("/",Table11[[#This Row],[spawner_sku]])),Table28[Entity Prefab],0)),25,1,1,"Entities"))</f>
        <v>no</v>
      </c>
      <c r="CS272" s="72">
        <v>1</v>
      </c>
      <c r="CT272" s="72">
        <v>1</v>
      </c>
      <c r="CU272" s="72" t="b">
        <v>0</v>
      </c>
      <c r="DH272" t="s">
        <v>367</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369</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557</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368</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368</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577</v>
      </c>
      <c r="CM273">
        <v>1</v>
      </c>
      <c r="CN273">
        <v>120</v>
      </c>
      <c r="CO273">
        <v>100</v>
      </c>
      <c r="CP273" s="75">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5" t="str">
        <f ca="1">INDIRECT(ADDRESS(11+(MATCH(RIGHT(Table11[[#This Row],[spawner_sku]],LEN(Table11[[#This Row],[spawner_sku]])-FIND("/",Table11[[#This Row],[spawner_sku]])),Table28[Entity Prefab],0)),25,1,1,"Entities"))</f>
        <v>no</v>
      </c>
      <c r="CS273" s="72">
        <v>1</v>
      </c>
      <c r="CT273" s="72">
        <v>1</v>
      </c>
      <c r="CU273" s="72" t="b">
        <v>0</v>
      </c>
      <c r="DH273" t="s">
        <v>367</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369</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557</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224</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368</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368</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577</v>
      </c>
      <c r="CM274">
        <v>1</v>
      </c>
      <c r="CN274">
        <v>120</v>
      </c>
      <c r="CO274">
        <v>100</v>
      </c>
      <c r="CP274" s="75">
        <f ca="1">INDIRECT(ADDRESS(11+(MATCH(RIGHT(Table11[[#This Row],[spawner_sku]],LEN(Table11[[#This Row],[spawner_sku]])-FIND("/",Table11[[#This Row],[spawner_sku]])),Table1[Entity Prefab],0)),10,1,1,"Entities"))</f>
        <v>50</v>
      </c>
      <c r="CQ274">
        <f ca="1">ROUND((Table11[[#This Row],[XP]]*Table11[[#This Row],[entity_spawned (AVG)]])*(Table11[[#This Row],[activating_chance]]/100),0)</f>
        <v>50</v>
      </c>
      <c r="CR274" s="145" t="str">
        <f ca="1">INDIRECT(ADDRESS(11+(MATCH(RIGHT(Table11[[#This Row],[spawner_sku]],LEN(Table11[[#This Row],[spawner_sku]])-FIND("/",Table11[[#This Row],[spawner_sku]])),Table28[Entity Prefab],0)),25,1,1,"Entities"))</f>
        <v>no</v>
      </c>
      <c r="CS274" s="72">
        <v>1</v>
      </c>
      <c r="CT274" s="72">
        <v>1</v>
      </c>
      <c r="CU274" s="72" t="b">
        <v>0</v>
      </c>
      <c r="DH274" t="s">
        <v>367</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368</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558</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224</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368</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434</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577</v>
      </c>
      <c r="CM275">
        <v>1</v>
      </c>
      <c r="CN275">
        <v>120</v>
      </c>
      <c r="CO275">
        <v>100</v>
      </c>
      <c r="CP275" s="75">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5" t="str">
        <f ca="1">INDIRECT(ADDRESS(11+(MATCH(RIGHT(Table11[[#This Row],[spawner_sku]],LEN(Table11[[#This Row],[spawner_sku]])-FIND("/",Table11[[#This Row],[spawner_sku]])),Table28[Entity Prefab],0)),25,1,1,"Entities"))</f>
        <v>no</v>
      </c>
      <c r="CS275" s="72">
        <v>1</v>
      </c>
      <c r="CT275" s="72">
        <v>1</v>
      </c>
      <c r="CU275" s="72" t="b">
        <v>0</v>
      </c>
      <c r="DH275" t="s">
        <v>367</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368</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558</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224</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368</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424</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365</v>
      </c>
      <c r="CM276">
        <v>1</v>
      </c>
      <c r="CN276">
        <v>450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367</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368</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558</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225</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368</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424</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447</v>
      </c>
      <c r="CM277">
        <v>1</v>
      </c>
      <c r="CN277">
        <v>220</v>
      </c>
      <c r="CO277">
        <v>100</v>
      </c>
      <c r="CP277" s="75">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5" t="str">
        <f ca="1">INDIRECT(ADDRESS(11+(MATCH(RIGHT(Table11[[#This Row],[spawner_sku]],LEN(Table11[[#This Row],[spawner_sku]])-FIND("/",Table11[[#This Row],[spawner_sku]])),Table28[Entity Prefab],0)),25,1,1,"Entities"))</f>
        <v>yes</v>
      </c>
      <c r="CS277" s="72">
        <v>1</v>
      </c>
      <c r="CT277" s="72">
        <v>1</v>
      </c>
      <c r="CU277" s="72" t="b">
        <v>0</v>
      </c>
      <c r="DH277" t="s">
        <v>367</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368</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558</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225</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368</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424</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447</v>
      </c>
      <c r="CM278">
        <v>1</v>
      </c>
      <c r="CN278">
        <v>220</v>
      </c>
      <c r="CO278">
        <v>100</v>
      </c>
      <c r="CP278" s="75">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5" t="str">
        <f ca="1">INDIRECT(ADDRESS(11+(MATCH(RIGHT(Table11[[#This Row],[spawner_sku]],LEN(Table11[[#This Row],[spawner_sku]])-FIND("/",Table11[[#This Row],[spawner_sku]])),Table28[Entity Prefab],0)),25,1,1,"Entities"))</f>
        <v>yes</v>
      </c>
      <c r="CS278" s="72">
        <v>1</v>
      </c>
      <c r="CT278" s="72">
        <v>1</v>
      </c>
      <c r="CU278" s="72" t="b">
        <v>0</v>
      </c>
      <c r="DH278" t="s">
        <v>367</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368</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558</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225</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368</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424</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447</v>
      </c>
      <c r="CM279">
        <v>1</v>
      </c>
      <c r="CN279">
        <v>220</v>
      </c>
      <c r="CO279">
        <v>100</v>
      </c>
      <c r="CP279" s="75">
        <f ca="1">INDIRECT(ADDRESS(11+(MATCH(RIGHT(Table11[[#This Row],[spawner_sku]],LEN(Table11[[#This Row],[spawner_sku]])-FIND("/",Table11[[#This Row],[spawner_sku]])),Table1[Entity Prefab],0)),10,1,1,"Entities"))</f>
        <v>50</v>
      </c>
      <c r="CQ279">
        <f ca="1">ROUND((Table11[[#This Row],[XP]]*Table11[[#This Row],[entity_spawned (AVG)]])*(Table11[[#This Row],[activating_chance]]/100),0)</f>
        <v>50</v>
      </c>
      <c r="CR279" s="145" t="str">
        <f ca="1">INDIRECT(ADDRESS(11+(MATCH(RIGHT(Table11[[#This Row],[spawner_sku]],LEN(Table11[[#This Row],[spawner_sku]])-FIND("/",Table11[[#This Row],[spawner_sku]])),Table28[Entity Prefab],0)),25,1,1,"Entities"))</f>
        <v>yes</v>
      </c>
      <c r="CS279" s="72">
        <v>1</v>
      </c>
      <c r="CT279" s="72">
        <v>1</v>
      </c>
      <c r="CU279" s="72" t="b">
        <v>0</v>
      </c>
      <c r="DH279" t="s">
        <v>367</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368</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558</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225</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368</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424</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447</v>
      </c>
      <c r="CM280">
        <v>1</v>
      </c>
      <c r="CN280">
        <v>220</v>
      </c>
      <c r="CO280">
        <v>100</v>
      </c>
      <c r="CP280" s="75">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5" t="str">
        <f ca="1">INDIRECT(ADDRESS(11+(MATCH(RIGHT(Table11[[#This Row],[spawner_sku]],LEN(Table11[[#This Row],[spawner_sku]])-FIND("/",Table11[[#This Row],[spawner_sku]])),Table28[Entity Prefab],0)),25,1,1,"Entities"))</f>
        <v>yes</v>
      </c>
      <c r="CS280" s="72">
        <v>1</v>
      </c>
      <c r="CT280" s="72">
        <v>1</v>
      </c>
      <c r="CU280" s="72" t="b">
        <v>0</v>
      </c>
      <c r="DH280" t="s">
        <v>367</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368</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558</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225</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368</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424</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447</v>
      </c>
      <c r="CM281">
        <v>1</v>
      </c>
      <c r="CN281">
        <v>220</v>
      </c>
      <c r="CO281">
        <v>50</v>
      </c>
      <c r="CP281" s="75">
        <f ca="1">INDIRECT(ADDRESS(11+(MATCH(RIGHT(Table11[[#This Row],[spawner_sku]],LEN(Table11[[#This Row],[spawner_sku]])-FIND("/",Table11[[#This Row],[spawner_sku]])),Table1[Entity Prefab],0)),10,1,1,"Entities"))</f>
        <v>50</v>
      </c>
      <c r="CQ281">
        <f ca="1">ROUND((Table11[[#This Row],[XP]]*Table11[[#This Row],[entity_spawned (AVG)]])*(Table11[[#This Row],[activating_chance]]/100),0)</f>
        <v>25</v>
      </c>
      <c r="CR281" s="145" t="str">
        <f ca="1">INDIRECT(ADDRESS(11+(MATCH(RIGHT(Table11[[#This Row],[spawner_sku]],LEN(Table11[[#This Row],[spawner_sku]])-FIND("/",Table11[[#This Row],[spawner_sku]])),Table28[Entity Prefab],0)),25,1,1,"Entities"))</f>
        <v>yes</v>
      </c>
      <c r="CS281" s="72">
        <v>1</v>
      </c>
      <c r="CT281" s="72">
        <v>1</v>
      </c>
      <c r="CU281" s="72" t="b">
        <v>0</v>
      </c>
      <c r="DH281" t="s">
        <v>367</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368</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558</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225</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368</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424</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447</v>
      </c>
      <c r="CM282">
        <v>1</v>
      </c>
      <c r="CN282">
        <v>220</v>
      </c>
      <c r="CO282">
        <v>100</v>
      </c>
      <c r="CP282" s="75">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5" t="str">
        <f ca="1">INDIRECT(ADDRESS(11+(MATCH(RIGHT(Table11[[#This Row],[spawner_sku]],LEN(Table11[[#This Row],[spawner_sku]])-FIND("/",Table11[[#This Row],[spawner_sku]])),Table28[Entity Prefab],0)),25,1,1,"Entities"))</f>
        <v>yes</v>
      </c>
      <c r="CS282" s="72">
        <v>1</v>
      </c>
      <c r="CT282" s="72">
        <v>1</v>
      </c>
      <c r="CU282" s="72" t="b">
        <v>0</v>
      </c>
      <c r="DH282" t="s">
        <v>367</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368</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558</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226</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368</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424</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447</v>
      </c>
      <c r="CM283">
        <v>1</v>
      </c>
      <c r="CN283">
        <v>220</v>
      </c>
      <c r="CO283">
        <v>100</v>
      </c>
      <c r="CP283" s="75">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5" t="str">
        <f ca="1">INDIRECT(ADDRESS(11+(MATCH(RIGHT(Table11[[#This Row],[spawner_sku]],LEN(Table11[[#This Row],[spawner_sku]])-FIND("/",Table11[[#This Row],[spawner_sku]])),Table28[Entity Prefab],0)),25,1,1,"Entities"))</f>
        <v>yes</v>
      </c>
      <c r="CS283" s="72">
        <v>1</v>
      </c>
      <c r="CT283" s="72">
        <v>1</v>
      </c>
      <c r="CU283" s="72" t="b">
        <v>0</v>
      </c>
      <c r="DH283" t="s">
        <v>367</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368</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559</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226</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368</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424</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447</v>
      </c>
      <c r="CM284">
        <v>1</v>
      </c>
      <c r="CN284">
        <v>220</v>
      </c>
      <c r="CO284">
        <v>100</v>
      </c>
      <c r="CP284" s="75">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5" t="str">
        <f ca="1">INDIRECT(ADDRESS(11+(MATCH(RIGHT(Table11[[#This Row],[spawner_sku]],LEN(Table11[[#This Row],[spawner_sku]])-FIND("/",Table11[[#This Row],[spawner_sku]])),Table28[Entity Prefab],0)),25,1,1,"Entities"))</f>
        <v>yes</v>
      </c>
      <c r="CS284" s="72">
        <v>1</v>
      </c>
      <c r="CT284" s="72">
        <v>1</v>
      </c>
      <c r="CU284" s="72" t="b">
        <v>0</v>
      </c>
      <c r="DH284" t="s">
        <v>367</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368</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559</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227</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368</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233</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447</v>
      </c>
      <c r="CM285">
        <v>1</v>
      </c>
      <c r="CN285">
        <v>220</v>
      </c>
      <c r="CO285">
        <v>100</v>
      </c>
      <c r="CP285" s="75">
        <f ca="1">INDIRECT(ADDRESS(11+(MATCH(RIGHT(Table11[[#This Row],[spawner_sku]],LEN(Table11[[#This Row],[spawner_sku]])-FIND("/",Table11[[#This Row],[spawner_sku]])),Table1[Entity Prefab],0)),10,1,1,"Entities"))</f>
        <v>50</v>
      </c>
      <c r="CQ285">
        <f ca="1">ROUND((Table11[[#This Row],[XP]]*Table11[[#This Row],[entity_spawned (AVG)]])*(Table11[[#This Row],[activating_chance]]/100),0)</f>
        <v>50</v>
      </c>
      <c r="CR285" s="145" t="str">
        <f ca="1">INDIRECT(ADDRESS(11+(MATCH(RIGHT(Table11[[#This Row],[spawner_sku]],LEN(Table11[[#This Row],[spawner_sku]])-FIND("/",Table11[[#This Row],[spawner_sku]])),Table28[Entity Prefab],0)),25,1,1,"Entities"))</f>
        <v>yes</v>
      </c>
      <c r="CS285" s="72">
        <v>1</v>
      </c>
      <c r="CT285" s="72">
        <v>1</v>
      </c>
      <c r="CU285" s="72" t="b">
        <v>0</v>
      </c>
      <c r="DH285" t="s">
        <v>367</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368</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559</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227</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368</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233</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447</v>
      </c>
      <c r="CM286">
        <v>1</v>
      </c>
      <c r="CN286">
        <v>220</v>
      </c>
      <c r="CO286">
        <v>100</v>
      </c>
      <c r="CP286" s="75">
        <f ca="1">INDIRECT(ADDRESS(11+(MATCH(RIGHT(Table11[[#This Row],[spawner_sku]],LEN(Table11[[#This Row],[spawner_sku]])-FIND("/",Table11[[#This Row],[spawner_sku]])),Table1[Entity Prefab],0)),10,1,1,"Entities"))</f>
        <v>50</v>
      </c>
      <c r="CQ286">
        <f ca="1">ROUND((Table11[[#This Row],[XP]]*Table11[[#This Row],[entity_spawned (AVG)]])*(Table11[[#This Row],[activating_chance]]/100),0)</f>
        <v>50</v>
      </c>
      <c r="CR286" s="145" t="str">
        <f ca="1">INDIRECT(ADDRESS(11+(MATCH(RIGHT(Table11[[#This Row],[spawner_sku]],LEN(Table11[[#This Row],[spawner_sku]])-FIND("/",Table11[[#This Row],[spawner_sku]])),Table28[Entity Prefab],0)),25,1,1,"Entities"))</f>
        <v>yes</v>
      </c>
      <c r="CS286" s="72">
        <v>1</v>
      </c>
      <c r="CT286" s="72">
        <v>1</v>
      </c>
      <c r="CU286" s="72" t="b">
        <v>0</v>
      </c>
      <c r="DH286" t="s">
        <v>367</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368</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559</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227</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368</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233</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448</v>
      </c>
      <c r="CM287">
        <v>1</v>
      </c>
      <c r="CN287">
        <v>240</v>
      </c>
      <c r="CO287">
        <v>100</v>
      </c>
      <c r="CP287" s="75">
        <f ca="1">INDIRECT(ADDRESS(11+(MATCH(RIGHT(Table11[[#This Row],[spawner_sku]],LEN(Table11[[#This Row],[spawner_sku]])-FIND("/",Table11[[#This Row],[spawner_sku]])),Table1[Entity Prefab],0)),10,1,1,"Entities"))</f>
        <v>83</v>
      </c>
      <c r="CQ287">
        <f ca="1">ROUND((Table11[[#This Row],[XP]]*Table11[[#This Row],[entity_spawned (AVG)]])*(Table11[[#This Row],[activating_chance]]/100),0)</f>
        <v>83</v>
      </c>
      <c r="CR287" s="145" t="str">
        <f ca="1">INDIRECT(ADDRESS(11+(MATCH(RIGHT(Table11[[#This Row],[spawner_sku]],LEN(Table11[[#This Row],[spawner_sku]])-FIND("/",Table11[[#This Row],[spawner_sku]])),Table28[Entity Prefab],0)),25,1,1,"Entities"))</f>
        <v>yes</v>
      </c>
      <c r="CS287" s="72">
        <v>1</v>
      </c>
      <c r="CT287" s="72">
        <v>1</v>
      </c>
      <c r="CU287" s="72" t="b">
        <v>0</v>
      </c>
      <c r="DH287" t="s">
        <v>367</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368</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559</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227</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368</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233</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448</v>
      </c>
      <c r="CM288">
        <v>1</v>
      </c>
      <c r="CN288">
        <v>240</v>
      </c>
      <c r="CO288">
        <v>100</v>
      </c>
      <c r="CP288" s="75">
        <f ca="1">INDIRECT(ADDRESS(11+(MATCH(RIGHT(Table11[[#This Row],[spawner_sku]],LEN(Table11[[#This Row],[spawner_sku]])-FIND("/",Table11[[#This Row],[spawner_sku]])),Table1[Entity Prefab],0)),10,1,1,"Entities"))</f>
        <v>83</v>
      </c>
      <c r="CQ288">
        <f ca="1">ROUND((Table11[[#This Row],[XP]]*Table11[[#This Row],[entity_spawned (AVG)]])*(Table11[[#This Row],[activating_chance]]/100),0)</f>
        <v>83</v>
      </c>
      <c r="CR288" s="145" t="str">
        <f ca="1">INDIRECT(ADDRESS(11+(MATCH(RIGHT(Table11[[#This Row],[spawner_sku]],LEN(Table11[[#This Row],[spawner_sku]])-FIND("/",Table11[[#This Row],[spawner_sku]])),Table28[Entity Prefab],0)),25,1,1,"Entities"))</f>
        <v>yes</v>
      </c>
      <c r="CS288" s="72">
        <v>1</v>
      </c>
      <c r="CT288" s="72">
        <v>1</v>
      </c>
      <c r="CU288" s="72" t="b">
        <v>0</v>
      </c>
      <c r="DH288" t="s">
        <v>367</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368</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559</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227</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368</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233</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448</v>
      </c>
      <c r="CM289">
        <v>1</v>
      </c>
      <c r="CN289">
        <v>240</v>
      </c>
      <c r="CO289">
        <v>80</v>
      </c>
      <c r="CP289" s="75">
        <f ca="1">INDIRECT(ADDRESS(11+(MATCH(RIGHT(Table11[[#This Row],[spawner_sku]],LEN(Table11[[#This Row],[spawner_sku]])-FIND("/",Table11[[#This Row],[spawner_sku]])),Table1[Entity Prefab],0)),10,1,1,"Entities"))</f>
        <v>83</v>
      </c>
      <c r="CQ289">
        <f ca="1">ROUND((Table11[[#This Row],[XP]]*Table11[[#This Row],[entity_spawned (AVG)]])*(Table11[[#This Row],[activating_chance]]/100),0)</f>
        <v>66</v>
      </c>
      <c r="CR289" s="145" t="str">
        <f ca="1">INDIRECT(ADDRESS(11+(MATCH(RIGHT(Table11[[#This Row],[spawner_sku]],LEN(Table11[[#This Row],[spawner_sku]])-FIND("/",Table11[[#This Row],[spawner_sku]])),Table28[Entity Prefab],0)),25,1,1,"Entities"))</f>
        <v>yes</v>
      </c>
      <c r="CS289" s="72">
        <v>1</v>
      </c>
      <c r="CT289" s="72">
        <v>1</v>
      </c>
      <c r="CU289" s="72" t="b">
        <v>0</v>
      </c>
      <c r="DH289" t="s">
        <v>367</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368</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559</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227</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368</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233</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449</v>
      </c>
      <c r="CM290">
        <v>1</v>
      </c>
      <c r="CN290">
        <v>260</v>
      </c>
      <c r="CO290">
        <v>80</v>
      </c>
      <c r="CP290" s="75">
        <f ca="1">INDIRECT(ADDRESS(11+(MATCH(RIGHT(Table11[[#This Row],[spawner_sku]],LEN(Table11[[#This Row],[spawner_sku]])-FIND("/",Table11[[#This Row],[spawner_sku]])),Table1[Entity Prefab],0)),10,1,1,"Entities"))</f>
        <v>105</v>
      </c>
      <c r="CQ290">
        <f ca="1">ROUND((Table11[[#This Row],[XP]]*Table11[[#This Row],[entity_spawned (AVG)]])*(Table11[[#This Row],[activating_chance]]/100),0)</f>
        <v>84</v>
      </c>
      <c r="CR290" s="145" t="str">
        <f ca="1">INDIRECT(ADDRESS(11+(MATCH(RIGHT(Table11[[#This Row],[spawner_sku]],LEN(Table11[[#This Row],[spawner_sku]])-FIND("/",Table11[[#This Row],[spawner_sku]])),Table28[Entity Prefab],0)),25,1,1,"Entities"))</f>
        <v>yes</v>
      </c>
      <c r="CS290" s="72">
        <v>1</v>
      </c>
      <c r="CT290" s="72">
        <v>1</v>
      </c>
      <c r="CU290" s="72" t="b">
        <v>0</v>
      </c>
      <c r="DH290" t="s">
        <v>367</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368</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559</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227</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368</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5017</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449</v>
      </c>
      <c r="CM291">
        <v>1</v>
      </c>
      <c r="CN291">
        <v>200</v>
      </c>
      <c r="CO291">
        <v>50</v>
      </c>
      <c r="CP291" s="75">
        <f ca="1">INDIRECT(ADDRESS(11+(MATCH(RIGHT(Table11[[#This Row],[spawner_sku]],LEN(Table11[[#This Row],[spawner_sku]])-FIND("/",Table11[[#This Row],[spawner_sku]])),Table1[Entity Prefab],0)),10,1,1,"Entities"))</f>
        <v>105</v>
      </c>
      <c r="CQ291">
        <f ca="1">ROUND((Table11[[#This Row],[XP]]*Table11[[#This Row],[entity_spawned (AVG)]])*(Table11[[#This Row],[activating_chance]]/100),0)</f>
        <v>53</v>
      </c>
      <c r="CR291" s="145" t="str">
        <f ca="1">INDIRECT(ADDRESS(11+(MATCH(RIGHT(Table11[[#This Row],[spawner_sku]],LEN(Table11[[#This Row],[spawner_sku]])-FIND("/",Table11[[#This Row],[spawner_sku]])),Table28[Entity Prefab],0)),25,1,1,"Entities"))</f>
        <v>yes</v>
      </c>
      <c r="CS291" s="72">
        <v>1</v>
      </c>
      <c r="CT291" s="72">
        <v>1</v>
      </c>
      <c r="CU291" s="72" t="b">
        <v>0</v>
      </c>
      <c r="DH291" t="s">
        <v>367</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368</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559</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227</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368</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5017</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449</v>
      </c>
      <c r="CM292">
        <v>1</v>
      </c>
      <c r="CN292">
        <v>200</v>
      </c>
      <c r="CO292">
        <v>10</v>
      </c>
      <c r="CP292" s="75">
        <f ca="1">INDIRECT(ADDRESS(11+(MATCH(RIGHT(Table11[[#This Row],[spawner_sku]],LEN(Table11[[#This Row],[spawner_sku]])-FIND("/",Table11[[#This Row],[spawner_sku]])),Table1[Entity Prefab],0)),10,1,1,"Entities"))</f>
        <v>105</v>
      </c>
      <c r="CQ292">
        <f ca="1">ROUND((Table11[[#This Row],[XP]]*Table11[[#This Row],[entity_spawned (AVG)]])*(Table11[[#This Row],[activating_chance]]/100),0)</f>
        <v>11</v>
      </c>
      <c r="CR292" s="145" t="str">
        <f ca="1">INDIRECT(ADDRESS(11+(MATCH(RIGHT(Table11[[#This Row],[spawner_sku]],LEN(Table11[[#This Row],[spawner_sku]])-FIND("/",Table11[[#This Row],[spawner_sku]])),Table28[Entity Prefab],0)),25,1,1,"Entities"))</f>
        <v>yes</v>
      </c>
      <c r="CS292" s="72">
        <v>1</v>
      </c>
      <c r="CT292" s="72">
        <v>1</v>
      </c>
      <c r="CU292" s="72" t="b">
        <v>0</v>
      </c>
      <c r="DH292" t="s">
        <v>367</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368</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559</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227</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368</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5017</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449</v>
      </c>
      <c r="CM293">
        <v>1</v>
      </c>
      <c r="CN293">
        <v>260</v>
      </c>
      <c r="CO293">
        <v>100</v>
      </c>
      <c r="CP293" s="75">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5" t="str">
        <f ca="1">INDIRECT(ADDRESS(11+(MATCH(RIGHT(Table11[[#This Row],[spawner_sku]],LEN(Table11[[#This Row],[spawner_sku]])-FIND("/",Table11[[#This Row],[spawner_sku]])),Table28[Entity Prefab],0)),25,1,1,"Entities"))</f>
        <v>yes</v>
      </c>
      <c r="CS293" s="72">
        <v>1</v>
      </c>
      <c r="CT293" s="72">
        <v>1</v>
      </c>
      <c r="CU293" s="72" t="b">
        <v>0</v>
      </c>
      <c r="DH293" t="s">
        <v>367</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368</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559</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228</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368</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5017</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449</v>
      </c>
      <c r="CM294">
        <v>1</v>
      </c>
      <c r="CN294">
        <v>260</v>
      </c>
      <c r="CO294">
        <v>100</v>
      </c>
      <c r="CP294" s="75">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5" t="str">
        <f ca="1">INDIRECT(ADDRESS(11+(MATCH(RIGHT(Table11[[#This Row],[spawner_sku]],LEN(Table11[[#This Row],[spawner_sku]])-FIND("/",Table11[[#This Row],[spawner_sku]])),Table28[Entity Prefab],0)),25,1,1,"Entities"))</f>
        <v>yes</v>
      </c>
      <c r="CS294" s="72">
        <v>1</v>
      </c>
      <c r="CT294" s="72">
        <v>1</v>
      </c>
      <c r="CU294" s="72" t="b">
        <v>0</v>
      </c>
      <c r="DH294" t="s">
        <v>367</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368</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559</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228</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368</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5017</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449</v>
      </c>
      <c r="CM295">
        <v>1</v>
      </c>
      <c r="CN295">
        <v>260</v>
      </c>
      <c r="CO295">
        <v>100</v>
      </c>
      <c r="CP295" s="75">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5" t="str">
        <f ca="1">INDIRECT(ADDRESS(11+(MATCH(RIGHT(Table11[[#This Row],[spawner_sku]],LEN(Table11[[#This Row],[spawner_sku]])-FIND("/",Table11[[#This Row],[spawner_sku]])),Table28[Entity Prefab],0)),25,1,1,"Entities"))</f>
        <v>yes</v>
      </c>
      <c r="CS295" s="72">
        <v>1</v>
      </c>
      <c r="CT295" s="72">
        <v>1</v>
      </c>
      <c r="CU295" s="72" t="b">
        <v>0</v>
      </c>
      <c r="DH295" t="s">
        <v>367</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368</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559</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228</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368</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466</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449</v>
      </c>
      <c r="CM296">
        <v>1</v>
      </c>
      <c r="CN296">
        <v>200</v>
      </c>
      <c r="CO296">
        <v>100</v>
      </c>
      <c r="CP296" s="75">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5" t="str">
        <f ca="1">INDIRECT(ADDRESS(11+(MATCH(RIGHT(Table11[[#This Row],[spawner_sku]],LEN(Table11[[#This Row],[spawner_sku]])-FIND("/",Table11[[#This Row],[spawner_sku]])),Table28[Entity Prefab],0)),25,1,1,"Entities"))</f>
        <v>yes</v>
      </c>
      <c r="CS296" s="72">
        <v>1</v>
      </c>
      <c r="CT296" s="72">
        <v>1</v>
      </c>
      <c r="CU296" s="72" t="b">
        <v>0</v>
      </c>
      <c r="DH296" t="s">
        <v>367</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368</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559</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228</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368</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466</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449</v>
      </c>
      <c r="CM297">
        <v>1</v>
      </c>
      <c r="CN297">
        <v>260</v>
      </c>
      <c r="CO297">
        <v>100</v>
      </c>
      <c r="CP297" s="75">
        <f ca="1">INDIRECT(ADDRESS(11+(MATCH(RIGHT(Table11[[#This Row],[spawner_sku]],LEN(Table11[[#This Row],[spawner_sku]])-FIND("/",Table11[[#This Row],[spawner_sku]])),Table1[Entity Prefab],0)),10,1,1,"Entities"))</f>
        <v>105</v>
      </c>
      <c r="CQ297">
        <f ca="1">ROUND((Table11[[#This Row],[XP]]*Table11[[#This Row],[entity_spawned (AVG)]])*(Table11[[#This Row],[activating_chance]]/100),0)</f>
        <v>105</v>
      </c>
      <c r="CR297" s="145" t="str">
        <f ca="1">INDIRECT(ADDRESS(11+(MATCH(RIGHT(Table11[[#This Row],[spawner_sku]],LEN(Table11[[#This Row],[spawner_sku]])-FIND("/",Table11[[#This Row],[spawner_sku]])),Table28[Entity Prefab],0)),25,1,1,"Entities"))</f>
        <v>yes</v>
      </c>
      <c r="CS297" s="72">
        <v>1</v>
      </c>
      <c r="CT297" s="72">
        <v>1</v>
      </c>
      <c r="CU297" s="72" t="b">
        <v>0</v>
      </c>
      <c r="DH297" t="s">
        <v>367</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368</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559</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228</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368</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466</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449</v>
      </c>
      <c r="CM298">
        <v>1</v>
      </c>
      <c r="CN298">
        <v>260</v>
      </c>
      <c r="CO298">
        <v>100</v>
      </c>
      <c r="CP298" s="75">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5" t="str">
        <f ca="1">INDIRECT(ADDRESS(11+(MATCH(RIGHT(Table11[[#This Row],[spawner_sku]],LEN(Table11[[#This Row],[spawner_sku]])-FIND("/",Table11[[#This Row],[spawner_sku]])),Table28[Entity Prefab],0)),25,1,1,"Entities"))</f>
        <v>yes</v>
      </c>
      <c r="CS298" s="72">
        <v>1</v>
      </c>
      <c r="CT298" s="72">
        <v>1</v>
      </c>
      <c r="CU298" s="72" t="b">
        <v>0</v>
      </c>
      <c r="DH298" t="s">
        <v>367</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368</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559</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229</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368</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467</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449</v>
      </c>
      <c r="CM299">
        <v>1</v>
      </c>
      <c r="CN299">
        <v>200</v>
      </c>
      <c r="CO299">
        <v>10</v>
      </c>
      <c r="CP299" s="75">
        <f ca="1">INDIRECT(ADDRESS(11+(MATCH(RIGHT(Table11[[#This Row],[spawner_sku]],LEN(Table11[[#This Row],[spawner_sku]])-FIND("/",Table11[[#This Row],[spawner_sku]])),Table1[Entity Prefab],0)),10,1,1,"Entities"))</f>
        <v>105</v>
      </c>
      <c r="CQ299">
        <f ca="1">ROUND((Table11[[#This Row],[XP]]*Table11[[#This Row],[entity_spawned (AVG)]])*(Table11[[#This Row],[activating_chance]]/100),0)</f>
        <v>11</v>
      </c>
      <c r="CR299" s="145" t="str">
        <f ca="1">INDIRECT(ADDRESS(11+(MATCH(RIGHT(Table11[[#This Row],[spawner_sku]],LEN(Table11[[#This Row],[spawner_sku]])-FIND("/",Table11[[#This Row],[spawner_sku]])),Table28[Entity Prefab],0)),25,1,1,"Entities"))</f>
        <v>yes</v>
      </c>
      <c r="CS299" s="72">
        <v>1</v>
      </c>
      <c r="CT299" s="72">
        <v>1</v>
      </c>
      <c r="CU299" s="72" t="b">
        <v>0</v>
      </c>
      <c r="DH299" t="s">
        <v>367</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368</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2413</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229</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368</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467</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449</v>
      </c>
      <c r="CM300">
        <v>1</v>
      </c>
      <c r="CN300">
        <v>260</v>
      </c>
      <c r="CO300">
        <v>100</v>
      </c>
      <c r="CP300" s="75">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5" t="str">
        <f ca="1">INDIRECT(ADDRESS(11+(MATCH(RIGHT(Table11[[#This Row],[spawner_sku]],LEN(Table11[[#This Row],[spawner_sku]])-FIND("/",Table11[[#This Row],[spawner_sku]])),Table28[Entity Prefab],0)),25,1,1,"Entities"))</f>
        <v>yes</v>
      </c>
      <c r="CS300" s="72">
        <v>1</v>
      </c>
      <c r="CT300" s="72">
        <v>1</v>
      </c>
      <c r="CU300" s="72" t="b">
        <v>0</v>
      </c>
      <c r="DH300" t="s">
        <v>367</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368</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2413</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229</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368</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467</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449</v>
      </c>
      <c r="CM301">
        <v>1</v>
      </c>
      <c r="CN301">
        <v>200</v>
      </c>
      <c r="CO301">
        <v>100</v>
      </c>
      <c r="CP301" s="75">
        <f ca="1">INDIRECT(ADDRESS(11+(MATCH(RIGHT(Table11[[#This Row],[spawner_sku]],LEN(Table11[[#This Row],[spawner_sku]])-FIND("/",Table11[[#This Row],[spawner_sku]])),Table1[Entity Prefab],0)),10,1,1,"Entities"))</f>
        <v>105</v>
      </c>
      <c r="CQ301">
        <f ca="1">ROUND((Table11[[#This Row],[XP]]*Table11[[#This Row],[entity_spawned (AVG)]])*(Table11[[#This Row],[activating_chance]]/100),0)</f>
        <v>105</v>
      </c>
      <c r="CR301" s="145" t="str">
        <f ca="1">INDIRECT(ADDRESS(11+(MATCH(RIGHT(Table11[[#This Row],[spawner_sku]],LEN(Table11[[#This Row],[spawner_sku]])-FIND("/",Table11[[#This Row],[spawner_sku]])),Table28[Entity Prefab],0)),25,1,1,"Entities"))</f>
        <v>yes</v>
      </c>
      <c r="CS301" s="72">
        <v>1</v>
      </c>
      <c r="CT301" s="72">
        <v>1</v>
      </c>
      <c r="CU301" s="72" t="b">
        <v>0</v>
      </c>
      <c r="DH301" t="s">
        <v>367</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368</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5016</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229</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368</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467</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449</v>
      </c>
      <c r="CM302">
        <v>1</v>
      </c>
      <c r="CN302">
        <v>260</v>
      </c>
      <c r="CO302">
        <v>100</v>
      </c>
      <c r="CP302" s="75">
        <f ca="1">INDIRECT(ADDRESS(11+(MATCH(RIGHT(Table11[[#This Row],[spawner_sku]],LEN(Table11[[#This Row],[spawner_sku]])-FIND("/",Table11[[#This Row],[spawner_sku]])),Table1[Entity Prefab],0)),10,1,1,"Entities"))</f>
        <v>105</v>
      </c>
      <c r="CQ302">
        <f ca="1">ROUND((Table11[[#This Row],[XP]]*Table11[[#This Row],[entity_spawned (AVG)]])*(Table11[[#This Row],[activating_chance]]/100),0)</f>
        <v>105</v>
      </c>
      <c r="CR302" s="145" t="str">
        <f ca="1">INDIRECT(ADDRESS(11+(MATCH(RIGHT(Table11[[#This Row],[spawner_sku]],LEN(Table11[[#This Row],[spawner_sku]])-FIND("/",Table11[[#This Row],[spawner_sku]])),Table28[Entity Prefab],0)),25,1,1,"Entities"))</f>
        <v>yes</v>
      </c>
      <c r="CS302" s="72">
        <v>1</v>
      </c>
      <c r="CT302" s="72">
        <v>1</v>
      </c>
      <c r="CU302" s="72" t="b">
        <v>0</v>
      </c>
      <c r="DH302" t="s">
        <v>367</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368</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5016</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229</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368</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467</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449</v>
      </c>
      <c r="CM303">
        <v>1</v>
      </c>
      <c r="CN303">
        <v>260</v>
      </c>
      <c r="CO303">
        <v>70</v>
      </c>
      <c r="CP303" s="75">
        <f ca="1">INDIRECT(ADDRESS(11+(MATCH(RIGHT(Table11[[#This Row],[spawner_sku]],LEN(Table11[[#This Row],[spawner_sku]])-FIND("/",Table11[[#This Row],[spawner_sku]])),Table1[Entity Prefab],0)),10,1,1,"Entities"))</f>
        <v>105</v>
      </c>
      <c r="CQ303">
        <f ca="1">ROUND((Table11[[#This Row],[XP]]*Table11[[#This Row],[entity_spawned (AVG)]])*(Table11[[#This Row],[activating_chance]]/100),0)</f>
        <v>74</v>
      </c>
      <c r="CR303" s="145" t="str">
        <f ca="1">INDIRECT(ADDRESS(11+(MATCH(RIGHT(Table11[[#This Row],[spawner_sku]],LEN(Table11[[#This Row],[spawner_sku]])-FIND("/",Table11[[#This Row],[spawner_sku]])),Table28[Entity Prefab],0)),25,1,1,"Entities"))</f>
        <v>yes</v>
      </c>
      <c r="CS303" s="72">
        <v>1</v>
      </c>
      <c r="CT303" s="72">
        <v>1</v>
      </c>
      <c r="CU303" s="72" t="b">
        <v>0</v>
      </c>
      <c r="DH303" t="s">
        <v>367</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368</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5016</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229</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368</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468</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450</v>
      </c>
      <c r="CM304">
        <v>1</v>
      </c>
      <c r="CN304">
        <v>280</v>
      </c>
      <c r="CO304">
        <v>100</v>
      </c>
      <c r="CP304" s="75">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5" t="str">
        <f ca="1">INDIRECT(ADDRESS(11+(MATCH(RIGHT(Table11[[#This Row],[spawner_sku]],LEN(Table11[[#This Row],[spawner_sku]])-FIND("/",Table11[[#This Row],[spawner_sku]])),Table28[Entity Prefab],0)),25,1,1,"Entities"))</f>
        <v>yes</v>
      </c>
      <c r="CS304" s="72">
        <v>1</v>
      </c>
      <c r="CT304" s="72">
        <v>1</v>
      </c>
      <c r="CU304" s="72" t="b">
        <v>0</v>
      </c>
      <c r="DH304" t="s">
        <v>367</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368</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5016</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229</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368</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468</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450</v>
      </c>
      <c r="CM305">
        <v>1</v>
      </c>
      <c r="CN305">
        <v>280</v>
      </c>
      <c r="CO305">
        <v>100</v>
      </c>
      <c r="CP305" s="75">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5" t="str">
        <f ca="1">INDIRECT(ADDRESS(11+(MATCH(RIGHT(Table11[[#This Row],[spawner_sku]],LEN(Table11[[#This Row],[spawner_sku]])-FIND("/",Table11[[#This Row],[spawner_sku]])),Table28[Entity Prefab],0)),25,1,1,"Entities"))</f>
        <v>yes</v>
      </c>
      <c r="CS305" s="72">
        <v>1</v>
      </c>
      <c r="CT305" s="72">
        <v>1</v>
      </c>
      <c r="CU305" s="72" t="b">
        <v>0</v>
      </c>
      <c r="DH305" t="s">
        <v>367</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368</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5016</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229</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368</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450</v>
      </c>
      <c r="CM306">
        <v>1</v>
      </c>
      <c r="CN306">
        <v>280</v>
      </c>
      <c r="CO306">
        <v>100</v>
      </c>
      <c r="CP306" s="75">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5" t="str">
        <f ca="1">INDIRECT(ADDRESS(11+(MATCH(RIGHT(Table11[[#This Row],[spawner_sku]],LEN(Table11[[#This Row],[spawner_sku]])-FIND("/",Table11[[#This Row],[spawner_sku]])),Table28[Entity Prefab],0)),25,1,1,"Entities"))</f>
        <v>yes</v>
      </c>
      <c r="CS306" s="72">
        <v>1</v>
      </c>
      <c r="CT306" s="72">
        <v>1</v>
      </c>
      <c r="CU306" s="72" t="b">
        <v>0</v>
      </c>
      <c r="DH306" t="s">
        <v>367</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513</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5016</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229</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368</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234</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450</v>
      </c>
      <c r="CM307">
        <v>1</v>
      </c>
      <c r="CN307">
        <v>280</v>
      </c>
      <c r="CO307">
        <v>100</v>
      </c>
      <c r="CP307" s="75">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5" t="str">
        <f ca="1">INDIRECT(ADDRESS(11+(MATCH(RIGHT(Table11[[#This Row],[spawner_sku]],LEN(Table11[[#This Row],[spawner_sku]])-FIND("/",Table11[[#This Row],[spawner_sku]])),Table28[Entity Prefab],0)),25,1,1,"Entities"))</f>
        <v>yes</v>
      </c>
      <c r="CS307" s="72">
        <v>1</v>
      </c>
      <c r="CT307" s="72">
        <v>1</v>
      </c>
      <c r="CU307" s="72" t="b">
        <v>0</v>
      </c>
      <c r="DH307" t="s">
        <v>367</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513</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5016</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229</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368</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234</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450</v>
      </c>
      <c r="CM308">
        <v>1</v>
      </c>
      <c r="CN308">
        <v>280</v>
      </c>
      <c r="CO308">
        <v>100</v>
      </c>
      <c r="CP308" s="75">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5" t="str">
        <f ca="1">INDIRECT(ADDRESS(11+(MATCH(RIGHT(Table11[[#This Row],[spawner_sku]],LEN(Table11[[#This Row],[spawner_sku]])-FIND("/",Table11[[#This Row],[spawner_sku]])),Table28[Entity Prefab],0)),25,1,1,"Entities"))</f>
        <v>yes</v>
      </c>
      <c r="CS308" s="72">
        <v>1</v>
      </c>
      <c r="CT308" s="72">
        <v>1</v>
      </c>
      <c r="CU308" s="72" t="b">
        <v>0</v>
      </c>
      <c r="DH308" t="s">
        <v>367</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513</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5016</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229</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368</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234</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450</v>
      </c>
      <c r="CM309">
        <v>1</v>
      </c>
      <c r="CN309">
        <v>280</v>
      </c>
      <c r="CO309">
        <v>100</v>
      </c>
      <c r="CP309" s="75">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5" t="str">
        <f ca="1">INDIRECT(ADDRESS(11+(MATCH(RIGHT(Table11[[#This Row],[spawner_sku]],LEN(Table11[[#This Row],[spawner_sku]])-FIND("/",Table11[[#This Row],[spawner_sku]])),Table28[Entity Prefab],0)),25,1,1,"Entities"))</f>
        <v>yes</v>
      </c>
      <c r="CS309" s="72">
        <v>1</v>
      </c>
      <c r="CT309" s="72">
        <v>1</v>
      </c>
      <c r="CU309" s="72" t="b">
        <v>0</v>
      </c>
      <c r="DH309" t="s">
        <v>367</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513</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240</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229</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368</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234</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450</v>
      </c>
      <c r="CM310">
        <v>1</v>
      </c>
      <c r="CN310">
        <v>280</v>
      </c>
      <c r="CO310">
        <v>100</v>
      </c>
      <c r="CP310" s="75">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5" t="str">
        <f ca="1">INDIRECT(ADDRESS(11+(MATCH(RIGHT(Table11[[#This Row],[spawner_sku]],LEN(Table11[[#This Row],[spawner_sku]])-FIND("/",Table11[[#This Row],[spawner_sku]])),Table28[Entity Prefab],0)),25,1,1,"Entities"))</f>
        <v>yes</v>
      </c>
      <c r="CS310" s="72">
        <v>1</v>
      </c>
      <c r="CT310" s="72">
        <v>1</v>
      </c>
      <c r="CU310" s="72" t="b">
        <v>0</v>
      </c>
      <c r="DH310" t="s">
        <v>367</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513</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241</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368</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234</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450</v>
      </c>
      <c r="CM311">
        <v>1</v>
      </c>
      <c r="CN311">
        <v>280</v>
      </c>
      <c r="CO311">
        <v>100</v>
      </c>
      <c r="CP311" s="75">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5" t="str">
        <f ca="1">INDIRECT(ADDRESS(11+(MATCH(RIGHT(Table11[[#This Row],[spawner_sku]],LEN(Table11[[#This Row],[spawner_sku]])-FIND("/",Table11[[#This Row],[spawner_sku]])),Table28[Entity Prefab],0)),25,1,1,"Entities"))</f>
        <v>yes</v>
      </c>
      <c r="CS311" s="72">
        <v>1</v>
      </c>
      <c r="CT311" s="72">
        <v>1</v>
      </c>
      <c r="CU311" s="72" t="b">
        <v>0</v>
      </c>
      <c r="DH311" t="s">
        <v>367</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513</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241</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229</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368</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234</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450</v>
      </c>
      <c r="CM312">
        <v>1</v>
      </c>
      <c r="CN312">
        <v>280</v>
      </c>
      <c r="CO312">
        <v>100</v>
      </c>
      <c r="CP312" s="75">
        <f ca="1">INDIRECT(ADDRESS(11+(MATCH(RIGHT(Table11[[#This Row],[spawner_sku]],LEN(Table11[[#This Row],[spawner_sku]])-FIND("/",Table11[[#This Row],[spawner_sku]])),Table1[Entity Prefab],0)),10,1,1,"Entities"))</f>
        <v>143</v>
      </c>
      <c r="CQ312">
        <f ca="1">ROUND((Table11[[#This Row],[XP]]*Table11[[#This Row],[entity_spawned (AVG)]])*(Table11[[#This Row],[activating_chance]]/100),0)</f>
        <v>143</v>
      </c>
      <c r="CR312" s="145" t="str">
        <f ca="1">INDIRECT(ADDRESS(11+(MATCH(RIGHT(Table11[[#This Row],[spawner_sku]],LEN(Table11[[#This Row],[spawner_sku]])-FIND("/",Table11[[#This Row],[spawner_sku]])),Table28[Entity Prefab],0)),25,1,1,"Entities"))</f>
        <v>yes</v>
      </c>
      <c r="CS312" s="72">
        <v>1</v>
      </c>
      <c r="CT312" s="72">
        <v>1</v>
      </c>
      <c r="CU312" s="72" t="b">
        <v>0</v>
      </c>
      <c r="DH312" t="s">
        <v>367</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513</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241</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368</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234</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450</v>
      </c>
      <c r="CM313">
        <v>1</v>
      </c>
      <c r="CN313">
        <v>280</v>
      </c>
      <c r="CO313">
        <v>100</v>
      </c>
      <c r="CP313" s="75">
        <f ca="1">INDIRECT(ADDRESS(11+(MATCH(RIGHT(Table11[[#This Row],[spawner_sku]],LEN(Table11[[#This Row],[spawner_sku]])-FIND("/",Table11[[#This Row],[spawner_sku]])),Table1[Entity Prefab],0)),10,1,1,"Entities"))</f>
        <v>143</v>
      </c>
      <c r="CQ313">
        <f ca="1">ROUND((Table11[[#This Row],[XP]]*Table11[[#This Row],[entity_spawned (AVG)]])*(Table11[[#This Row],[activating_chance]]/100),0)</f>
        <v>143</v>
      </c>
      <c r="CR313" s="145" t="str">
        <f ca="1">INDIRECT(ADDRESS(11+(MATCH(RIGHT(Table11[[#This Row],[spawner_sku]],LEN(Table11[[#This Row],[spawner_sku]])-FIND("/",Table11[[#This Row],[spawner_sku]])),Table28[Entity Prefab],0)),25,1,1,"Entities"))</f>
        <v>yes</v>
      </c>
      <c r="CS313" s="72">
        <v>1</v>
      </c>
      <c r="CT313" s="72">
        <v>1</v>
      </c>
      <c r="CU313" s="72" t="b">
        <v>0</v>
      </c>
      <c r="DH313" t="s">
        <v>367</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513</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241</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368</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557</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451</v>
      </c>
      <c r="CM314">
        <v>1</v>
      </c>
      <c r="CN314">
        <v>300</v>
      </c>
      <c r="CO314">
        <v>100</v>
      </c>
      <c r="CP314" s="75">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5" t="str">
        <f ca="1">INDIRECT(ADDRESS(11+(MATCH(RIGHT(Table11[[#This Row],[spawner_sku]],LEN(Table11[[#This Row],[spawner_sku]])-FIND("/",Table11[[#This Row],[spawner_sku]])),Table28[Entity Prefab],0)),25,1,1,"Entities"))</f>
        <v>yes</v>
      </c>
      <c r="CS314" s="72">
        <v>1</v>
      </c>
      <c r="CT314" s="72">
        <v>1</v>
      </c>
      <c r="CU314" s="72" t="b">
        <v>0</v>
      </c>
      <c r="DH314" t="s">
        <v>509</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513</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241</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229</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368</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557</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451</v>
      </c>
      <c r="CM315">
        <v>1</v>
      </c>
      <c r="CN315">
        <v>300</v>
      </c>
      <c r="CO315">
        <v>100</v>
      </c>
      <c r="CP315" s="75">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5" t="str">
        <f ca="1">INDIRECT(ADDRESS(11+(MATCH(RIGHT(Table11[[#This Row],[spawner_sku]],LEN(Table11[[#This Row],[spawner_sku]])-FIND("/",Table11[[#This Row],[spawner_sku]])),Table28[Entity Prefab],0)),25,1,1,"Entities"))</f>
        <v>yes</v>
      </c>
      <c r="CS315" s="72">
        <v>1</v>
      </c>
      <c r="CT315" s="72">
        <v>1</v>
      </c>
      <c r="CU315" s="72" t="b">
        <v>0</v>
      </c>
      <c r="DH315" t="s">
        <v>509</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513</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241</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229</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368</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557</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451</v>
      </c>
      <c r="CM316">
        <v>1</v>
      </c>
      <c r="CN316">
        <v>300</v>
      </c>
      <c r="CO316">
        <v>100</v>
      </c>
      <c r="CP316" s="75">
        <f ca="1">INDIRECT(ADDRESS(11+(MATCH(RIGHT(Table11[[#This Row],[spawner_sku]],LEN(Table11[[#This Row],[spawner_sku]])-FIND("/",Table11[[#This Row],[spawner_sku]])),Table1[Entity Prefab],0)),10,1,1,"Entities"))</f>
        <v>130</v>
      </c>
      <c r="CQ316">
        <f ca="1">ROUND((Table11[[#This Row],[XP]]*Table11[[#This Row],[entity_spawned (AVG)]])*(Table11[[#This Row],[activating_chance]]/100),0)</f>
        <v>130</v>
      </c>
      <c r="CR316" s="145" t="str">
        <f ca="1">INDIRECT(ADDRESS(11+(MATCH(RIGHT(Table11[[#This Row],[spawner_sku]],LEN(Table11[[#This Row],[spawner_sku]])-FIND("/",Table11[[#This Row],[spawner_sku]])),Table28[Entity Prefab],0)),25,1,1,"Entities"))</f>
        <v>yes</v>
      </c>
      <c r="CS316" s="72">
        <v>1</v>
      </c>
      <c r="CT316" s="72">
        <v>1</v>
      </c>
      <c r="CU316" s="72" t="b">
        <v>0</v>
      </c>
      <c r="DH316" t="s">
        <v>510</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513</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241</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229</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368</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557</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451</v>
      </c>
      <c r="CM317">
        <v>1</v>
      </c>
      <c r="CN317">
        <v>300</v>
      </c>
      <c r="CO317">
        <v>100</v>
      </c>
      <c r="CP317" s="75">
        <f ca="1">INDIRECT(ADDRESS(11+(MATCH(RIGHT(Table11[[#This Row],[spawner_sku]],LEN(Table11[[#This Row],[spawner_sku]])-FIND("/",Table11[[#This Row],[spawner_sku]])),Table1[Entity Prefab],0)),10,1,1,"Entities"))</f>
        <v>130</v>
      </c>
      <c r="CQ317">
        <f ca="1">ROUND((Table11[[#This Row],[XP]]*Table11[[#This Row],[entity_spawned (AVG)]])*(Table11[[#This Row],[activating_chance]]/100),0)</f>
        <v>130</v>
      </c>
      <c r="CR317" s="145" t="str">
        <f ca="1">INDIRECT(ADDRESS(11+(MATCH(RIGHT(Table11[[#This Row],[spawner_sku]],LEN(Table11[[#This Row],[spawner_sku]])-FIND("/",Table11[[#This Row],[spawner_sku]])),Table28[Entity Prefab],0)),25,1,1,"Entities"))</f>
        <v>yes</v>
      </c>
      <c r="CS317" s="72">
        <v>1</v>
      </c>
      <c r="CT317" s="72">
        <v>1</v>
      </c>
      <c r="CU317" s="72" t="b">
        <v>0</v>
      </c>
      <c r="DH317" t="s">
        <v>366</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513</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241</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229</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368</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557</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514</v>
      </c>
      <c r="CM318">
        <v>1</v>
      </c>
      <c r="CN318">
        <v>220</v>
      </c>
      <c r="CO318">
        <v>100</v>
      </c>
      <c r="CP318" s="75">
        <f ca="1">INDIRECT(ADDRESS(11+(MATCH(RIGHT(Table11[[#This Row],[spawner_sku]],LEN(Table11[[#This Row],[spawner_sku]])-FIND("/",Table11[[#This Row],[spawner_sku]])),Table1[Entity Prefab],0)),10,1,1,"Entities"))</f>
        <v>105</v>
      </c>
      <c r="CQ318">
        <f ca="1">ROUND((Table11[[#This Row],[XP]]*Table11[[#This Row],[entity_spawned (AVG)]])*(Table11[[#This Row],[activating_chance]]/100),0)</f>
        <v>105</v>
      </c>
      <c r="CR318" s="145" t="str">
        <f ca="1">INDIRECT(ADDRESS(11+(MATCH(RIGHT(Table11[[#This Row],[spawner_sku]],LEN(Table11[[#This Row],[spawner_sku]])-FIND("/",Table11[[#This Row],[spawner_sku]])),Table28[Entity Prefab],0)),25,1,1,"Entities"))</f>
        <v>yes</v>
      </c>
      <c r="CS318" s="72">
        <v>1</v>
      </c>
      <c r="CT318" s="72">
        <v>1</v>
      </c>
      <c r="CU318" s="72" t="b">
        <v>0</v>
      </c>
      <c r="DH318" t="s">
        <v>366</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513</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241</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229</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368</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496</v>
      </c>
      <c r="CM319">
        <v>1</v>
      </c>
      <c r="CN319">
        <v>350</v>
      </c>
      <c r="CO319">
        <v>100</v>
      </c>
      <c r="CP319" s="75">
        <f ca="1">INDIRECT(ADDRESS(11+(MATCH(RIGHT(Table11[[#This Row],[spawner_sku]],LEN(Table11[[#This Row],[spawner_sku]])-FIND("/",Table11[[#This Row],[spawner_sku]])),Table1[Entity Prefab],0)),10,1,1,"Entities"))</f>
        <v>103</v>
      </c>
      <c r="CQ319">
        <f ca="1">ROUND((Table11[[#This Row],[XP]]*Table11[[#This Row],[entity_spawned (AVG)]])*(Table11[[#This Row],[activating_chance]]/100),0)</f>
        <v>103</v>
      </c>
      <c r="CR319" s="145" t="str">
        <f ca="1">INDIRECT(ADDRESS(11+(MATCH(RIGHT(Table11[[#This Row],[spawner_sku]],LEN(Table11[[#This Row],[spawner_sku]])-FIND("/",Table11[[#This Row],[spawner_sku]])),Table28[Entity Prefab],0)),25,1,1,"Entities"))</f>
        <v>yes</v>
      </c>
      <c r="CS319" s="72">
        <v>1</v>
      </c>
      <c r="CT319" s="72">
        <v>1</v>
      </c>
      <c r="CU319" s="72" t="b">
        <v>0</v>
      </c>
      <c r="DH319" t="s">
        <v>366</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513</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242</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229</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368</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369</v>
      </c>
      <c r="CM320">
        <v>1</v>
      </c>
      <c r="CN320">
        <v>180</v>
      </c>
      <c r="CO320">
        <v>50</v>
      </c>
      <c r="CP320" s="75">
        <f ca="1">INDIRECT(ADDRESS(11+(MATCH(RIGHT(Table11[[#This Row],[spawner_sku]],LEN(Table11[[#This Row],[spawner_sku]])-FIND("/",Table11[[#This Row],[spawner_sku]])),Table1[Entity Prefab],0)),10,1,1,"Entities"))</f>
        <v>75</v>
      </c>
      <c r="CQ320">
        <f ca="1">ROUND((Table11[[#This Row],[XP]]*Table11[[#This Row],[entity_spawned (AVG)]])*(Table11[[#This Row],[activating_chance]]/100),0)</f>
        <v>38</v>
      </c>
      <c r="CR320" s="145" t="str">
        <f ca="1">INDIRECT(ADDRESS(11+(MATCH(RIGHT(Table11[[#This Row],[spawner_sku]],LEN(Table11[[#This Row],[spawner_sku]])-FIND("/",Table11[[#This Row],[spawner_sku]])),Table28[Entity Prefab],0)),25,1,1,"Entities"))</f>
        <v>yes</v>
      </c>
      <c r="CS320" s="72">
        <v>1</v>
      </c>
      <c r="CT320" s="72">
        <v>1</v>
      </c>
      <c r="CU320" s="72" t="b">
        <v>0</v>
      </c>
      <c r="DH320" t="s">
        <v>366</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513</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242</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229</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368</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382</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369</v>
      </c>
      <c r="CM321">
        <v>1</v>
      </c>
      <c r="CN321">
        <v>180</v>
      </c>
      <c r="CO321">
        <v>100</v>
      </c>
      <c r="CP321" s="75">
        <f ca="1">INDIRECT(ADDRESS(11+(MATCH(RIGHT(Table11[[#This Row],[spawner_sku]],LEN(Table11[[#This Row],[spawner_sku]])-FIND("/",Table11[[#This Row],[spawner_sku]])),Table1[Entity Prefab],0)),10,1,1,"Entities"))</f>
        <v>75</v>
      </c>
      <c r="CQ321">
        <f ca="1">ROUND((Table11[[#This Row],[XP]]*Table11[[#This Row],[entity_spawned (AVG)]])*(Table11[[#This Row],[activating_chance]]/100),0)</f>
        <v>75</v>
      </c>
      <c r="CR321" s="145" t="str">
        <f ca="1">INDIRECT(ADDRESS(11+(MATCH(RIGHT(Table11[[#This Row],[spawner_sku]],LEN(Table11[[#This Row],[spawner_sku]])-FIND("/",Table11[[#This Row],[spawner_sku]])),Table28[Entity Prefab],0)),25,1,1,"Entities"))</f>
        <v>yes</v>
      </c>
      <c r="CS321" s="72">
        <v>1</v>
      </c>
      <c r="CT321" s="72">
        <v>1</v>
      </c>
      <c r="CU321" s="72" t="b">
        <v>0</v>
      </c>
      <c r="DH321" t="s">
        <v>366</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513</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242</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229</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368</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382</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512</v>
      </c>
      <c r="CM322">
        <v>1</v>
      </c>
      <c r="CN322">
        <v>150</v>
      </c>
      <c r="CO322">
        <v>80</v>
      </c>
      <c r="CP322" s="75">
        <f ca="1">INDIRECT(ADDRESS(11+(MATCH(RIGHT(Table11[[#This Row],[spawner_sku]],LEN(Table11[[#This Row],[spawner_sku]])-FIND("/",Table11[[#This Row],[spawner_sku]])),Table1[Entity Prefab],0)),10,1,1,"Entities"))</f>
        <v>90</v>
      </c>
      <c r="CQ322">
        <f ca="1">ROUND((Table11[[#This Row],[XP]]*Table11[[#This Row],[entity_spawned (AVG)]])*(Table11[[#This Row],[activating_chance]]/100),0)</f>
        <v>72</v>
      </c>
      <c r="CR322" s="145" t="str">
        <f ca="1">INDIRECT(ADDRESS(11+(MATCH(RIGHT(Table11[[#This Row],[spawner_sku]],LEN(Table11[[#This Row],[spawner_sku]])-FIND("/",Table11[[#This Row],[spawner_sku]])),Table28[Entity Prefab],0)),25,1,1,"Entities"))</f>
        <v>no</v>
      </c>
      <c r="CS322" s="72">
        <v>1</v>
      </c>
      <c r="CT322" s="72">
        <v>1</v>
      </c>
      <c r="CU322" s="72" t="b">
        <v>0</v>
      </c>
      <c r="DH322" t="s">
        <v>366</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512</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242</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229</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233</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382</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512</v>
      </c>
      <c r="CM323">
        <v>1</v>
      </c>
      <c r="CN323">
        <v>165</v>
      </c>
      <c r="CO323">
        <v>100</v>
      </c>
      <c r="CP323" s="75">
        <f ca="1">INDIRECT(ADDRESS(11+(MATCH(RIGHT(Table11[[#This Row],[spawner_sku]],LEN(Table11[[#This Row],[spawner_sku]])-FIND("/",Table11[[#This Row],[spawner_sku]])),Table1[Entity Prefab],0)),10,1,1,"Entities"))</f>
        <v>90</v>
      </c>
      <c r="CQ323">
        <f ca="1">ROUND((Table11[[#This Row],[XP]]*Table11[[#This Row],[entity_spawned (AVG)]])*(Table11[[#This Row],[activating_chance]]/100),0)</f>
        <v>90</v>
      </c>
      <c r="CR323" s="145" t="str">
        <f ca="1">INDIRECT(ADDRESS(11+(MATCH(RIGHT(Table11[[#This Row],[spawner_sku]],LEN(Table11[[#This Row],[spawner_sku]])-FIND("/",Table11[[#This Row],[spawner_sku]])),Table28[Entity Prefab],0)),25,1,1,"Entities"))</f>
        <v>no</v>
      </c>
      <c r="CS323" s="72">
        <v>1</v>
      </c>
      <c r="CT323" s="72">
        <v>1</v>
      </c>
      <c r="CU323" s="72" t="b">
        <v>0</v>
      </c>
      <c r="DH323" t="s">
        <v>366</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512</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242</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229</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233</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382</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512</v>
      </c>
      <c r="CM324">
        <v>1</v>
      </c>
      <c r="CN324">
        <v>140</v>
      </c>
      <c r="CO324">
        <v>60</v>
      </c>
      <c r="CP324" s="75">
        <f ca="1">INDIRECT(ADDRESS(11+(MATCH(RIGHT(Table11[[#This Row],[spawner_sku]],LEN(Table11[[#This Row],[spawner_sku]])-FIND("/",Table11[[#This Row],[spawner_sku]])),Table1[Entity Prefab],0)),10,1,1,"Entities"))</f>
        <v>90</v>
      </c>
      <c r="CQ324">
        <f ca="1">ROUND((Table11[[#This Row],[XP]]*Table11[[#This Row],[entity_spawned (AVG)]])*(Table11[[#This Row],[activating_chance]]/100),0)</f>
        <v>54</v>
      </c>
      <c r="CR324" s="145" t="str">
        <f ca="1">INDIRECT(ADDRESS(11+(MATCH(RIGHT(Table11[[#This Row],[spawner_sku]],LEN(Table11[[#This Row],[spawner_sku]])-FIND("/",Table11[[#This Row],[spawner_sku]])),Table28[Entity Prefab],0)),25,1,1,"Entities"))</f>
        <v>no</v>
      </c>
      <c r="CS324" s="72">
        <v>1</v>
      </c>
      <c r="CT324" s="72">
        <v>1</v>
      </c>
      <c r="CU324" s="72" t="b">
        <v>0</v>
      </c>
      <c r="DH324" t="s">
        <v>366</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512</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242</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229</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5017</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383</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512</v>
      </c>
      <c r="CM325">
        <v>1</v>
      </c>
      <c r="CN325">
        <v>140</v>
      </c>
      <c r="CO325">
        <v>100</v>
      </c>
      <c r="CP325" s="75">
        <f ca="1">INDIRECT(ADDRESS(11+(MATCH(RIGHT(Table11[[#This Row],[spawner_sku]],LEN(Table11[[#This Row],[spawner_sku]])-FIND("/",Table11[[#This Row],[spawner_sku]])),Table1[Entity Prefab],0)),10,1,1,"Entities"))</f>
        <v>90</v>
      </c>
      <c r="CQ325">
        <f ca="1">ROUND((Table11[[#This Row],[XP]]*Table11[[#This Row],[entity_spawned (AVG)]])*(Table11[[#This Row],[activating_chance]]/100),0)</f>
        <v>90</v>
      </c>
      <c r="CR325" s="145" t="str">
        <f ca="1">INDIRECT(ADDRESS(11+(MATCH(RIGHT(Table11[[#This Row],[spawner_sku]],LEN(Table11[[#This Row],[spawner_sku]])-FIND("/",Table11[[#This Row],[spawner_sku]])),Table28[Entity Prefab],0)),25,1,1,"Entities"))</f>
        <v>no</v>
      </c>
      <c r="CS325" s="72">
        <v>1</v>
      </c>
      <c r="CT325" s="72">
        <v>1</v>
      </c>
      <c r="CU325" s="72" t="b">
        <v>0</v>
      </c>
      <c r="DH325" t="s">
        <v>366</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512</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242</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231</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5017</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383</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512</v>
      </c>
      <c r="CM326">
        <v>1</v>
      </c>
      <c r="CN326">
        <v>150</v>
      </c>
      <c r="CO326">
        <v>40</v>
      </c>
      <c r="CP326" s="75">
        <f ca="1">INDIRECT(ADDRESS(11+(MATCH(RIGHT(Table11[[#This Row],[spawner_sku]],LEN(Table11[[#This Row],[spawner_sku]])-FIND("/",Table11[[#This Row],[spawner_sku]])),Table1[Entity Prefab],0)),10,1,1,"Entities"))</f>
        <v>90</v>
      </c>
      <c r="CQ326">
        <f ca="1">ROUND((Table11[[#This Row],[XP]]*Table11[[#This Row],[entity_spawned (AVG)]])*(Table11[[#This Row],[activating_chance]]/100),0)</f>
        <v>36</v>
      </c>
      <c r="CR326" s="145" t="str">
        <f ca="1">INDIRECT(ADDRESS(11+(MATCH(RIGHT(Table11[[#This Row],[spawner_sku]],LEN(Table11[[#This Row],[spawner_sku]])-FIND("/",Table11[[#This Row],[spawner_sku]])),Table28[Entity Prefab],0)),25,1,1,"Entities"))</f>
        <v>no</v>
      </c>
      <c r="CS326" s="72">
        <v>1</v>
      </c>
      <c r="CT326" s="72">
        <v>1</v>
      </c>
      <c r="CU326" s="72" t="b">
        <v>0</v>
      </c>
      <c r="DH326" t="s">
        <v>366</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512</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242</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231</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5017</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383</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512</v>
      </c>
      <c r="CM327">
        <v>1</v>
      </c>
      <c r="CN327">
        <v>150</v>
      </c>
      <c r="CO327">
        <v>100</v>
      </c>
      <c r="CP327" s="75">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5" t="str">
        <f ca="1">INDIRECT(ADDRESS(11+(MATCH(RIGHT(Table11[[#This Row],[spawner_sku]],LEN(Table11[[#This Row],[spawner_sku]])-FIND("/",Table11[[#This Row],[spawner_sku]])),Table28[Entity Prefab],0)),25,1,1,"Entities"))</f>
        <v>no</v>
      </c>
      <c r="CS327" s="72">
        <v>1</v>
      </c>
      <c r="CT327" s="72">
        <v>1</v>
      </c>
      <c r="CU327" s="72" t="b">
        <v>0</v>
      </c>
      <c r="DH327" t="s">
        <v>366</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512</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242</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231</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5017</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383</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3824</v>
      </c>
      <c r="CB328">
        <v>1</v>
      </c>
      <c r="CC328">
        <v>180</v>
      </c>
      <c r="CD328">
        <v>100</v>
      </c>
      <c r="CE328" s="75">
        <f ca="1">INDIRECT(ADDRESS(11+(MATCH(RIGHT(Table35[[#This Row],[spawner_sku]],LEN(Table35[[#This Row],[spawner_sku]])-FIND("/",Table35[[#This Row],[spawner_sku]])),Table1[Entity Prefab],0)),10,1,1,"Entities"))</f>
        <v>83</v>
      </c>
      <c r="CF328" s="75">
        <f ca="1">ROUND((Table35[[#This Row],[XP]]*Table35[[#This Row],[entity_spawned (AVG)]])*(Table35[[#This Row],[activating_chance]]/100),0)</f>
        <v>83</v>
      </c>
      <c r="CG328" s="145" t="str">
        <f ca="1">INDIRECT(ADDRESS(11+(MATCH(RIGHT(Table35[[#This Row],[spawner_sku]],LEN(Table35[[#This Row],[spawner_sku]])-FIND("/",Table35[[#This Row],[spawner_sku]])),Table28[Entity Prefab],0)),24,1,1,"Entities"))</f>
        <v>yes</v>
      </c>
      <c r="CH328">
        <v>1</v>
      </c>
      <c r="CI328">
        <v>1</v>
      </c>
      <c r="CJ328" s="72" t="b">
        <v>0</v>
      </c>
      <c r="CL328" t="s">
        <v>512</v>
      </c>
      <c r="CM328">
        <v>1</v>
      </c>
      <c r="CN328">
        <v>165</v>
      </c>
      <c r="CO328">
        <v>100</v>
      </c>
      <c r="CP328" s="75">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5" t="str">
        <f ca="1">INDIRECT(ADDRESS(11+(MATCH(RIGHT(Table11[[#This Row],[spawner_sku]],LEN(Table11[[#This Row],[spawner_sku]])-FIND("/",Table11[[#This Row],[spawner_sku]])),Table28[Entity Prefab],0)),25,1,1,"Entities"))</f>
        <v>no</v>
      </c>
      <c r="CS328" s="72">
        <v>1</v>
      </c>
      <c r="CT328" s="72">
        <v>1</v>
      </c>
      <c r="CU328" s="72" t="b">
        <v>0</v>
      </c>
      <c r="DH328" t="s">
        <v>8042</v>
      </c>
      <c r="DI328">
        <v>1</v>
      </c>
      <c r="DJ328">
        <v>150</v>
      </c>
      <c r="DK328">
        <v>100</v>
      </c>
      <c r="DL328" s="75">
        <f ca="1">INDIRECT(ADDRESS(11+(MATCH(RIGHT(Table13[[#This Row],[spawner_sku]],LEN(Table13[[#This Row],[spawner_sku]])-FIND("/",Table13[[#This Row],[spawner_sku]])),Table1[Entity Prefab],0)),10,1,1,"Entities"))</f>
        <v>50</v>
      </c>
      <c r="DM328" s="75">
        <f ca="1">ROUND((Table13[[#This Row],[XP]]*Table13[[#This Row],[entity_spawned (AVG)]])*(Table13[[#This Row],[activating_chance]]/100),0)</f>
        <v>50</v>
      </c>
      <c r="DN328" s="145" t="str">
        <f ca="1">INDIRECT(ADDRESS(11+(MATCH(RIGHT(Table13[[#This Row],[spawner_sku]],LEN(Table13[[#This Row],[spawner_sku]])-FIND("/",Table13[[#This Row],[spawner_sku]])),Table28[Entity Prefab],0)),25,1,1,"Entities"))</f>
        <v>no</v>
      </c>
      <c r="DO328" s="72">
        <v>1</v>
      </c>
      <c r="DP328" s="72">
        <v>1</v>
      </c>
      <c r="DQ328" s="72" t="b">
        <v>0</v>
      </c>
      <c r="DS328" t="s">
        <v>512</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242</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231</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5017</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383</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3824</v>
      </c>
      <c r="CB329">
        <v>1</v>
      </c>
      <c r="CC329">
        <v>180</v>
      </c>
      <c r="CD329">
        <v>100</v>
      </c>
      <c r="CE329" s="75">
        <f ca="1">INDIRECT(ADDRESS(11+(MATCH(RIGHT(Table35[[#This Row],[spawner_sku]],LEN(Table35[[#This Row],[spawner_sku]])-FIND("/",Table35[[#This Row],[spawner_sku]])),Table1[Entity Prefab],0)),10,1,1,"Entities"))</f>
        <v>83</v>
      </c>
      <c r="CF329" s="75">
        <f ca="1">ROUND((Table35[[#This Row],[XP]]*Table35[[#This Row],[entity_spawned (AVG)]])*(Table35[[#This Row],[activating_chance]]/100),0)</f>
        <v>83</v>
      </c>
      <c r="CG329" s="145" t="str">
        <f ca="1">INDIRECT(ADDRESS(11+(MATCH(RIGHT(Table35[[#This Row],[spawner_sku]],LEN(Table35[[#This Row],[spawner_sku]])-FIND("/",Table35[[#This Row],[spawner_sku]])),Table28[Entity Prefab],0)),24,1,1,"Entities"))</f>
        <v>yes</v>
      </c>
      <c r="CH329">
        <v>1</v>
      </c>
      <c r="CI329">
        <v>1</v>
      </c>
      <c r="CJ329" s="72" t="b">
        <v>0</v>
      </c>
      <c r="CL329" t="s">
        <v>512</v>
      </c>
      <c r="CM329">
        <v>1</v>
      </c>
      <c r="CN329">
        <v>140</v>
      </c>
      <c r="CO329">
        <v>100</v>
      </c>
      <c r="CP329" s="75">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5" t="str">
        <f ca="1">INDIRECT(ADDRESS(11+(MATCH(RIGHT(Table11[[#This Row],[spawner_sku]],LEN(Table11[[#This Row],[spawner_sku]])-FIND("/",Table11[[#This Row],[spawner_sku]])),Table28[Entity Prefab],0)),25,1,1,"Entities"))</f>
        <v>no</v>
      </c>
      <c r="CS329" s="72">
        <v>1</v>
      </c>
      <c r="CT329" s="72">
        <v>1</v>
      </c>
      <c r="CU329" s="72" t="b">
        <v>0</v>
      </c>
      <c r="DH329" t="s">
        <v>8042</v>
      </c>
      <c r="DI329">
        <v>1</v>
      </c>
      <c r="DJ329">
        <v>150</v>
      </c>
      <c r="DK329">
        <v>100</v>
      </c>
      <c r="DL329" s="75">
        <f ca="1">INDIRECT(ADDRESS(11+(MATCH(RIGHT(Table13[[#This Row],[spawner_sku]],LEN(Table13[[#This Row],[spawner_sku]])-FIND("/",Table13[[#This Row],[spawner_sku]])),Table1[Entity Prefab],0)),10,1,1,"Entities"))</f>
        <v>50</v>
      </c>
      <c r="DM329" s="75">
        <f ca="1">ROUND((Table13[[#This Row],[XP]]*Table13[[#This Row],[entity_spawned (AVG)]])*(Table13[[#This Row],[activating_chance]]/100),0)</f>
        <v>50</v>
      </c>
      <c r="DN329" s="145" t="str">
        <f ca="1">INDIRECT(ADDRESS(11+(MATCH(RIGHT(Table13[[#This Row],[spawner_sku]],LEN(Table13[[#This Row],[spawner_sku]])-FIND("/",Table13[[#This Row],[spawner_sku]])),Table28[Entity Prefab],0)),25,1,1,"Entities"))</f>
        <v>no</v>
      </c>
      <c r="DO329" s="72">
        <v>1</v>
      </c>
      <c r="DP329" s="72">
        <v>1</v>
      </c>
      <c r="DQ329" s="72" t="b">
        <v>0</v>
      </c>
      <c r="DS329" t="s">
        <v>512</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242</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231</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467</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383</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512</v>
      </c>
      <c r="CM330">
        <v>1</v>
      </c>
      <c r="CN330">
        <v>160</v>
      </c>
      <c r="CO330">
        <v>100</v>
      </c>
      <c r="CP330" s="75">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5" t="str">
        <f ca="1">INDIRECT(ADDRESS(11+(MATCH(RIGHT(Table11[[#This Row],[spawner_sku]],LEN(Table11[[#This Row],[spawner_sku]])-FIND("/",Table11[[#This Row],[spawner_sku]])),Table28[Entity Prefab],0)),25,1,1,"Entities"))</f>
        <v>no</v>
      </c>
      <c r="CS330" s="72">
        <v>1</v>
      </c>
      <c r="CT330" s="72">
        <v>1</v>
      </c>
      <c r="CU330" s="72" t="b">
        <v>0</v>
      </c>
      <c r="DH330" t="s">
        <v>8042</v>
      </c>
      <c r="DI330">
        <v>1</v>
      </c>
      <c r="DJ330">
        <v>150</v>
      </c>
      <c r="DK330">
        <v>100</v>
      </c>
      <c r="DL330" s="75">
        <f ca="1">INDIRECT(ADDRESS(11+(MATCH(RIGHT(Table13[[#This Row],[spawner_sku]],LEN(Table13[[#This Row],[spawner_sku]])-FIND("/",Table13[[#This Row],[spawner_sku]])),Table1[Entity Prefab],0)),10,1,1,"Entities"))</f>
        <v>50</v>
      </c>
      <c r="DM330" s="75">
        <f ca="1">ROUND((Table13[[#This Row],[XP]]*Table13[[#This Row],[entity_spawned (AVG)]])*(Table13[[#This Row],[activating_chance]]/100),0)</f>
        <v>50</v>
      </c>
      <c r="DN330" s="145" t="str">
        <f ca="1">INDIRECT(ADDRESS(11+(MATCH(RIGHT(Table13[[#This Row],[spawner_sku]],LEN(Table13[[#This Row],[spawner_sku]])-FIND("/",Table13[[#This Row],[spawner_sku]])),Table28[Entity Prefab],0)),25,1,1,"Entities"))</f>
        <v>no</v>
      </c>
      <c r="DO330" s="72">
        <v>1</v>
      </c>
      <c r="DP330" s="72">
        <v>1</v>
      </c>
      <c r="DQ330" s="72" t="b">
        <v>0</v>
      </c>
      <c r="DS330" t="s">
        <v>512</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242</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231</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467</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512</v>
      </c>
      <c r="CM331">
        <v>1</v>
      </c>
      <c r="CN331">
        <v>165</v>
      </c>
      <c r="CO331">
        <v>100</v>
      </c>
      <c r="CP331" s="75">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5" t="str">
        <f ca="1">INDIRECT(ADDRESS(11+(MATCH(RIGHT(Table11[[#This Row],[spawner_sku]],LEN(Table11[[#This Row],[spawner_sku]])-FIND("/",Table11[[#This Row],[spawner_sku]])),Table28[Entity Prefab],0)),25,1,1,"Entities"))</f>
        <v>no</v>
      </c>
      <c r="CS331" s="72">
        <v>1</v>
      </c>
      <c r="CT331" s="72">
        <v>1</v>
      </c>
      <c r="CU331" s="72" t="b">
        <v>0</v>
      </c>
      <c r="DH331" t="s">
        <v>8042</v>
      </c>
      <c r="DI331">
        <v>1</v>
      </c>
      <c r="DJ331">
        <v>150</v>
      </c>
      <c r="DK331">
        <v>100</v>
      </c>
      <c r="DL331" s="75">
        <f ca="1">INDIRECT(ADDRESS(11+(MATCH(RIGHT(Table13[[#This Row],[spawner_sku]],LEN(Table13[[#This Row],[spawner_sku]])-FIND("/",Table13[[#This Row],[spawner_sku]])),Table1[Entity Prefab],0)),10,1,1,"Entities"))</f>
        <v>50</v>
      </c>
      <c r="DM331" s="75">
        <f ca="1">ROUND((Table13[[#This Row],[XP]]*Table13[[#This Row],[entity_spawned (AVG)]])*(Table13[[#This Row],[activating_chance]]/100),0)</f>
        <v>50</v>
      </c>
      <c r="DN331" s="145" t="str">
        <f ca="1">INDIRECT(ADDRESS(11+(MATCH(RIGHT(Table13[[#This Row],[spawner_sku]],LEN(Table13[[#This Row],[spawner_sku]])-FIND("/",Table13[[#This Row],[spawner_sku]])),Table28[Entity Prefab],0)),25,1,1,"Entities"))</f>
        <v>no</v>
      </c>
      <c r="DO331" s="72">
        <v>1</v>
      </c>
      <c r="DP331" s="72">
        <v>1</v>
      </c>
      <c r="DQ331" s="72" t="b">
        <v>0</v>
      </c>
      <c r="DS331" t="s">
        <v>512</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243</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231</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467</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512</v>
      </c>
      <c r="CM332">
        <v>1</v>
      </c>
      <c r="CN332">
        <v>135</v>
      </c>
      <c r="CO332">
        <v>100</v>
      </c>
      <c r="CP332" s="75">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5" t="str">
        <f ca="1">INDIRECT(ADDRESS(11+(MATCH(RIGHT(Table11[[#This Row],[spawner_sku]],LEN(Table11[[#This Row],[spawner_sku]])-FIND("/",Table11[[#This Row],[spawner_sku]])),Table28[Entity Prefab],0)),25,1,1,"Entities"))</f>
        <v>no</v>
      </c>
      <c r="CS332" s="72">
        <v>1</v>
      </c>
      <c r="CT332" s="72">
        <v>1</v>
      </c>
      <c r="CU332" s="72" t="b">
        <v>0</v>
      </c>
      <c r="DS332" t="s">
        <v>512</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243</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231</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468</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431</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512</v>
      </c>
      <c r="CM333">
        <v>1</v>
      </c>
      <c r="CN333">
        <v>150</v>
      </c>
      <c r="CO333">
        <v>100</v>
      </c>
      <c r="CP333" s="75">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5" t="str">
        <f ca="1">INDIRECT(ADDRESS(11+(MATCH(RIGHT(Table11[[#This Row],[spawner_sku]],LEN(Table11[[#This Row],[spawner_sku]])-FIND("/",Table11[[#This Row],[spawner_sku]])),Table28[Entity Prefab],0)),25,1,1,"Entities"))</f>
        <v>no</v>
      </c>
      <c r="CS333" s="72">
        <v>1</v>
      </c>
      <c r="CT333" s="72">
        <v>1</v>
      </c>
      <c r="CU333" s="72" t="b">
        <v>0</v>
      </c>
      <c r="DS333" t="s">
        <v>512</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243</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231</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468</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431</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512</v>
      </c>
      <c r="CM334">
        <v>1</v>
      </c>
      <c r="CN334">
        <v>150</v>
      </c>
      <c r="CO334">
        <v>100</v>
      </c>
      <c r="CP334" s="75">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5" t="str">
        <f ca="1">INDIRECT(ADDRESS(11+(MATCH(RIGHT(Table11[[#This Row],[spawner_sku]],LEN(Table11[[#This Row],[spawner_sku]])-FIND("/",Table11[[#This Row],[spawner_sku]])),Table28[Entity Prefab],0)),25,1,1,"Entities"))</f>
        <v>no</v>
      </c>
      <c r="CS334" s="72">
        <v>1</v>
      </c>
      <c r="CT334" s="72">
        <v>1</v>
      </c>
      <c r="CU334" s="72" t="b">
        <v>0</v>
      </c>
      <c r="DS334" t="s">
        <v>512</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243</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231</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234</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431</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L335" t="s">
        <v>512</v>
      </c>
      <c r="CM335">
        <v>1</v>
      </c>
      <c r="CN335">
        <v>165</v>
      </c>
      <c r="CO335">
        <v>100</v>
      </c>
      <c r="CP335" s="75">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5" t="str">
        <f ca="1">INDIRECT(ADDRESS(11+(MATCH(RIGHT(Table11[[#This Row],[spawner_sku]],LEN(Table11[[#This Row],[spawner_sku]])-FIND("/",Table11[[#This Row],[spawner_sku]])),Table28[Entity Prefab],0)),25,1,1,"Entities"))</f>
        <v>no</v>
      </c>
      <c r="CS335" s="72">
        <v>1</v>
      </c>
      <c r="CT335" s="72">
        <v>1</v>
      </c>
      <c r="CU335" s="72" t="b">
        <v>0</v>
      </c>
      <c r="DS335" t="s">
        <v>512</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3819</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231</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241</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431</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L336" t="s">
        <v>512</v>
      </c>
      <c r="CM336">
        <v>1</v>
      </c>
      <c r="CN336">
        <v>160</v>
      </c>
      <c r="CO336">
        <v>100</v>
      </c>
      <c r="CP336" s="75">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5" t="str">
        <f ca="1">INDIRECT(ADDRESS(11+(MATCH(RIGHT(Table11[[#This Row],[spawner_sku]],LEN(Table11[[#This Row],[spawner_sku]])-FIND("/",Table11[[#This Row],[spawner_sku]])),Table28[Entity Prefab],0)),25,1,1,"Entities"))</f>
        <v>no</v>
      </c>
      <c r="CS336" s="72">
        <v>1</v>
      </c>
      <c r="CT336" s="72">
        <v>1</v>
      </c>
      <c r="CU336" s="72" t="b">
        <v>0</v>
      </c>
      <c r="DS336" t="s">
        <v>512</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3819</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231</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241</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431</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512</v>
      </c>
      <c r="CM337">
        <v>1</v>
      </c>
      <c r="CN337">
        <v>150</v>
      </c>
      <c r="CO337">
        <v>100</v>
      </c>
      <c r="CP337" s="75">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5" t="str">
        <f ca="1">INDIRECT(ADDRESS(11+(MATCH(RIGHT(Table11[[#This Row],[spawner_sku]],LEN(Table11[[#This Row],[spawner_sku]])-FIND("/",Table11[[#This Row],[spawner_sku]])),Table28[Entity Prefab],0)),25,1,1,"Entities"))</f>
        <v>no</v>
      </c>
      <c r="CS337" s="72">
        <v>1</v>
      </c>
      <c r="CT337" s="72">
        <v>1</v>
      </c>
      <c r="CU337" s="72" t="b">
        <v>0</v>
      </c>
      <c r="DS337" t="s">
        <v>512</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231</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241</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431</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512</v>
      </c>
      <c r="CM338">
        <v>1</v>
      </c>
      <c r="CN338">
        <v>140</v>
      </c>
      <c r="CO338">
        <v>100</v>
      </c>
      <c r="CP338" s="75">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5" t="str">
        <f ca="1">INDIRECT(ADDRESS(11+(MATCH(RIGHT(Table11[[#This Row],[spawner_sku]],LEN(Table11[[#This Row],[spawner_sku]])-FIND("/",Table11[[#This Row],[spawner_sku]])),Table28[Entity Prefab],0)),25,1,1,"Entities"))</f>
        <v>no</v>
      </c>
      <c r="CS338" s="72">
        <v>1</v>
      </c>
      <c r="CT338" s="72">
        <v>1</v>
      </c>
      <c r="CU338" s="72" t="b">
        <v>0</v>
      </c>
      <c r="DS338" t="s">
        <v>512</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232</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241</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425</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512</v>
      </c>
      <c r="CM339">
        <v>1</v>
      </c>
      <c r="CN339">
        <v>160</v>
      </c>
      <c r="CO339">
        <v>100</v>
      </c>
      <c r="CP339" s="75">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5" t="str">
        <f ca="1">INDIRECT(ADDRESS(11+(MATCH(RIGHT(Table11[[#This Row],[spawner_sku]],LEN(Table11[[#This Row],[spawner_sku]])-FIND("/",Table11[[#This Row],[spawner_sku]])),Table28[Entity Prefab],0)),25,1,1,"Entities"))</f>
        <v>no</v>
      </c>
      <c r="CS339" s="72">
        <v>1</v>
      </c>
      <c r="CT339" s="72">
        <v>1</v>
      </c>
      <c r="CU339" s="72" t="b">
        <v>0</v>
      </c>
      <c r="DS339" t="s">
        <v>512</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232</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241</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425</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512</v>
      </c>
      <c r="CM340">
        <v>1</v>
      </c>
      <c r="CN340">
        <v>135</v>
      </c>
      <c r="CO340">
        <v>100</v>
      </c>
      <c r="CP340" s="75">
        <f ca="1">INDIRECT(ADDRESS(11+(MATCH(RIGHT(Table11[[#This Row],[spawner_sku]],LEN(Table11[[#This Row],[spawner_sku]])-FIND("/",Table11[[#This Row],[spawner_sku]])),Table1[Entity Prefab],0)),10,1,1,"Entities"))</f>
        <v>90</v>
      </c>
      <c r="CQ340">
        <f ca="1">ROUND((Table11[[#This Row],[XP]]*Table11[[#This Row],[entity_spawned (AVG)]])*(Table11[[#This Row],[activating_chance]]/100),0)</f>
        <v>90</v>
      </c>
      <c r="CR340" s="145" t="str">
        <f ca="1">INDIRECT(ADDRESS(11+(MATCH(RIGHT(Table11[[#This Row],[spawner_sku]],LEN(Table11[[#This Row],[spawner_sku]])-FIND("/",Table11[[#This Row],[spawner_sku]])),Table28[Entity Prefab],0)),25,1,1,"Entities"))</f>
        <v>no</v>
      </c>
      <c r="CS340" s="72">
        <v>1</v>
      </c>
      <c r="CT340" s="72">
        <v>1</v>
      </c>
      <c r="CU340" s="72" t="b">
        <v>0</v>
      </c>
      <c r="DS340" t="s">
        <v>512</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232</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241</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425</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512</v>
      </c>
      <c r="CM341">
        <v>1</v>
      </c>
      <c r="CN341">
        <v>140</v>
      </c>
      <c r="CO341">
        <v>50</v>
      </c>
      <c r="CP341" s="75">
        <f ca="1">INDIRECT(ADDRESS(11+(MATCH(RIGHT(Table11[[#This Row],[spawner_sku]],LEN(Table11[[#This Row],[spawner_sku]])-FIND("/",Table11[[#This Row],[spawner_sku]])),Table1[Entity Prefab],0)),10,1,1,"Entities"))</f>
        <v>90</v>
      </c>
      <c r="CQ341">
        <f ca="1">ROUND((Table11[[#This Row],[XP]]*Table11[[#This Row],[entity_spawned (AVG)]])*(Table11[[#This Row],[activating_chance]]/100),0)</f>
        <v>45</v>
      </c>
      <c r="CR341" s="145" t="str">
        <f ca="1">INDIRECT(ADDRESS(11+(MATCH(RIGHT(Table11[[#This Row],[spawner_sku]],LEN(Table11[[#This Row],[spawner_sku]])-FIND("/",Table11[[#This Row],[spawner_sku]])),Table28[Entity Prefab],0)),25,1,1,"Entities"))</f>
        <v>no</v>
      </c>
      <c r="CS341" s="72">
        <v>1</v>
      </c>
      <c r="CT341" s="72">
        <v>1</v>
      </c>
      <c r="CU341" s="72" t="b">
        <v>0</v>
      </c>
      <c r="DS341" t="s">
        <v>512</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241</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425</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512</v>
      </c>
      <c r="CM342">
        <v>1</v>
      </c>
      <c r="CN342">
        <v>140</v>
      </c>
      <c r="CO342">
        <v>40</v>
      </c>
      <c r="CP342" s="75">
        <f ca="1">INDIRECT(ADDRESS(11+(MATCH(RIGHT(Table11[[#This Row],[spawner_sku]],LEN(Table11[[#This Row],[spawner_sku]])-FIND("/",Table11[[#This Row],[spawner_sku]])),Table1[Entity Prefab],0)),10,1,1,"Entities"))</f>
        <v>90</v>
      </c>
      <c r="CQ342">
        <f ca="1">ROUND((Table11[[#This Row],[XP]]*Table11[[#This Row],[entity_spawned (AVG)]])*(Table11[[#This Row],[activating_chance]]/100),0)</f>
        <v>36</v>
      </c>
      <c r="CR342" s="145" t="str">
        <f ca="1">INDIRECT(ADDRESS(11+(MATCH(RIGHT(Table11[[#This Row],[spawner_sku]],LEN(Table11[[#This Row],[spawner_sku]])-FIND("/",Table11[[#This Row],[spawner_sku]])),Table28[Entity Prefab],0)),25,1,1,"Entities"))</f>
        <v>no</v>
      </c>
      <c r="CS342" s="72">
        <v>1</v>
      </c>
      <c r="CT342" s="72">
        <v>1</v>
      </c>
      <c r="CU342" s="72" t="b">
        <v>0</v>
      </c>
      <c r="DS342" t="s">
        <v>512</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232</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241</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425</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512</v>
      </c>
      <c r="CM343">
        <v>1</v>
      </c>
      <c r="CN343">
        <v>150</v>
      </c>
      <c r="CO343">
        <v>100</v>
      </c>
      <c r="CP343" s="75">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5" t="str">
        <f ca="1">INDIRECT(ADDRESS(11+(MATCH(RIGHT(Table11[[#This Row],[spawner_sku]],LEN(Table11[[#This Row],[spawner_sku]])-FIND("/",Table11[[#This Row],[spawner_sku]])),Table28[Entity Prefab],0)),25,1,1,"Entities"))</f>
        <v>no</v>
      </c>
      <c r="CS343" s="72">
        <v>1</v>
      </c>
      <c r="CT343" s="72">
        <v>1</v>
      </c>
      <c r="CU343" s="72" t="b">
        <v>0</v>
      </c>
      <c r="DS343" t="s">
        <v>512</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241</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425</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512</v>
      </c>
      <c r="CM344">
        <v>1</v>
      </c>
      <c r="CN344">
        <v>150</v>
      </c>
      <c r="CO344">
        <v>100</v>
      </c>
      <c r="CP344" s="75">
        <f ca="1">INDIRECT(ADDRESS(11+(MATCH(RIGHT(Table11[[#This Row],[spawner_sku]],LEN(Table11[[#This Row],[spawner_sku]])-FIND("/",Table11[[#This Row],[spawner_sku]])),Table1[Entity Prefab],0)),10,1,1,"Entities"))</f>
        <v>90</v>
      </c>
      <c r="CQ344">
        <f ca="1">ROUND((Table11[[#This Row],[XP]]*Table11[[#This Row],[entity_spawned (AVG)]])*(Table11[[#This Row],[activating_chance]]/100),0)</f>
        <v>90</v>
      </c>
      <c r="CR344" s="145" t="str">
        <f ca="1">INDIRECT(ADDRESS(11+(MATCH(RIGHT(Table11[[#This Row],[spawner_sku]],LEN(Table11[[#This Row],[spawner_sku]])-FIND("/",Table11[[#This Row],[spawner_sku]])),Table28[Entity Prefab],0)),25,1,1,"Entities"))</f>
        <v>no</v>
      </c>
      <c r="CS344" s="72">
        <v>1</v>
      </c>
      <c r="CT344" s="72">
        <v>1</v>
      </c>
      <c r="CU344" s="72" t="b">
        <v>0</v>
      </c>
      <c r="DS344" t="s">
        <v>512</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577</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241</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425</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512</v>
      </c>
      <c r="CM345">
        <v>1</v>
      </c>
      <c r="CN345">
        <v>165</v>
      </c>
      <c r="CO345">
        <v>40</v>
      </c>
      <c r="CP345" s="75">
        <f ca="1">INDIRECT(ADDRESS(11+(MATCH(RIGHT(Table11[[#This Row],[spawner_sku]],LEN(Table11[[#This Row],[spawner_sku]])-FIND("/",Table11[[#This Row],[spawner_sku]])),Table1[Entity Prefab],0)),10,1,1,"Entities"))</f>
        <v>90</v>
      </c>
      <c r="CQ345">
        <f ca="1">ROUND((Table11[[#This Row],[XP]]*Table11[[#This Row],[entity_spawned (AVG)]])*(Table11[[#This Row],[activating_chance]]/100),0)</f>
        <v>36</v>
      </c>
      <c r="CR345" s="145" t="str">
        <f ca="1">INDIRECT(ADDRESS(11+(MATCH(RIGHT(Table11[[#This Row],[spawner_sku]],LEN(Table11[[#This Row],[spawner_sku]])-FIND("/",Table11[[#This Row],[spawner_sku]])),Table28[Entity Prefab],0)),25,1,1,"Entities"))</f>
        <v>no</v>
      </c>
      <c r="CS345" s="72">
        <v>1</v>
      </c>
      <c r="CT345" s="72">
        <v>1</v>
      </c>
      <c r="CU345" s="72" t="b">
        <v>0</v>
      </c>
      <c r="DS345" t="s">
        <v>512</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577</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241</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425</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233</v>
      </c>
      <c r="CM346">
        <v>1</v>
      </c>
      <c r="CN346">
        <v>500</v>
      </c>
      <c r="CO346">
        <v>75</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19</v>
      </c>
      <c r="CR346" s="145" t="str">
        <f ca="1">INDIRECT(ADDRESS(11+(MATCH(RIGHT(Table11[[#This Row],[spawner_sku]],LEN(Table11[[#This Row],[spawner_sku]])-FIND("/",Table11[[#This Row],[spawner_sku]])),Table28[Entity Prefab],0)),25,1,1,"Entities"))</f>
        <v>no</v>
      </c>
      <c r="CS346" s="72">
        <v>1</v>
      </c>
      <c r="CT346" s="72">
        <v>1</v>
      </c>
      <c r="CU346" s="72" t="b">
        <v>0</v>
      </c>
      <c r="DS346" t="s">
        <v>512</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577</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241</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435</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233</v>
      </c>
      <c r="CM347">
        <v>1</v>
      </c>
      <c r="CN347">
        <v>500</v>
      </c>
      <c r="CO347">
        <v>50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13</v>
      </c>
      <c r="CR347" s="145" t="str">
        <f ca="1">INDIRECT(ADDRESS(11+(MATCH(RIGHT(Table11[[#This Row],[spawner_sku]],LEN(Table11[[#This Row],[spawner_sku]])-FIND("/",Table11[[#This Row],[spawner_sku]])),Table28[Entity Prefab],0)),25,1,1,"Entities"))</f>
        <v>no</v>
      </c>
      <c r="CS347" s="72">
        <v>1</v>
      </c>
      <c r="CT347" s="72">
        <v>1</v>
      </c>
      <c r="CU347" s="72" t="b">
        <v>0</v>
      </c>
      <c r="DS347" t="s">
        <v>512</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577</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241</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435</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233</v>
      </c>
      <c r="CM348">
        <v>1</v>
      </c>
      <c r="CN348">
        <v>500</v>
      </c>
      <c r="CO348">
        <v>75</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19</v>
      </c>
      <c r="CR348" s="145" t="str">
        <f ca="1">INDIRECT(ADDRESS(11+(MATCH(RIGHT(Table11[[#This Row],[spawner_sku]],LEN(Table11[[#This Row],[spawner_sku]])-FIND("/",Table11[[#This Row],[spawner_sku]])),Table28[Entity Prefab],0)),25,1,1,"Entities"))</f>
        <v>no</v>
      </c>
      <c r="CS348" s="72">
        <v>1</v>
      </c>
      <c r="CT348" s="72">
        <v>1</v>
      </c>
      <c r="CU348" s="72" t="b">
        <v>0</v>
      </c>
      <c r="DS348" t="s">
        <v>512</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577</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241</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435</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233</v>
      </c>
      <c r="CM349">
        <v>1</v>
      </c>
      <c r="CN349">
        <v>500</v>
      </c>
      <c r="CO349">
        <v>50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13</v>
      </c>
      <c r="CR349" s="145" t="str">
        <f ca="1">INDIRECT(ADDRESS(11+(MATCH(RIGHT(Table11[[#This Row],[spawner_sku]],LEN(Table11[[#This Row],[spawner_sku]])-FIND("/",Table11[[#This Row],[spawner_sku]])),Table28[Entity Prefab],0)),25,1,1,"Entities"))</f>
        <v>no</v>
      </c>
      <c r="CS349" s="72">
        <v>1</v>
      </c>
      <c r="CT349" s="72">
        <v>1</v>
      </c>
      <c r="CU349" s="72" t="b">
        <v>0</v>
      </c>
      <c r="DS349" t="s">
        <v>512</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577</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241</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237</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233</v>
      </c>
      <c r="CM350">
        <v>1</v>
      </c>
      <c r="CN350">
        <v>500</v>
      </c>
      <c r="CO350">
        <v>75</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19</v>
      </c>
      <c r="CR350" s="145" t="str">
        <f ca="1">INDIRECT(ADDRESS(11+(MATCH(RIGHT(Table11[[#This Row],[spawner_sku]],LEN(Table11[[#This Row],[spawner_sku]])-FIND("/",Table11[[#This Row],[spawner_sku]])),Table28[Entity Prefab],0)),25,1,1,"Entities"))</f>
        <v>no</v>
      </c>
      <c r="CS350" s="72">
        <v>1</v>
      </c>
      <c r="CT350" s="72">
        <v>1</v>
      </c>
      <c r="CU350" s="72" t="b">
        <v>0</v>
      </c>
      <c r="DS350" t="s">
        <v>512</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577</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242</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237</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233</v>
      </c>
      <c r="CM351">
        <v>1</v>
      </c>
      <c r="CN351">
        <v>500</v>
      </c>
      <c r="CO351">
        <v>50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5" t="str">
        <f ca="1">INDIRECT(ADDRESS(11+(MATCH(RIGHT(Table11[[#This Row],[spawner_sku]],LEN(Table11[[#This Row],[spawner_sku]])-FIND("/",Table11[[#This Row],[spawner_sku]])),Table28[Entity Prefab],0)),25,1,1,"Entities"))</f>
        <v>no</v>
      </c>
      <c r="CS351" s="72">
        <v>1</v>
      </c>
      <c r="CT351" s="72">
        <v>1</v>
      </c>
      <c r="CU351" s="72" t="b">
        <v>0</v>
      </c>
      <c r="DS351" t="s">
        <v>512</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577</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242</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375</v>
      </c>
      <c r="BQ352">
        <v>1</v>
      </c>
      <c r="BR352">
        <v>180</v>
      </c>
      <c r="BS352">
        <v>60</v>
      </c>
      <c r="BT352" s="75">
        <f ca="1">INDIRECT(ADDRESS(11+(MATCH(RIGHT(Table61011[[#This Row],[spawner_sku]],LEN(Table61011[[#This Row],[spawner_sku]])-FIND("/",Table61011[[#This Row],[spawner_sku]])),Table1[Entity Prefab],0)),10,1,1,"Entities"))</f>
        <v>83</v>
      </c>
      <c r="BU352" s="75">
        <f ca="1">ROUND((Table61011[[#This Row],[XP]]*Table61011[[#This Row],[entity_spawned (AVG)]])*(Table61011[[#This Row],[activating_chance]]/100),0)</f>
        <v>50</v>
      </c>
      <c r="BV352" s="72" t="str">
        <f ca="1">INDIRECT(ADDRESS(11+(MATCH(RIGHT(Table61011[[#This Row],[spawner_sku]],LEN(Table61011[[#This Row],[spawner_sku]])-FIND("/",Table61011[[#This Row],[spawner_sku]])),Table28[Entity Prefab],0)),24,1,1,"Entities"))</f>
        <v>no</v>
      </c>
      <c r="BW352" s="72">
        <v>1</v>
      </c>
      <c r="BX352" s="72">
        <v>1</v>
      </c>
      <c r="BY352" s="72" t="b">
        <v>0</v>
      </c>
      <c r="BZ352" s="72"/>
      <c r="CL352" t="s">
        <v>233</v>
      </c>
      <c r="CM352">
        <v>1</v>
      </c>
      <c r="CN352">
        <v>500</v>
      </c>
      <c r="CO352">
        <v>50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5" t="str">
        <f ca="1">INDIRECT(ADDRESS(11+(MATCH(RIGHT(Table11[[#This Row],[spawner_sku]],LEN(Table11[[#This Row],[spawner_sku]])-FIND("/",Table11[[#This Row],[spawner_sku]])),Table28[Entity Prefab],0)),25,1,1,"Entities"))</f>
        <v>no</v>
      </c>
      <c r="CS352" s="72">
        <v>1</v>
      </c>
      <c r="CT352" s="72">
        <v>1</v>
      </c>
      <c r="CU352" s="72" t="b">
        <v>0</v>
      </c>
      <c r="DS352" t="s">
        <v>512</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577</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242</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375</v>
      </c>
      <c r="BQ353">
        <v>1</v>
      </c>
      <c r="BR353">
        <v>240</v>
      </c>
      <c r="BS353">
        <v>60</v>
      </c>
      <c r="BT353" s="75">
        <f ca="1">INDIRECT(ADDRESS(11+(MATCH(RIGHT(Table61011[[#This Row],[spawner_sku]],LEN(Table61011[[#This Row],[spawner_sku]])-FIND("/",Table61011[[#This Row],[spawner_sku]])),Table1[Entity Prefab],0)),10,1,1,"Entities"))</f>
        <v>83</v>
      </c>
      <c r="BU353" s="75">
        <f ca="1">ROUND((Table61011[[#This Row],[XP]]*Table61011[[#This Row],[entity_spawned (AVG)]])*(Table61011[[#This Row],[activating_chance]]/100),0)</f>
        <v>50</v>
      </c>
      <c r="BV353" s="72" t="str">
        <f ca="1">INDIRECT(ADDRESS(11+(MATCH(RIGHT(Table61011[[#This Row],[spawner_sku]],LEN(Table61011[[#This Row],[spawner_sku]])-FIND("/",Table61011[[#This Row],[spawner_sku]])),Table28[Entity Prefab],0)),24,1,1,"Entities"))</f>
        <v>no</v>
      </c>
      <c r="BW353" s="72">
        <v>1</v>
      </c>
      <c r="BX353" s="72">
        <v>1</v>
      </c>
      <c r="BY353" s="72" t="b">
        <v>0</v>
      </c>
      <c r="BZ353" s="72"/>
      <c r="CL353" t="s">
        <v>233</v>
      </c>
      <c r="CM353">
        <v>1</v>
      </c>
      <c r="CN353">
        <v>500</v>
      </c>
      <c r="CO353">
        <v>50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13</v>
      </c>
      <c r="CR353" s="145" t="str">
        <f ca="1">INDIRECT(ADDRESS(11+(MATCH(RIGHT(Table11[[#This Row],[spawner_sku]],LEN(Table11[[#This Row],[spawner_sku]])-FIND("/",Table11[[#This Row],[spawner_sku]])),Table28[Entity Prefab],0)),25,1,1,"Entities"))</f>
        <v>no</v>
      </c>
      <c r="CS353" s="72">
        <v>1</v>
      </c>
      <c r="CT353" s="72">
        <v>1</v>
      </c>
      <c r="CU353" s="72" t="b">
        <v>0</v>
      </c>
      <c r="DS353" t="s">
        <v>512</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365</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375</v>
      </c>
      <c r="BQ354">
        <v>1</v>
      </c>
      <c r="BR354">
        <v>240</v>
      </c>
      <c r="BS354">
        <v>100</v>
      </c>
      <c r="BT354" s="75">
        <f ca="1">INDIRECT(ADDRESS(11+(MATCH(RIGHT(Table61011[[#This Row],[spawner_sku]],LEN(Table61011[[#This Row],[spawner_sku]])-FIND("/",Table61011[[#This Row],[spawner_sku]])),Table1[Entity Prefab],0)),10,1,1,"Entities"))</f>
        <v>83</v>
      </c>
      <c r="BU354" s="75">
        <f ca="1">ROUND((Table61011[[#This Row],[XP]]*Table61011[[#This Row],[entity_spawned (AVG)]])*(Table61011[[#This Row],[activating_chance]]/100),0)</f>
        <v>83</v>
      </c>
      <c r="BV354" s="72" t="str">
        <f ca="1">INDIRECT(ADDRESS(11+(MATCH(RIGHT(Table61011[[#This Row],[spawner_sku]],LEN(Table61011[[#This Row],[spawner_sku]])-FIND("/",Table61011[[#This Row],[spawner_sku]])),Table28[Entity Prefab],0)),24,1,1,"Entities"))</f>
        <v>no</v>
      </c>
      <c r="BW354" s="72">
        <v>1</v>
      </c>
      <c r="BX354" s="72">
        <v>1</v>
      </c>
      <c r="BY354" s="72" t="b">
        <v>0</v>
      </c>
      <c r="BZ354" s="72"/>
      <c r="CL354" t="s">
        <v>233</v>
      </c>
      <c r="CM354">
        <v>1</v>
      </c>
      <c r="CN354">
        <v>500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512</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365</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375</v>
      </c>
      <c r="BQ355">
        <v>2</v>
      </c>
      <c r="BR355">
        <v>190</v>
      </c>
      <c r="BS355">
        <v>70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116</v>
      </c>
      <c r="BV355" s="72" t="str">
        <f ca="1">INDIRECT(ADDRESS(11+(MATCH(RIGHT(Table61011[[#This Row],[spawner_sku]],LEN(Table61011[[#This Row],[spawner_sku]])-FIND("/",Table61011[[#This Row],[spawner_sku]])),Table28[Entity Prefab],0)),24,1,1,"Entities"))</f>
        <v>no</v>
      </c>
      <c r="BW355" s="72">
        <v>2</v>
      </c>
      <c r="BX355" s="72">
        <v>2</v>
      </c>
      <c r="BY355" s="72" t="b">
        <v>0</v>
      </c>
      <c r="BZ355" s="72"/>
      <c r="CL355" t="s">
        <v>233</v>
      </c>
      <c r="CM355">
        <v>1</v>
      </c>
      <c r="CN355">
        <v>500</v>
      </c>
      <c r="CO355">
        <v>75</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5" t="str">
        <f ca="1">INDIRECT(ADDRESS(11+(MATCH(RIGHT(Table11[[#This Row],[spawner_sku]],LEN(Table11[[#This Row],[spawner_sku]])-FIND("/",Table11[[#This Row],[spawner_sku]])),Table28[Entity Prefab],0)),25,1,1,"Entities"))</f>
        <v>no</v>
      </c>
      <c r="CS355" s="72">
        <v>1</v>
      </c>
      <c r="CT355" s="72">
        <v>1</v>
      </c>
      <c r="CU355" s="72" t="b">
        <v>0</v>
      </c>
      <c r="DS355" t="s">
        <v>512</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365</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242</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378</v>
      </c>
      <c r="BQ356">
        <v>1</v>
      </c>
      <c r="BR356">
        <v>100</v>
      </c>
      <c r="BS356">
        <v>100</v>
      </c>
      <c r="BT356" s="75">
        <f ca="1">INDIRECT(ADDRESS(11+(MATCH(RIGHT(Table61011[[#This Row],[spawner_sku]],LEN(Table61011[[#This Row],[spawner_sku]])-FIND("/",Table61011[[#This Row],[spawner_sku]])),Table1[Entity Prefab],0)),10,1,1,"Entities"))</f>
        <v>25</v>
      </c>
      <c r="BU356" s="75">
        <f ca="1">ROUND((Table61011[[#This Row],[XP]]*Table61011[[#This Row],[entity_spawned (AVG)]])*(Table61011[[#This Row],[activating_chance]]/100),0)</f>
        <v>25</v>
      </c>
      <c r="BV356" s="72" t="str">
        <f ca="1">INDIRECT(ADDRESS(11+(MATCH(RIGHT(Table61011[[#This Row],[spawner_sku]],LEN(Table61011[[#This Row],[spawner_sku]])-FIND("/",Table61011[[#This Row],[spawner_sku]])),Table28[Entity Prefab],0)),24,1,1,"Entities"))</f>
        <v>no</v>
      </c>
      <c r="BW356" s="72">
        <v>1</v>
      </c>
      <c r="BX356" s="72">
        <v>1</v>
      </c>
      <c r="BY356" s="72" t="b">
        <v>0</v>
      </c>
      <c r="BZ356" s="72"/>
      <c r="CL356" t="s">
        <v>233</v>
      </c>
      <c r="CM356">
        <v>1</v>
      </c>
      <c r="CN356">
        <v>500</v>
      </c>
      <c r="CO356">
        <v>75</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5" t="str">
        <f ca="1">INDIRECT(ADDRESS(11+(MATCH(RIGHT(Table11[[#This Row],[spawner_sku]],LEN(Table11[[#This Row],[spawner_sku]])-FIND("/",Table11[[#This Row],[spawner_sku]])),Table28[Entity Prefab],0)),25,1,1,"Entities"))</f>
        <v>no</v>
      </c>
      <c r="CS356" s="72">
        <v>1</v>
      </c>
      <c r="CT356" s="72">
        <v>1</v>
      </c>
      <c r="CU356" s="72" t="b">
        <v>0</v>
      </c>
      <c r="DS356" t="s">
        <v>512</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447</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242</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428</v>
      </c>
      <c r="BQ357">
        <v>1</v>
      </c>
      <c r="BR357">
        <v>80</v>
      </c>
      <c r="BS357">
        <v>100</v>
      </c>
      <c r="BT357" s="75">
        <f ca="1">INDIRECT(ADDRESS(11+(MATCH(RIGHT(Table61011[[#This Row],[spawner_sku]],LEN(Table61011[[#This Row],[spawner_sku]])-FIND("/",Table61011[[#This Row],[spawner_sku]])),Table1[Entity Prefab],0)),10,1,1,"Entities"))</f>
        <v>25</v>
      </c>
      <c r="BU357" s="75">
        <f ca="1">ROUND((Table61011[[#This Row],[XP]]*Table61011[[#This Row],[entity_spawned (AVG)]])*(Table61011[[#This Row],[activating_chance]]/100),0)</f>
        <v>25</v>
      </c>
      <c r="BV357" s="72" t="str">
        <f ca="1">INDIRECT(ADDRESS(11+(MATCH(RIGHT(Table61011[[#This Row],[spawner_sku]],LEN(Table61011[[#This Row],[spawner_sku]])-FIND("/",Table61011[[#This Row],[spawner_sku]])),Table28[Entity Prefab],0)),24,1,1,"Entities"))</f>
        <v>no</v>
      </c>
      <c r="BW357" s="72">
        <v>1</v>
      </c>
      <c r="BX357" s="72">
        <v>1</v>
      </c>
      <c r="BY357" s="72" t="b">
        <v>0</v>
      </c>
      <c r="BZ357" s="72"/>
      <c r="CL357" t="s">
        <v>233</v>
      </c>
      <c r="CM357">
        <v>1</v>
      </c>
      <c r="CN357">
        <v>500</v>
      </c>
      <c r="CO357">
        <v>75</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19</v>
      </c>
      <c r="CR357" s="145" t="str">
        <f ca="1">INDIRECT(ADDRESS(11+(MATCH(RIGHT(Table11[[#This Row],[spawner_sku]],LEN(Table11[[#This Row],[spawner_sku]])-FIND("/",Table11[[#This Row],[spawner_sku]])),Table28[Entity Prefab],0)),25,1,1,"Entities"))</f>
        <v>no</v>
      </c>
      <c r="CS357" s="72">
        <v>1</v>
      </c>
      <c r="CT357" s="72">
        <v>1</v>
      </c>
      <c r="CU357" s="72" t="b">
        <v>0</v>
      </c>
      <c r="DS357" t="s">
        <v>512</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447</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242</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428</v>
      </c>
      <c r="BQ358">
        <v>2</v>
      </c>
      <c r="BR358">
        <v>100</v>
      </c>
      <c r="BS358">
        <v>85</v>
      </c>
      <c r="BT358" s="75">
        <f ca="1">INDIRECT(ADDRESS(11+(MATCH(RIGHT(Table61011[[#This Row],[spawner_sku]],LEN(Table61011[[#This Row],[spawner_sku]])-FIND("/",Table61011[[#This Row],[spawner_sku]])),Table1[Entity Prefab],0)),10,1,1,"Entities"))</f>
        <v>25</v>
      </c>
      <c r="BU358" s="75">
        <f ca="1">ROUND((Table61011[[#This Row],[XP]]*Table61011[[#This Row],[entity_spawned (AVG)]])*(Table61011[[#This Row],[activating_chance]]/100),0)</f>
        <v>43</v>
      </c>
      <c r="BV358" s="72" t="str">
        <f ca="1">INDIRECT(ADDRESS(11+(MATCH(RIGHT(Table61011[[#This Row],[spawner_sku]],LEN(Table61011[[#This Row],[spawner_sku]])-FIND("/",Table61011[[#This Row],[spawner_sku]])),Table28[Entity Prefab],0)),24,1,1,"Entities"))</f>
        <v>no</v>
      </c>
      <c r="BW358" s="72">
        <v>2</v>
      </c>
      <c r="BX358" s="72">
        <v>2</v>
      </c>
      <c r="BY358" s="72" t="b">
        <v>0</v>
      </c>
      <c r="BZ358" s="72"/>
      <c r="CL358" t="s">
        <v>233</v>
      </c>
      <c r="CM358">
        <v>1</v>
      </c>
      <c r="CN358">
        <v>500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512</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447</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242</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332</v>
      </c>
      <c r="BQ359">
        <v>1</v>
      </c>
      <c r="BR359">
        <v>150</v>
      </c>
      <c r="BS359">
        <v>100</v>
      </c>
      <c r="BT359" s="75">
        <f ca="1">INDIRECT(ADDRESS(11+(MATCH(RIGHT(Table61011[[#This Row],[spawner_sku]],LEN(Table61011[[#This Row],[spawner_sku]])-FIND("/",Table61011[[#This Row],[spawner_sku]])),Table1[Entity Prefab],0)),10,1,1,"Entities"))</f>
        <v>50</v>
      </c>
      <c r="BU359" s="75">
        <f ca="1">ROUND((Table61011[[#This Row],[XP]]*Table61011[[#This Row],[entity_spawned (AVG)]])*(Table61011[[#This Row],[activating_chance]]/100),0)</f>
        <v>50</v>
      </c>
      <c r="BV359" s="72" t="str">
        <f ca="1">INDIRECT(ADDRESS(11+(MATCH(RIGHT(Table61011[[#This Row],[spawner_sku]],LEN(Table61011[[#This Row],[spawner_sku]])-FIND("/",Table61011[[#This Row],[spawner_sku]])),Table28[Entity Prefab],0)),24,1,1,"Entities"))</f>
        <v>no</v>
      </c>
      <c r="BW359" s="72">
        <v>1</v>
      </c>
      <c r="BX359" s="72">
        <v>1</v>
      </c>
      <c r="BY359" s="72" t="b">
        <v>0</v>
      </c>
      <c r="BZ359" s="72"/>
      <c r="CL359" t="s">
        <v>233</v>
      </c>
      <c r="CM359">
        <v>1</v>
      </c>
      <c r="CN359">
        <v>500</v>
      </c>
      <c r="CO359">
        <v>75</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5" t="str">
        <f ca="1">INDIRECT(ADDRESS(11+(MATCH(RIGHT(Table11[[#This Row],[spawner_sku]],LEN(Table11[[#This Row],[spawner_sku]])-FIND("/",Table11[[#This Row],[spawner_sku]])),Table28[Entity Prefab],0)),25,1,1,"Entities"))</f>
        <v>no</v>
      </c>
      <c r="CS359" s="72">
        <v>1</v>
      </c>
      <c r="CT359" s="72">
        <v>1</v>
      </c>
      <c r="CU359" s="72" t="b">
        <v>0</v>
      </c>
      <c r="DS359" t="s">
        <v>512</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447</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242</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239</v>
      </c>
      <c r="BQ360">
        <v>1</v>
      </c>
      <c r="BR360">
        <v>190</v>
      </c>
      <c r="BS360">
        <v>100</v>
      </c>
      <c r="BT360" s="75">
        <f ca="1">INDIRECT(ADDRESS(11+(MATCH(RIGHT(Table61011[[#This Row],[spawner_sku]],LEN(Table61011[[#This Row],[spawner_sku]])-FIND("/",Table61011[[#This Row],[spawner_sku]])),Table1[Entity Prefab],0)),10,1,1,"Entities"))</f>
        <v>75</v>
      </c>
      <c r="BU360" s="75">
        <f ca="1">ROUND((Table61011[[#This Row],[XP]]*Table61011[[#This Row],[entity_spawned (AVG)]])*(Table61011[[#This Row],[activating_chance]]/100),0)</f>
        <v>75</v>
      </c>
      <c r="BV360" s="72" t="str">
        <f ca="1">INDIRECT(ADDRESS(11+(MATCH(RIGHT(Table61011[[#This Row],[spawner_sku]],LEN(Table61011[[#This Row],[spawner_sku]])-FIND("/",Table61011[[#This Row],[spawner_sku]])),Table28[Entity Prefab],0)),24,1,1,"Entities"))</f>
        <v>no</v>
      </c>
      <c r="BW360" s="72">
        <v>1</v>
      </c>
      <c r="BX360" s="72">
        <v>1</v>
      </c>
      <c r="BY360" s="72" t="b">
        <v>0</v>
      </c>
      <c r="BZ360" s="72"/>
      <c r="CL360" t="s">
        <v>233</v>
      </c>
      <c r="CM360">
        <v>1</v>
      </c>
      <c r="CN360">
        <v>500</v>
      </c>
      <c r="CO360">
        <v>75</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5" t="str">
        <f ca="1">INDIRECT(ADDRESS(11+(MATCH(RIGHT(Table11[[#This Row],[spawner_sku]],LEN(Table11[[#This Row],[spawner_sku]])-FIND("/",Table11[[#This Row],[spawner_sku]])),Table28[Entity Prefab],0)),25,1,1,"Entities"))</f>
        <v>no</v>
      </c>
      <c r="CS360" s="72">
        <v>1</v>
      </c>
      <c r="CT360" s="72">
        <v>1</v>
      </c>
      <c r="CU360" s="72" t="b">
        <v>0</v>
      </c>
      <c r="DS360" t="s">
        <v>512</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447</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242</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239</v>
      </c>
      <c r="BQ361">
        <v>1</v>
      </c>
      <c r="BR361">
        <v>220</v>
      </c>
      <c r="BS361">
        <v>100</v>
      </c>
      <c r="BT361" s="75">
        <f ca="1">INDIRECT(ADDRESS(11+(MATCH(RIGHT(Table61011[[#This Row],[spawner_sku]],LEN(Table61011[[#This Row],[spawner_sku]])-FIND("/",Table61011[[#This Row],[spawner_sku]])),Table1[Entity Prefab],0)),10,1,1,"Entities"))</f>
        <v>75</v>
      </c>
      <c r="BU361" s="75">
        <f ca="1">ROUND((Table61011[[#This Row],[XP]]*Table61011[[#This Row],[entity_spawned (AVG)]])*(Table61011[[#This Row],[activating_chance]]/100),0)</f>
        <v>75</v>
      </c>
      <c r="BV361" s="72" t="str">
        <f ca="1">INDIRECT(ADDRESS(11+(MATCH(RIGHT(Table61011[[#This Row],[spawner_sku]],LEN(Table61011[[#This Row],[spawner_sku]])-FIND("/",Table61011[[#This Row],[spawner_sku]])),Table28[Entity Prefab],0)),24,1,1,"Entities"))</f>
        <v>no</v>
      </c>
      <c r="BW361" s="72">
        <v>1</v>
      </c>
      <c r="BX361" s="72">
        <v>1</v>
      </c>
      <c r="BY361" s="72" t="b">
        <v>0</v>
      </c>
      <c r="BZ361" s="72"/>
      <c r="CL361" t="s">
        <v>233</v>
      </c>
      <c r="CM361">
        <v>1</v>
      </c>
      <c r="CN361">
        <v>500</v>
      </c>
      <c r="CO361">
        <v>75</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19</v>
      </c>
      <c r="CR361" s="145" t="str">
        <f ca="1">INDIRECT(ADDRESS(11+(MATCH(RIGHT(Table11[[#This Row],[spawner_sku]],LEN(Table11[[#This Row],[spawner_sku]])-FIND("/",Table11[[#This Row],[spawner_sku]])),Table28[Entity Prefab],0)),25,1,1,"Entities"))</f>
        <v>no</v>
      </c>
      <c r="CS361" s="72">
        <v>1</v>
      </c>
      <c r="CT361" s="72">
        <v>1</v>
      </c>
      <c r="CU361" s="72" t="b">
        <v>0</v>
      </c>
      <c r="DS361" t="s">
        <v>512</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447</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242</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239</v>
      </c>
      <c r="BQ362">
        <v>1</v>
      </c>
      <c r="BR362">
        <v>220</v>
      </c>
      <c r="BS362">
        <v>100</v>
      </c>
      <c r="BT362" s="75">
        <f ca="1">INDIRECT(ADDRESS(11+(MATCH(RIGHT(Table61011[[#This Row],[spawner_sku]],LEN(Table61011[[#This Row],[spawner_sku]])-FIND("/",Table61011[[#This Row],[spawner_sku]])),Table1[Entity Prefab],0)),10,1,1,"Entities"))</f>
        <v>75</v>
      </c>
      <c r="BU362" s="75">
        <f ca="1">ROUND((Table61011[[#This Row],[XP]]*Table61011[[#This Row],[entity_spawned (AVG)]])*(Table61011[[#This Row],[activating_chance]]/100),0)</f>
        <v>75</v>
      </c>
      <c r="BV362" s="72" t="str">
        <f ca="1">INDIRECT(ADDRESS(11+(MATCH(RIGHT(Table61011[[#This Row],[spawner_sku]],LEN(Table61011[[#This Row],[spawner_sku]])-FIND("/",Table61011[[#This Row],[spawner_sku]])),Table28[Entity Prefab],0)),24,1,1,"Entities"))</f>
        <v>no</v>
      </c>
      <c r="BW362" s="72">
        <v>1</v>
      </c>
      <c r="BX362" s="72">
        <v>1</v>
      </c>
      <c r="BY362" s="72" t="b">
        <v>0</v>
      </c>
      <c r="BZ362" s="72"/>
      <c r="CL362" t="s">
        <v>233</v>
      </c>
      <c r="CM362">
        <v>1</v>
      </c>
      <c r="CN362">
        <v>500</v>
      </c>
      <c r="CO362">
        <v>100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5" t="str">
        <f ca="1">INDIRECT(ADDRESS(11+(MATCH(RIGHT(Table11[[#This Row],[spawner_sku]],LEN(Table11[[#This Row],[spawner_sku]])-FIND("/",Table11[[#This Row],[spawner_sku]])),Table28[Entity Prefab],0)),25,1,1,"Entities"))</f>
        <v>no</v>
      </c>
      <c r="CS362" s="72">
        <v>1</v>
      </c>
      <c r="CT362" s="72">
        <v>1</v>
      </c>
      <c r="CU362" s="72" t="b">
        <v>0</v>
      </c>
      <c r="DS362" t="s">
        <v>512</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447</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242</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239</v>
      </c>
      <c r="BQ363">
        <v>1</v>
      </c>
      <c r="BR363">
        <v>170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233</v>
      </c>
      <c r="CM363">
        <v>1</v>
      </c>
      <c r="CN363">
        <v>500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512</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447</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242</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239</v>
      </c>
      <c r="BQ364">
        <v>1</v>
      </c>
      <c r="BR364">
        <v>220</v>
      </c>
      <c r="BS364">
        <v>30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23</v>
      </c>
      <c r="BV364" s="72" t="str">
        <f ca="1">INDIRECT(ADDRESS(11+(MATCH(RIGHT(Table61011[[#This Row],[spawner_sku]],LEN(Table61011[[#This Row],[spawner_sku]])-FIND("/",Table61011[[#This Row],[spawner_sku]])),Table28[Entity Prefab],0)),24,1,1,"Entities"))</f>
        <v>no</v>
      </c>
      <c r="BW364" s="72">
        <v>1</v>
      </c>
      <c r="BX364" s="72">
        <v>1</v>
      </c>
      <c r="BY364" s="72" t="b">
        <v>0</v>
      </c>
      <c r="BZ364" s="72"/>
      <c r="CL364" t="s">
        <v>233</v>
      </c>
      <c r="CM364">
        <v>1</v>
      </c>
      <c r="CN364">
        <v>500</v>
      </c>
      <c r="CO364">
        <v>75</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19</v>
      </c>
      <c r="CR364" s="145" t="str">
        <f ca="1">INDIRECT(ADDRESS(11+(MATCH(RIGHT(Table11[[#This Row],[spawner_sku]],LEN(Table11[[#This Row],[spawner_sku]])-FIND("/",Table11[[#This Row],[spawner_sku]])),Table28[Entity Prefab],0)),25,1,1,"Entities"))</f>
        <v>no</v>
      </c>
      <c r="CS364" s="72">
        <v>1</v>
      </c>
      <c r="CT364" s="72">
        <v>1</v>
      </c>
      <c r="CU364" s="72" t="b">
        <v>0</v>
      </c>
      <c r="DS364" t="s">
        <v>512</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447</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242</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239</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5017</v>
      </c>
      <c r="CM365">
        <v>1</v>
      </c>
      <c r="CN365">
        <v>5000</v>
      </c>
      <c r="CO365">
        <v>40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10</v>
      </c>
      <c r="CR365" s="145" t="str">
        <f ca="1">INDIRECT(ADDRESS(11+(MATCH(RIGHT(Table11[[#This Row],[spawner_sku]],LEN(Table11[[#This Row],[spawner_sku]])-FIND("/",Table11[[#This Row],[spawner_sku]])),Table28[Entity Prefab],0)),25,1,1,"Entities"))</f>
        <v>no</v>
      </c>
      <c r="CS365" s="72">
        <v>1</v>
      </c>
      <c r="CT365" s="72">
        <v>1</v>
      </c>
      <c r="CU365" s="72" t="b">
        <v>0</v>
      </c>
      <c r="DS365" t="s">
        <v>512</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447</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242</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239</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5017</v>
      </c>
      <c r="CM366">
        <v>1</v>
      </c>
      <c r="CN366">
        <v>5000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512</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448</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242</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239</v>
      </c>
      <c r="BQ367">
        <v>1</v>
      </c>
      <c r="BR367">
        <v>220</v>
      </c>
      <c r="BS367">
        <v>100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75</v>
      </c>
      <c r="BV367" s="72" t="str">
        <f ca="1">INDIRECT(ADDRESS(11+(MATCH(RIGHT(Table61011[[#This Row],[spawner_sku]],LEN(Table61011[[#This Row],[spawner_sku]])-FIND("/",Table61011[[#This Row],[spawner_sku]])),Table28[Entity Prefab],0)),24,1,1,"Entities"))</f>
        <v>no</v>
      </c>
      <c r="BW367" s="72">
        <v>1</v>
      </c>
      <c r="BX367" s="72">
        <v>1</v>
      </c>
      <c r="BY367" s="72" t="b">
        <v>0</v>
      </c>
      <c r="BZ367" s="72"/>
      <c r="CL367" t="s">
        <v>5017</v>
      </c>
      <c r="CM367">
        <v>1</v>
      </c>
      <c r="CN367">
        <v>5000</v>
      </c>
      <c r="CO367">
        <v>40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10</v>
      </c>
      <c r="CR367" s="145" t="str">
        <f ca="1">INDIRECT(ADDRESS(11+(MATCH(RIGHT(Table11[[#This Row],[spawner_sku]],LEN(Table11[[#This Row],[spawner_sku]])-FIND("/",Table11[[#This Row],[spawner_sku]])),Table28[Entity Prefab],0)),25,1,1,"Entities"))</f>
        <v>no</v>
      </c>
      <c r="CS367" s="72">
        <v>1</v>
      </c>
      <c r="CT367" s="72">
        <v>1</v>
      </c>
      <c r="CU367" s="72" t="b">
        <v>0</v>
      </c>
      <c r="DS367" t="s">
        <v>512</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448</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242</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239</v>
      </c>
      <c r="BQ368">
        <v>1</v>
      </c>
      <c r="BR368">
        <v>200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467</v>
      </c>
      <c r="CM368">
        <v>1</v>
      </c>
      <c r="CN368">
        <v>120</v>
      </c>
      <c r="CO368">
        <v>50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5" t="str">
        <f ca="1">INDIRECT(ADDRESS(11+(MATCH(RIGHT(Table11[[#This Row],[spawner_sku]],LEN(Table11[[#This Row],[spawner_sku]])-FIND("/",Table11[[#This Row],[spawner_sku]])),Table28[Entity Prefab],0)),25,1,1,"Entities"))</f>
        <v>no</v>
      </c>
      <c r="CS368" s="72">
        <v>1</v>
      </c>
      <c r="CT368" s="72">
        <v>1</v>
      </c>
      <c r="CU368" s="72" t="b">
        <v>0</v>
      </c>
      <c r="DS368" t="s">
        <v>512</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448</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242</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239</v>
      </c>
      <c r="BQ369">
        <v>1</v>
      </c>
      <c r="BR369">
        <v>200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467</v>
      </c>
      <c r="CM369">
        <v>1</v>
      </c>
      <c r="CN369">
        <v>140</v>
      </c>
      <c r="CO369">
        <v>50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13</v>
      </c>
      <c r="CR369" s="145" t="str">
        <f ca="1">INDIRECT(ADDRESS(11+(MATCH(RIGHT(Table11[[#This Row],[spawner_sku]],LEN(Table11[[#This Row],[spawner_sku]])-FIND("/",Table11[[#This Row],[spawner_sku]])),Table28[Entity Prefab],0)),25,1,1,"Entities"))</f>
        <v>no</v>
      </c>
      <c r="CS369" s="72">
        <v>1</v>
      </c>
      <c r="CT369" s="72">
        <v>1</v>
      </c>
      <c r="CU369" s="72" t="b">
        <v>0</v>
      </c>
      <c r="DS369" t="s">
        <v>512</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448</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242</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239</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467</v>
      </c>
      <c r="CM370">
        <v>2.5</v>
      </c>
      <c r="CN370">
        <v>110</v>
      </c>
      <c r="CO370">
        <v>50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31</v>
      </c>
      <c r="CR370" s="145" t="str">
        <f ca="1">INDIRECT(ADDRESS(11+(MATCH(RIGHT(Table11[[#This Row],[spawner_sku]],LEN(Table11[[#This Row],[spawner_sku]])-FIND("/",Table11[[#This Row],[spawner_sku]])),Table28[Entity Prefab],0)),25,1,1,"Entities"))</f>
        <v>no</v>
      </c>
      <c r="CS370" s="72">
        <v>2</v>
      </c>
      <c r="CT370" s="72">
        <v>3</v>
      </c>
      <c r="CU370" s="72" t="b">
        <v>0</v>
      </c>
      <c r="DS370" t="s">
        <v>512</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242</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239</v>
      </c>
      <c r="BQ371">
        <v>1</v>
      </c>
      <c r="BR371">
        <v>220</v>
      </c>
      <c r="BS371">
        <v>80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60</v>
      </c>
      <c r="BV371" s="72" t="str">
        <f ca="1">INDIRECT(ADDRESS(11+(MATCH(RIGHT(Table61011[[#This Row],[spawner_sku]],LEN(Table61011[[#This Row],[spawner_sku]])-FIND("/",Table61011[[#This Row],[spawner_sku]])),Table28[Entity Prefab],0)),24,1,1,"Entities"))</f>
        <v>no</v>
      </c>
      <c r="BW371" s="72">
        <v>1</v>
      </c>
      <c r="BX371" s="72">
        <v>1</v>
      </c>
      <c r="BY371" s="72" t="b">
        <v>0</v>
      </c>
      <c r="BZ371" s="72"/>
      <c r="CL371" t="s">
        <v>467</v>
      </c>
      <c r="CM371">
        <v>2</v>
      </c>
      <c r="CN371">
        <v>110</v>
      </c>
      <c r="CO371">
        <v>50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25</v>
      </c>
      <c r="CR371" s="145" t="str">
        <f ca="1">INDIRECT(ADDRESS(11+(MATCH(RIGHT(Table11[[#This Row],[spawner_sku]],LEN(Table11[[#This Row],[spawner_sku]])-FIND("/",Table11[[#This Row],[spawner_sku]])),Table28[Entity Prefab],0)),25,1,1,"Entities"))</f>
        <v>no</v>
      </c>
      <c r="CS371" s="72">
        <v>1</v>
      </c>
      <c r="CT371" s="72">
        <v>3</v>
      </c>
      <c r="CU371" s="72" t="b">
        <v>0</v>
      </c>
      <c r="DS371" t="s">
        <v>512</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242</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239</v>
      </c>
      <c r="BQ372">
        <v>1</v>
      </c>
      <c r="BR372">
        <v>170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467</v>
      </c>
      <c r="CM372">
        <v>1</v>
      </c>
      <c r="CN372">
        <v>140</v>
      </c>
      <c r="CO372">
        <v>50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13</v>
      </c>
      <c r="CR372" s="145" t="str">
        <f ca="1">INDIRECT(ADDRESS(11+(MATCH(RIGHT(Table11[[#This Row],[spawner_sku]],LEN(Table11[[#This Row],[spawner_sku]])-FIND("/",Table11[[#This Row],[spawner_sku]])),Table28[Entity Prefab],0)),25,1,1,"Entities"))</f>
        <v>no</v>
      </c>
      <c r="CS372" s="72">
        <v>1</v>
      </c>
      <c r="CT372" s="72">
        <v>1</v>
      </c>
      <c r="CU372" s="72" t="b">
        <v>0</v>
      </c>
      <c r="DS372" t="s">
        <v>512</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242</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239</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467</v>
      </c>
      <c r="CM373">
        <v>2.5</v>
      </c>
      <c r="CN373">
        <v>110</v>
      </c>
      <c r="CO373">
        <v>100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63</v>
      </c>
      <c r="CR373" s="145" t="str">
        <f ca="1">INDIRECT(ADDRESS(11+(MATCH(RIGHT(Table11[[#This Row],[spawner_sku]],LEN(Table11[[#This Row],[spawner_sku]])-FIND("/",Table11[[#This Row],[spawner_sku]])),Table28[Entity Prefab],0)),25,1,1,"Entities"))</f>
        <v>no</v>
      </c>
      <c r="CS373" s="72">
        <v>2</v>
      </c>
      <c r="CT373" s="72">
        <v>3</v>
      </c>
      <c r="CU373" s="72" t="b">
        <v>0</v>
      </c>
      <c r="DS373" t="s">
        <v>512</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242</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239</v>
      </c>
      <c r="BQ374">
        <v>1</v>
      </c>
      <c r="BR374">
        <v>220</v>
      </c>
      <c r="BS374">
        <v>100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75</v>
      </c>
      <c r="BV374" s="72" t="str">
        <f ca="1">INDIRECT(ADDRESS(11+(MATCH(RIGHT(Table61011[[#This Row],[spawner_sku]],LEN(Table61011[[#This Row],[spawner_sku]])-FIND("/",Table61011[[#This Row],[spawner_sku]])),Table28[Entity Prefab],0)),24,1,1,"Entities"))</f>
        <v>no</v>
      </c>
      <c r="BW374" s="72">
        <v>1</v>
      </c>
      <c r="BX374" s="72">
        <v>1</v>
      </c>
      <c r="BY374" s="72" t="b">
        <v>0</v>
      </c>
      <c r="BZ374" s="72"/>
      <c r="CL374" t="s">
        <v>467</v>
      </c>
      <c r="CM374">
        <v>1</v>
      </c>
      <c r="CN374">
        <v>90</v>
      </c>
      <c r="CO374">
        <v>50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5" t="str">
        <f ca="1">INDIRECT(ADDRESS(11+(MATCH(RIGHT(Table11[[#This Row],[spawner_sku]],LEN(Table11[[#This Row],[spawner_sku]])-FIND("/",Table11[[#This Row],[spawner_sku]])),Table28[Entity Prefab],0)),25,1,1,"Entities"))</f>
        <v>no</v>
      </c>
      <c r="CS374" s="72">
        <v>1</v>
      </c>
      <c r="CT374" s="72">
        <v>1</v>
      </c>
      <c r="CU374" s="72" t="b">
        <v>0</v>
      </c>
      <c r="DS374" t="s">
        <v>512</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242</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239</v>
      </c>
      <c r="BQ375">
        <v>1</v>
      </c>
      <c r="BR375">
        <v>220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467</v>
      </c>
      <c r="CM375">
        <v>1</v>
      </c>
      <c r="CN375">
        <v>140</v>
      </c>
      <c r="CO375">
        <v>50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5" t="str">
        <f ca="1">INDIRECT(ADDRESS(11+(MATCH(RIGHT(Table11[[#This Row],[spawner_sku]],LEN(Table11[[#This Row],[spawner_sku]])-FIND("/",Table11[[#This Row],[spawner_sku]])),Table28[Entity Prefab],0)),25,1,1,"Entities"))</f>
        <v>no</v>
      </c>
      <c r="CS375" s="72">
        <v>1</v>
      </c>
      <c r="CT375" s="72">
        <v>1</v>
      </c>
      <c r="CU375" s="72" t="b">
        <v>0</v>
      </c>
      <c r="DS375" t="s">
        <v>512</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242</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239</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467</v>
      </c>
      <c r="CM376">
        <v>1</v>
      </c>
      <c r="CN376">
        <v>120</v>
      </c>
      <c r="CO376">
        <v>50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13</v>
      </c>
      <c r="CR376" s="145" t="str">
        <f ca="1">INDIRECT(ADDRESS(11+(MATCH(RIGHT(Table11[[#This Row],[spawner_sku]],LEN(Table11[[#This Row],[spawner_sku]])-FIND("/",Table11[[#This Row],[spawner_sku]])),Table28[Entity Prefab],0)),25,1,1,"Entities"))</f>
        <v>no</v>
      </c>
      <c r="CS376" s="72">
        <v>1</v>
      </c>
      <c r="CT376" s="72">
        <v>1</v>
      </c>
      <c r="CU376" s="72" t="b">
        <v>0</v>
      </c>
      <c r="DS376" t="s">
        <v>512</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450</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242</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239</v>
      </c>
      <c r="BQ377">
        <v>1</v>
      </c>
      <c r="BR377">
        <v>190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467</v>
      </c>
      <c r="CM377">
        <v>1.5</v>
      </c>
      <c r="CN377">
        <v>140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38</v>
      </c>
      <c r="CR377" s="145" t="str">
        <f ca="1">INDIRECT(ADDRESS(11+(MATCH(RIGHT(Table11[[#This Row],[spawner_sku]],LEN(Table11[[#This Row],[spawner_sku]])-FIND("/",Table11[[#This Row],[spawner_sku]])),Table28[Entity Prefab],0)),25,1,1,"Entities"))</f>
        <v>no</v>
      </c>
      <c r="CS377" s="72">
        <v>1</v>
      </c>
      <c r="CT377" s="72">
        <v>2</v>
      </c>
      <c r="CU377" s="72" t="b">
        <v>0</v>
      </c>
      <c r="DS377" t="s">
        <v>512</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450</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242</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241</v>
      </c>
      <c r="BQ378">
        <v>1</v>
      </c>
      <c r="BR378">
        <v>200</v>
      </c>
      <c r="BS378">
        <v>100</v>
      </c>
      <c r="BT378" s="75">
        <f ca="1">INDIRECT(ADDRESS(11+(MATCH(RIGHT(Table61011[[#This Row],[spawner_sku]],LEN(Table61011[[#This Row],[spawner_sku]])-FIND("/",Table61011[[#This Row],[spawner_sku]])),Table1[Entity Prefab],0)),10,1,1,"Entities"))</f>
        <v>70</v>
      </c>
      <c r="BU378" s="75">
        <f ca="1">ROUND((Table61011[[#This Row],[XP]]*Table61011[[#This Row],[entity_spawned (AVG)]])*(Table61011[[#This Row],[activating_chance]]/100),0)</f>
        <v>70</v>
      </c>
      <c r="BV378" s="72" t="str">
        <f ca="1">INDIRECT(ADDRESS(11+(MATCH(RIGHT(Table61011[[#This Row],[spawner_sku]],LEN(Table61011[[#This Row],[spawner_sku]])-FIND("/",Table61011[[#This Row],[spawner_sku]])),Table28[Entity Prefab],0)),24,1,1,"Entities"))</f>
        <v>yes</v>
      </c>
      <c r="BW378" s="72">
        <v>1</v>
      </c>
      <c r="BX378" s="72">
        <v>1</v>
      </c>
      <c r="BY378" s="72" t="b">
        <v>0</v>
      </c>
      <c r="BZ378" s="72"/>
      <c r="CL378" t="s">
        <v>467</v>
      </c>
      <c r="CM378">
        <v>1</v>
      </c>
      <c r="CN378">
        <v>90</v>
      </c>
      <c r="CO378">
        <v>50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13</v>
      </c>
      <c r="CR378" s="145" t="str">
        <f ca="1">INDIRECT(ADDRESS(11+(MATCH(RIGHT(Table11[[#This Row],[spawner_sku]],LEN(Table11[[#This Row],[spawner_sku]])-FIND("/",Table11[[#This Row],[spawner_sku]])),Table28[Entity Prefab],0)),25,1,1,"Entities"))</f>
        <v>no</v>
      </c>
      <c r="CS378" s="72">
        <v>1</v>
      </c>
      <c r="CT378" s="72">
        <v>1</v>
      </c>
      <c r="CU378" s="72" t="b">
        <v>0</v>
      </c>
      <c r="DS378" t="s">
        <v>512</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451</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242</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241</v>
      </c>
      <c r="BQ379">
        <v>1</v>
      </c>
      <c r="BR379">
        <v>170</v>
      </c>
      <c r="BS379">
        <v>100</v>
      </c>
      <c r="BT379" s="75">
        <f ca="1">INDIRECT(ADDRESS(11+(MATCH(RIGHT(Table61011[[#This Row],[spawner_sku]],LEN(Table61011[[#This Row],[spawner_sku]])-FIND("/",Table61011[[#This Row],[spawner_sku]])),Table1[Entity Prefab],0)),10,1,1,"Entities"))</f>
        <v>70</v>
      </c>
      <c r="BU379" s="75">
        <f ca="1">ROUND((Table61011[[#This Row],[XP]]*Table61011[[#This Row],[entity_spawned (AVG)]])*(Table61011[[#This Row],[activating_chance]]/100),0)</f>
        <v>70</v>
      </c>
      <c r="BV379" s="72" t="str">
        <f ca="1">INDIRECT(ADDRESS(11+(MATCH(RIGHT(Table61011[[#This Row],[spawner_sku]],LEN(Table61011[[#This Row],[spawner_sku]])-FIND("/",Table61011[[#This Row],[spawner_sku]])),Table28[Entity Prefab],0)),24,1,1,"Entities"))</f>
        <v>yes</v>
      </c>
      <c r="BW379" s="72">
        <v>1</v>
      </c>
      <c r="BX379" s="72">
        <v>1</v>
      </c>
      <c r="BY379" s="72" t="b">
        <v>0</v>
      </c>
      <c r="BZ379" s="72"/>
      <c r="CL379" t="s">
        <v>467</v>
      </c>
      <c r="CM379">
        <v>1</v>
      </c>
      <c r="CN379">
        <v>120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512</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451</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242</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241</v>
      </c>
      <c r="BQ380">
        <v>1</v>
      </c>
      <c r="BR380">
        <v>200</v>
      </c>
      <c r="BS380">
        <v>80</v>
      </c>
      <c r="BT380" s="75">
        <f ca="1">INDIRECT(ADDRESS(11+(MATCH(RIGHT(Table61011[[#This Row],[spawner_sku]],LEN(Table61011[[#This Row],[spawner_sku]])-FIND("/",Table61011[[#This Row],[spawner_sku]])),Table1[Entity Prefab],0)),10,1,1,"Entities"))</f>
        <v>70</v>
      </c>
      <c r="BU380" s="75">
        <f ca="1">ROUND((Table61011[[#This Row],[XP]]*Table61011[[#This Row],[entity_spawned (AVG)]])*(Table61011[[#This Row],[activating_chance]]/100),0)</f>
        <v>56</v>
      </c>
      <c r="BV380" s="72" t="str">
        <f ca="1">INDIRECT(ADDRESS(11+(MATCH(RIGHT(Table61011[[#This Row],[spawner_sku]],LEN(Table61011[[#This Row],[spawner_sku]])-FIND("/",Table61011[[#This Row],[spawner_sku]])),Table28[Entity Prefab],0)),24,1,1,"Entities"))</f>
        <v>yes</v>
      </c>
      <c r="BW380" s="72">
        <v>1</v>
      </c>
      <c r="BX380" s="72">
        <v>1</v>
      </c>
      <c r="BY380" s="72" t="b">
        <v>0</v>
      </c>
      <c r="BZ380" s="72"/>
      <c r="CL380" t="s">
        <v>467</v>
      </c>
      <c r="CM380">
        <v>1</v>
      </c>
      <c r="CN380">
        <v>90</v>
      </c>
      <c r="CO380">
        <v>50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13</v>
      </c>
      <c r="CR380" s="145" t="str">
        <f ca="1">INDIRECT(ADDRESS(11+(MATCH(RIGHT(Table11[[#This Row],[spawner_sku]],LEN(Table11[[#This Row],[spawner_sku]])-FIND("/",Table11[[#This Row],[spawner_sku]])),Table28[Entity Prefab],0)),25,1,1,"Entities"))</f>
        <v>no</v>
      </c>
      <c r="CS380" s="72">
        <v>1</v>
      </c>
      <c r="CT380" s="72">
        <v>1</v>
      </c>
      <c r="CU380" s="72" t="b">
        <v>0</v>
      </c>
      <c r="DS380" t="s">
        <v>512</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451</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242</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241</v>
      </c>
      <c r="BQ381">
        <v>1</v>
      </c>
      <c r="BR381">
        <v>170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468</v>
      </c>
      <c r="CM381">
        <v>1</v>
      </c>
      <c r="CN381">
        <v>70</v>
      </c>
      <c r="CO381">
        <v>100</v>
      </c>
      <c r="CP381" s="75">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5" t="str">
        <f ca="1">INDIRECT(ADDRESS(11+(MATCH(RIGHT(Table11[[#This Row],[spawner_sku]],LEN(Table11[[#This Row],[spawner_sku]])-FIND("/",Table11[[#This Row],[spawner_sku]])),Table28[Entity Prefab],0)),25,1,1,"Entities"))</f>
        <v>no</v>
      </c>
      <c r="CS381" s="72">
        <v>1</v>
      </c>
      <c r="CT381" s="72">
        <v>1</v>
      </c>
      <c r="CU381" s="72" t="b">
        <v>0</v>
      </c>
      <c r="DS381" t="s">
        <v>512</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424</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242</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241</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468</v>
      </c>
      <c r="CM382">
        <v>1</v>
      </c>
      <c r="CN382">
        <v>70</v>
      </c>
      <c r="CO382">
        <v>100</v>
      </c>
      <c r="CP382" s="75">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5" t="str">
        <f ca="1">INDIRECT(ADDRESS(11+(MATCH(RIGHT(Table11[[#This Row],[spawner_sku]],LEN(Table11[[#This Row],[spawner_sku]])-FIND("/",Table11[[#This Row],[spawner_sku]])),Table28[Entity Prefab],0)),25,1,1,"Entities"))</f>
        <v>no</v>
      </c>
      <c r="CS382" s="72">
        <v>1</v>
      </c>
      <c r="CT382" s="72">
        <v>1</v>
      </c>
      <c r="CU382" s="72" t="b">
        <v>0</v>
      </c>
      <c r="DS382" t="s">
        <v>512</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424</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242</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241</v>
      </c>
      <c r="BQ383">
        <v>1</v>
      </c>
      <c r="BR383">
        <v>170</v>
      </c>
      <c r="BS383">
        <v>100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70</v>
      </c>
      <c r="BV383" s="72" t="str">
        <f ca="1">INDIRECT(ADDRESS(11+(MATCH(RIGHT(Table61011[[#This Row],[spawner_sku]],LEN(Table61011[[#This Row],[spawner_sku]])-FIND("/",Table61011[[#This Row],[spawner_sku]])),Table28[Entity Prefab],0)),24,1,1,"Entities"))</f>
        <v>yes</v>
      </c>
      <c r="BW383" s="72">
        <v>1</v>
      </c>
      <c r="BX383" s="72">
        <v>1</v>
      </c>
      <c r="BY383" s="72" t="b">
        <v>0</v>
      </c>
      <c r="BZ383" s="72"/>
      <c r="CL383" t="s">
        <v>468</v>
      </c>
      <c r="CM383">
        <v>1</v>
      </c>
      <c r="CN383">
        <v>70</v>
      </c>
      <c r="CO383">
        <v>100</v>
      </c>
      <c r="CP383" s="75">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5" t="str">
        <f ca="1">INDIRECT(ADDRESS(11+(MATCH(RIGHT(Table11[[#This Row],[spawner_sku]],LEN(Table11[[#This Row],[spawner_sku]])-FIND("/",Table11[[#This Row],[spawner_sku]])),Table28[Entity Prefab],0)),25,1,1,"Entities"))</f>
        <v>no</v>
      </c>
      <c r="CS383" s="72">
        <v>1</v>
      </c>
      <c r="CT383" s="72">
        <v>1</v>
      </c>
      <c r="CU383" s="72" t="b">
        <v>0</v>
      </c>
      <c r="DS383" t="s">
        <v>512</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424</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242</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241</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468</v>
      </c>
      <c r="CM384">
        <v>1</v>
      </c>
      <c r="CN384">
        <v>70</v>
      </c>
      <c r="CO384">
        <v>100</v>
      </c>
      <c r="CP384" s="75">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5" t="str">
        <f ca="1">INDIRECT(ADDRESS(11+(MATCH(RIGHT(Table11[[#This Row],[spawner_sku]],LEN(Table11[[#This Row],[spawner_sku]])-FIND("/",Table11[[#This Row],[spawner_sku]])),Table28[Entity Prefab],0)),25,1,1,"Entities"))</f>
        <v>no</v>
      </c>
      <c r="CS384" s="72">
        <v>1</v>
      </c>
      <c r="CT384" s="72">
        <v>1</v>
      </c>
      <c r="CU384" s="72" t="b">
        <v>0</v>
      </c>
      <c r="DS384" t="s">
        <v>512</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424</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242</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241</v>
      </c>
      <c r="BQ385">
        <v>1</v>
      </c>
      <c r="BR385">
        <v>200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468</v>
      </c>
      <c r="CM385">
        <v>1</v>
      </c>
      <c r="CN385">
        <v>70</v>
      </c>
      <c r="CO385">
        <v>100</v>
      </c>
      <c r="CP385" s="75">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5" t="str">
        <f ca="1">INDIRECT(ADDRESS(11+(MATCH(RIGHT(Table11[[#This Row],[spawner_sku]],LEN(Table11[[#This Row],[spawner_sku]])-FIND("/",Table11[[#This Row],[spawner_sku]])),Table28[Entity Prefab],0)),25,1,1,"Entities"))</f>
        <v>no</v>
      </c>
      <c r="CS385" s="72">
        <v>1</v>
      </c>
      <c r="CT385" s="72">
        <v>1</v>
      </c>
      <c r="CU385" s="72" t="b">
        <v>0</v>
      </c>
      <c r="DS385" t="s">
        <v>512</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424</v>
      </c>
      <c r="C386">
        <v>4</v>
      </c>
      <c r="D386">
        <v>170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242</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241</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468</v>
      </c>
      <c r="CM386">
        <v>1</v>
      </c>
      <c r="CN386">
        <v>70</v>
      </c>
      <c r="CO386">
        <v>100</v>
      </c>
      <c r="CP386" s="75">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5" t="str">
        <f ca="1">INDIRECT(ADDRESS(11+(MATCH(RIGHT(Table11[[#This Row],[spawner_sku]],LEN(Table11[[#This Row],[spawner_sku]])-FIND("/",Table11[[#This Row],[spawner_sku]])),Table28[Entity Prefab],0)),25,1,1,"Entities"))</f>
        <v>no</v>
      </c>
      <c r="CS386" s="72">
        <v>1</v>
      </c>
      <c r="CT386" s="72">
        <v>1</v>
      </c>
      <c r="CU386" s="72" t="b">
        <v>0</v>
      </c>
      <c r="DS386" t="s">
        <v>512</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424</v>
      </c>
      <c r="C387">
        <v>4</v>
      </c>
      <c r="D387">
        <v>190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242</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241</v>
      </c>
      <c r="BQ387">
        <v>1</v>
      </c>
      <c r="BR387">
        <v>170</v>
      </c>
      <c r="BS387">
        <v>80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56</v>
      </c>
      <c r="BV387" s="72" t="str">
        <f ca="1">INDIRECT(ADDRESS(11+(MATCH(RIGHT(Table61011[[#This Row],[spawner_sku]],LEN(Table61011[[#This Row],[spawner_sku]])-FIND("/",Table61011[[#This Row],[spawner_sku]])),Table28[Entity Prefab],0)),24,1,1,"Entities"))</f>
        <v>yes</v>
      </c>
      <c r="BW387" s="72">
        <v>1</v>
      </c>
      <c r="BX387" s="72">
        <v>1</v>
      </c>
      <c r="BY387" s="72" t="b">
        <v>0</v>
      </c>
      <c r="BZ387" s="72"/>
      <c r="CL387" t="s">
        <v>468</v>
      </c>
      <c r="CM387">
        <v>1</v>
      </c>
      <c r="CN387">
        <v>70</v>
      </c>
      <c r="CO387">
        <v>100</v>
      </c>
      <c r="CP387" s="75">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5" t="str">
        <f ca="1">INDIRECT(ADDRESS(11+(MATCH(RIGHT(Table11[[#This Row],[spawner_sku]],LEN(Table11[[#This Row],[spawner_sku]])-FIND("/",Table11[[#This Row],[spawner_sku]])),Table28[Entity Prefab],0)),25,1,1,"Entities"))</f>
        <v>no</v>
      </c>
      <c r="CS387" s="72">
        <v>1</v>
      </c>
      <c r="CT387" s="72">
        <v>1</v>
      </c>
      <c r="CU387" s="72" t="b">
        <v>0</v>
      </c>
      <c r="DS387" t="s">
        <v>512</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424</v>
      </c>
      <c r="C388">
        <v>4</v>
      </c>
      <c r="D388">
        <v>200</v>
      </c>
      <c r="E388">
        <v>80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242</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150</v>
      </c>
      <c r="BS388">
        <v>100</v>
      </c>
      <c r="BT388" s="75">
        <f ca="1">INDIRECT(ADDRESS(11+(MATCH(RIGHT(Table61011[[#This Row],[spawner_sku]],LEN(Table61011[[#This Row],[spawner_sku]])-FIND("/",Table61011[[#This Row],[spawner_sku]])),Table1[Entity Prefab],0)),10,1,1,"Entities"))</f>
        <v>25</v>
      </c>
      <c r="BU388" s="75">
        <f ca="1">ROUND((Table61011[[#This Row],[XP]]*Table61011[[#This Row],[entity_spawned (AVG)]])*(Table61011[[#This Row],[activating_chance]]/100),0)</f>
        <v>25</v>
      </c>
      <c r="BV388" s="72" t="str">
        <f ca="1">INDIRECT(ADDRESS(11+(MATCH(RIGHT(Table61011[[#This Row],[spawner_sku]],LEN(Table61011[[#This Row],[spawner_sku]])-FIND("/",Table61011[[#This Row],[spawner_sku]])),Table28[Entity Prefab],0)),24,1,1,"Entities"))</f>
        <v>no</v>
      </c>
      <c r="BW388" s="72">
        <v>1</v>
      </c>
      <c r="BX388" s="72">
        <v>1</v>
      </c>
      <c r="BY388" s="72" t="b">
        <v>0</v>
      </c>
      <c r="BZ388" s="72"/>
      <c r="CL388" t="s">
        <v>468</v>
      </c>
      <c r="CM388">
        <v>1</v>
      </c>
      <c r="CN388">
        <v>70</v>
      </c>
      <c r="CO388">
        <v>100</v>
      </c>
      <c r="CP388" s="75">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5" t="str">
        <f ca="1">INDIRECT(ADDRESS(11+(MATCH(RIGHT(Table11[[#This Row],[spawner_sku]],LEN(Table11[[#This Row],[spawner_sku]])-FIND("/",Table11[[#This Row],[spawner_sku]])),Table28[Entity Prefab],0)),25,1,1,"Entities"))</f>
        <v>no</v>
      </c>
      <c r="CS388" s="72">
        <v>1</v>
      </c>
      <c r="CT388" s="72">
        <v>1</v>
      </c>
      <c r="CU388" s="72" t="b">
        <v>0</v>
      </c>
      <c r="DS388" t="s">
        <v>512</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424</v>
      </c>
      <c r="C389">
        <v>1.5</v>
      </c>
      <c r="D389">
        <v>190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1</v>
      </c>
      <c r="J389" s="72">
        <v>2</v>
      </c>
      <c r="K389" s="72" t="b">
        <v>0</v>
      </c>
      <c r="AI389" t="s">
        <v>242</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200</v>
      </c>
      <c r="BS389">
        <v>100</v>
      </c>
      <c r="BT389" s="75">
        <f ca="1">INDIRECT(ADDRESS(11+(MATCH(RIGHT(Table61011[[#This Row],[spawner_sku]],LEN(Table61011[[#This Row],[spawner_sku]])-FIND("/",Table61011[[#This Row],[spawner_sku]])),Table1[Entity Prefab],0)),10,1,1,"Entities"))</f>
        <v>25</v>
      </c>
      <c r="BU389" s="75">
        <f ca="1">ROUND((Table61011[[#This Row],[XP]]*Table61011[[#This Row],[entity_spawned (AVG)]])*(Table61011[[#This Row],[activating_chance]]/100),0)</f>
        <v>25</v>
      </c>
      <c r="BV389" s="72" t="str">
        <f ca="1">INDIRECT(ADDRESS(11+(MATCH(RIGHT(Table61011[[#This Row],[spawner_sku]],LEN(Table61011[[#This Row],[spawner_sku]])-FIND("/",Table61011[[#This Row],[spawner_sku]])),Table28[Entity Prefab],0)),24,1,1,"Entities"))</f>
        <v>no</v>
      </c>
      <c r="BW389" s="72">
        <v>1</v>
      </c>
      <c r="BX389" s="72">
        <v>1</v>
      </c>
      <c r="BY389" s="72" t="b">
        <v>0</v>
      </c>
      <c r="BZ389" s="72"/>
      <c r="CL389" t="s">
        <v>468</v>
      </c>
      <c r="CM389">
        <v>1</v>
      </c>
      <c r="CN389">
        <v>70</v>
      </c>
      <c r="CO389">
        <v>100</v>
      </c>
      <c r="CP389" s="75">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5" t="str">
        <f ca="1">INDIRECT(ADDRESS(11+(MATCH(RIGHT(Table11[[#This Row],[spawner_sku]],LEN(Table11[[#This Row],[spawner_sku]])-FIND("/",Table11[[#This Row],[spawner_sku]])),Table28[Entity Prefab],0)),25,1,1,"Entities"))</f>
        <v>no</v>
      </c>
      <c r="CS389" s="72">
        <v>1</v>
      </c>
      <c r="CT389" s="72">
        <v>1</v>
      </c>
      <c r="CU389" s="72" t="b">
        <v>0</v>
      </c>
      <c r="DS389" t="s">
        <v>512</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424</v>
      </c>
      <c r="C390">
        <v>2.5</v>
      </c>
      <c r="D390">
        <v>180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2</v>
      </c>
      <c r="J390" s="72">
        <v>3</v>
      </c>
      <c r="K390" s="72" t="b">
        <v>0</v>
      </c>
      <c r="AI390" t="s">
        <v>242</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200</v>
      </c>
      <c r="BS390">
        <v>100</v>
      </c>
      <c r="BT390" s="75">
        <f ca="1">INDIRECT(ADDRESS(11+(MATCH(RIGHT(Table61011[[#This Row],[spawner_sku]],LEN(Table61011[[#This Row],[spawner_sku]])-FIND("/",Table61011[[#This Row],[spawner_sku]])),Table1[Entity Prefab],0)),10,1,1,"Entities"))</f>
        <v>25</v>
      </c>
      <c r="BU390" s="75">
        <f ca="1">ROUND((Table61011[[#This Row],[XP]]*Table61011[[#This Row],[entity_spawned (AVG)]])*(Table61011[[#This Row],[activating_chance]]/100),0)</f>
        <v>25</v>
      </c>
      <c r="BV390" s="72" t="str">
        <f ca="1">INDIRECT(ADDRESS(11+(MATCH(RIGHT(Table61011[[#This Row],[spawner_sku]],LEN(Table61011[[#This Row],[spawner_sku]])-FIND("/",Table61011[[#This Row],[spawner_sku]])),Table28[Entity Prefab],0)),24,1,1,"Entities"))</f>
        <v>no</v>
      </c>
      <c r="BW390" s="72">
        <v>1</v>
      </c>
      <c r="BX390" s="72">
        <v>1</v>
      </c>
      <c r="BY390" s="72" t="b">
        <v>0</v>
      </c>
      <c r="BZ390" s="72"/>
      <c r="CL390" t="s">
        <v>468</v>
      </c>
      <c r="CM390">
        <v>1</v>
      </c>
      <c r="CN390">
        <v>70</v>
      </c>
      <c r="CO390">
        <v>100</v>
      </c>
      <c r="CP390" s="75">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5" t="str">
        <f ca="1">INDIRECT(ADDRESS(11+(MATCH(RIGHT(Table11[[#This Row],[spawner_sku]],LEN(Table11[[#This Row],[spawner_sku]])-FIND("/",Table11[[#This Row],[spawner_sku]])),Table28[Entity Prefab],0)),25,1,1,"Entities"))</f>
        <v>no</v>
      </c>
      <c r="CS390" s="72">
        <v>1</v>
      </c>
      <c r="CT390" s="72">
        <v>1</v>
      </c>
      <c r="CU390" s="72" t="b">
        <v>0</v>
      </c>
      <c r="DS390" t="s">
        <v>512</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424</v>
      </c>
      <c r="C391">
        <v>4</v>
      </c>
      <c r="D391">
        <v>190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242</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242</v>
      </c>
      <c r="BQ391">
        <v>1</v>
      </c>
      <c r="BR391">
        <v>180</v>
      </c>
      <c r="BS391">
        <v>30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8</v>
      </c>
      <c r="BV391" s="72" t="str">
        <f ca="1">INDIRECT(ADDRESS(11+(MATCH(RIGHT(Table61011[[#This Row],[spawner_sku]],LEN(Table61011[[#This Row],[spawner_sku]])-FIND("/",Table61011[[#This Row],[spawner_sku]])),Table28[Entity Prefab],0)),24,1,1,"Entities"))</f>
        <v>no</v>
      </c>
      <c r="BW391" s="72">
        <v>1</v>
      </c>
      <c r="BX391" s="72">
        <v>1</v>
      </c>
      <c r="BY391" s="72" t="b">
        <v>0</v>
      </c>
      <c r="BZ391" s="72"/>
      <c r="CL391" t="s">
        <v>468</v>
      </c>
      <c r="CM391">
        <v>1</v>
      </c>
      <c r="CN391">
        <v>70</v>
      </c>
      <c r="CO391">
        <v>100</v>
      </c>
      <c r="CP391" s="75">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5" t="str">
        <f ca="1">INDIRECT(ADDRESS(11+(MATCH(RIGHT(Table11[[#This Row],[spawner_sku]],LEN(Table11[[#This Row],[spawner_sku]])-FIND("/",Table11[[#This Row],[spawner_sku]])),Table28[Entity Prefab],0)),25,1,1,"Entities"))</f>
        <v>no</v>
      </c>
      <c r="CS391" s="72">
        <v>1</v>
      </c>
      <c r="CT391" s="72">
        <v>1</v>
      </c>
      <c r="CU391" s="72" t="b">
        <v>0</v>
      </c>
      <c r="DS391" t="s">
        <v>512</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424</v>
      </c>
      <c r="C392">
        <v>1.5</v>
      </c>
      <c r="D392">
        <v>190</v>
      </c>
      <c r="E392">
        <v>80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242</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242</v>
      </c>
      <c r="BQ392">
        <v>1</v>
      </c>
      <c r="BR392">
        <v>150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468</v>
      </c>
      <c r="CM392">
        <v>1</v>
      </c>
      <c r="CN392">
        <v>70</v>
      </c>
      <c r="CO392">
        <v>100</v>
      </c>
      <c r="CP392" s="75">
        <f ca="1">INDIRECT(ADDRESS(11+(MATCH(RIGHT(Table11[[#This Row],[spawner_sku]],LEN(Table11[[#This Row],[spawner_sku]])-FIND("/",Table11[[#This Row],[spawner_sku]])),Table1[Entity Prefab],0)),10,1,1,"Entities"))</f>
        <v>75</v>
      </c>
      <c r="CQ392">
        <f ca="1">ROUND((Table11[[#This Row],[XP]]*Table11[[#This Row],[entity_spawned (AVG)]])*(Table11[[#This Row],[activating_chance]]/100),0)</f>
        <v>75</v>
      </c>
      <c r="CR392" s="145" t="str">
        <f ca="1">INDIRECT(ADDRESS(11+(MATCH(RIGHT(Table11[[#This Row],[spawner_sku]],LEN(Table11[[#This Row],[spawner_sku]])-FIND("/",Table11[[#This Row],[spawner_sku]])),Table28[Entity Prefab],0)),25,1,1,"Entities"))</f>
        <v>no</v>
      </c>
      <c r="CS392" s="72">
        <v>1</v>
      </c>
      <c r="CT392" s="72">
        <v>1</v>
      </c>
      <c r="CU392" s="72" t="b">
        <v>0</v>
      </c>
      <c r="DS392" t="s">
        <v>512</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424</v>
      </c>
      <c r="C393">
        <v>4</v>
      </c>
      <c r="D393">
        <v>170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4</v>
      </c>
      <c r="J393" s="72">
        <v>4</v>
      </c>
      <c r="K393" s="72" t="b">
        <v>0</v>
      </c>
      <c r="AI393" t="s">
        <v>242</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2</v>
      </c>
      <c r="BR393">
        <v>200</v>
      </c>
      <c r="BS393">
        <v>60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30</v>
      </c>
      <c r="BV393" s="72" t="str">
        <f ca="1">INDIRECT(ADDRESS(11+(MATCH(RIGHT(Table61011[[#This Row],[spawner_sku]],LEN(Table61011[[#This Row],[spawner_sku]])-FIND("/",Table61011[[#This Row],[spawner_sku]])),Table28[Entity Prefab],0)),24,1,1,"Entities"))</f>
        <v>no</v>
      </c>
      <c r="BW393" s="72">
        <v>2</v>
      </c>
      <c r="BX393" s="72">
        <v>2</v>
      </c>
      <c r="BY393" s="72" t="b">
        <v>0</v>
      </c>
      <c r="BZ393" s="72"/>
      <c r="CL393" t="s">
        <v>383</v>
      </c>
      <c r="CM393">
        <v>1</v>
      </c>
      <c r="CN393">
        <v>300</v>
      </c>
      <c r="CO393">
        <v>100</v>
      </c>
      <c r="CP393" s="75">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5" t="str">
        <f ca="1">INDIRECT(ADDRESS(11+(MATCH(RIGHT(Table11[[#This Row],[spawner_sku]],LEN(Table11[[#This Row],[spawner_sku]])-FIND("/",Table11[[#This Row],[spawner_sku]])),Table28[Entity Prefab],0)),25,1,1,"Entities"))</f>
        <v>yes</v>
      </c>
      <c r="CS393" s="72">
        <v>1</v>
      </c>
      <c r="CT393" s="72">
        <v>1</v>
      </c>
      <c r="CU393" s="72" t="b">
        <v>0</v>
      </c>
      <c r="DS393" t="s">
        <v>512</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424</v>
      </c>
      <c r="C394">
        <v>1.5</v>
      </c>
      <c r="D394">
        <v>180</v>
      </c>
      <c r="E394">
        <v>80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1</v>
      </c>
      <c r="J394" s="72">
        <v>2</v>
      </c>
      <c r="K394" s="72" t="b">
        <v>0</v>
      </c>
      <c r="AI394" t="s">
        <v>242</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242</v>
      </c>
      <c r="BQ394">
        <v>1</v>
      </c>
      <c r="BR394">
        <v>200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383</v>
      </c>
      <c r="CM394">
        <v>1</v>
      </c>
      <c r="CN394">
        <v>300</v>
      </c>
      <c r="CO394">
        <v>100</v>
      </c>
      <c r="CP394" s="75">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5" t="str">
        <f ca="1">INDIRECT(ADDRESS(11+(MATCH(RIGHT(Table11[[#This Row],[spawner_sku]],LEN(Table11[[#This Row],[spawner_sku]])-FIND("/",Table11[[#This Row],[spawner_sku]])),Table28[Entity Prefab],0)),25,1,1,"Entities"))</f>
        <v>yes</v>
      </c>
      <c r="CS394" s="72">
        <v>1</v>
      </c>
      <c r="CT394" s="72">
        <v>1</v>
      </c>
      <c r="CU394" s="72" t="b">
        <v>0</v>
      </c>
      <c r="DS394" t="s">
        <v>512</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424</v>
      </c>
      <c r="C395">
        <v>4</v>
      </c>
      <c r="D395">
        <v>160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4</v>
      </c>
      <c r="J395" s="72">
        <v>4</v>
      </c>
      <c r="K395" s="72" t="b">
        <v>0</v>
      </c>
      <c r="AI395" t="s">
        <v>242</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180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383</v>
      </c>
      <c r="CM395">
        <v>1</v>
      </c>
      <c r="CN395">
        <v>300</v>
      </c>
      <c r="CO395">
        <v>100</v>
      </c>
      <c r="CP395" s="75">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5" t="str">
        <f ca="1">INDIRECT(ADDRESS(11+(MATCH(RIGHT(Table11[[#This Row],[spawner_sku]],LEN(Table11[[#This Row],[spawner_sku]])-FIND("/",Table11[[#This Row],[spawner_sku]])),Table28[Entity Prefab],0)),25,1,1,"Entities"))</f>
        <v>yes</v>
      </c>
      <c r="CS395" s="72">
        <v>1</v>
      </c>
      <c r="CT395" s="72">
        <v>1</v>
      </c>
      <c r="CU395" s="72" t="b">
        <v>0</v>
      </c>
      <c r="DS395" t="s">
        <v>512</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424</v>
      </c>
      <c r="C396">
        <v>1.5</v>
      </c>
      <c r="D396">
        <v>190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1</v>
      </c>
      <c r="J396" s="72">
        <v>2</v>
      </c>
      <c r="K396" s="72" t="b">
        <v>0</v>
      </c>
      <c r="AI396" t="s">
        <v>242</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200</v>
      </c>
      <c r="BS396">
        <v>100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25</v>
      </c>
      <c r="BV396" s="72" t="str">
        <f ca="1">INDIRECT(ADDRESS(11+(MATCH(RIGHT(Table61011[[#This Row],[spawner_sku]],LEN(Table61011[[#This Row],[spawner_sku]])-FIND("/",Table61011[[#This Row],[spawner_sku]])),Table28[Entity Prefab],0)),24,1,1,"Entities"))</f>
        <v>no</v>
      </c>
      <c r="BW396" s="72">
        <v>1</v>
      </c>
      <c r="BX396" s="72">
        <v>1</v>
      </c>
      <c r="BY396" s="72" t="b">
        <v>0</v>
      </c>
      <c r="BZ396" s="72"/>
      <c r="CL396" t="s">
        <v>383</v>
      </c>
      <c r="CM396">
        <v>1</v>
      </c>
      <c r="CN396">
        <v>300</v>
      </c>
      <c r="CO396">
        <v>100</v>
      </c>
      <c r="CP396" s="75">
        <f ca="1">INDIRECT(ADDRESS(11+(MATCH(RIGHT(Table11[[#This Row],[spawner_sku]],LEN(Table11[[#This Row],[spawner_sku]])-FIND("/",Table11[[#This Row],[spawner_sku]])),Table1[Entity Prefab],0)),10,1,1,"Entities"))</f>
        <v>77</v>
      </c>
      <c r="CQ396">
        <f ca="1">ROUND((Table11[[#This Row],[XP]]*Table11[[#This Row],[entity_spawned (AVG)]])*(Table11[[#This Row],[activating_chance]]/100),0)</f>
        <v>77</v>
      </c>
      <c r="CR396" s="145" t="str">
        <f ca="1">INDIRECT(ADDRESS(11+(MATCH(RIGHT(Table11[[#This Row],[spawner_sku]],LEN(Table11[[#This Row],[spawner_sku]])-FIND("/",Table11[[#This Row],[spawner_sku]])),Table28[Entity Prefab],0)),25,1,1,"Entities"))</f>
        <v>yes</v>
      </c>
      <c r="CS396" s="72">
        <v>1</v>
      </c>
      <c r="CT396" s="72">
        <v>1</v>
      </c>
      <c r="CU396" s="72" t="b">
        <v>0</v>
      </c>
      <c r="DS396" t="s">
        <v>512</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233</v>
      </c>
      <c r="C397">
        <v>1</v>
      </c>
      <c r="D397">
        <v>500</v>
      </c>
      <c r="E397">
        <v>75</v>
      </c>
      <c r="F397" s="75">
        <f ca="1">INDIRECT(ADDRESS(11+(MATCH(RIGHT(Table245[[#This Row],[spawner_sku]],LEN(Table245[[#This Row],[spawner_sku]])-FIND("/",Table245[[#This Row],[spawner_sku]])),Table1[Entity Prefab],0)),10,1,1,"Entities"))</f>
        <v>25</v>
      </c>
      <c r="G397" s="75">
        <f ca="1">ROUND((Table245[[#This Row],[XP]]*Table245[[#This Row],[entity_spawned (AVG)]])*(Table245[[#This Row],[activating_chance]]/100),0)</f>
        <v>19</v>
      </c>
      <c r="H397" s="72" t="str">
        <f ca="1">INDIRECT(ADDRESS(11+(MATCH(RIGHT(Table245[[#This Row],[spawner_sku]],LEN(Table245[[#This Row],[spawner_sku]])-FIND("/",Table245[[#This Row],[spawner_sku]])),Table28[Entity Prefab],0)),24,1,1,"Entities"))</f>
        <v>no</v>
      </c>
      <c r="I397" s="72">
        <v>1</v>
      </c>
      <c r="J397" s="72">
        <v>1</v>
      </c>
      <c r="K397" s="72" t="b">
        <v>0</v>
      </c>
      <c r="AI397" t="s">
        <v>242</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200</v>
      </c>
      <c r="BS397">
        <v>100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25</v>
      </c>
      <c r="BV397" s="72" t="str">
        <f ca="1">INDIRECT(ADDRESS(11+(MATCH(RIGHT(Table61011[[#This Row],[spawner_sku]],LEN(Table61011[[#This Row],[spawner_sku]])-FIND("/",Table61011[[#This Row],[spawner_sku]])),Table28[Entity Prefab],0)),24,1,1,"Entities"))</f>
        <v>no</v>
      </c>
      <c r="BW397" s="72">
        <v>1</v>
      </c>
      <c r="BX397" s="72">
        <v>1</v>
      </c>
      <c r="BY397" s="72" t="b">
        <v>0</v>
      </c>
      <c r="BZ397" s="72"/>
      <c r="CL397" t="s">
        <v>431</v>
      </c>
      <c r="CM397">
        <v>1</v>
      </c>
      <c r="CN397">
        <v>300</v>
      </c>
      <c r="CO397">
        <v>60</v>
      </c>
      <c r="CP397" s="75">
        <f ca="1">INDIRECT(ADDRESS(11+(MATCH(RIGHT(Table11[[#This Row],[spawner_sku]],LEN(Table11[[#This Row],[spawner_sku]])-FIND("/",Table11[[#This Row],[spawner_sku]])),Table1[Entity Prefab],0)),10,1,1,"Entities"))</f>
        <v>77</v>
      </c>
      <c r="CQ397">
        <f ca="1">ROUND((Table11[[#This Row],[XP]]*Table11[[#This Row],[entity_spawned (AVG)]])*(Table11[[#This Row],[activating_chance]]/100),0)</f>
        <v>46</v>
      </c>
      <c r="CR397" s="145" t="str">
        <f ca="1">INDIRECT(ADDRESS(11+(MATCH(RIGHT(Table11[[#This Row],[spawner_sku]],LEN(Table11[[#This Row],[spawner_sku]])-FIND("/",Table11[[#This Row],[spawner_sku]])),Table28[Entity Prefab],0)),25,1,1,"Entities"))</f>
        <v>yes</v>
      </c>
      <c r="CS397" s="72">
        <v>1</v>
      </c>
      <c r="CT397" s="72">
        <v>1</v>
      </c>
      <c r="CU397" s="72" t="b">
        <v>0</v>
      </c>
      <c r="DS397" t="s">
        <v>512</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233</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242</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242</v>
      </c>
      <c r="BQ398">
        <v>2</v>
      </c>
      <c r="BR398">
        <v>175</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50</v>
      </c>
      <c r="BV398" s="72" t="str">
        <f ca="1">INDIRECT(ADDRESS(11+(MATCH(RIGHT(Table61011[[#This Row],[spawner_sku]],LEN(Table61011[[#This Row],[spawner_sku]])-FIND("/",Table61011[[#This Row],[spawner_sku]])),Table28[Entity Prefab],0)),24,1,1,"Entities"))</f>
        <v>no</v>
      </c>
      <c r="BW398" s="72">
        <v>2</v>
      </c>
      <c r="BX398" s="72">
        <v>2</v>
      </c>
      <c r="BY398" s="72" t="b">
        <v>0</v>
      </c>
      <c r="BZ398" s="72"/>
      <c r="CL398" t="s">
        <v>431</v>
      </c>
      <c r="CM398">
        <v>1</v>
      </c>
      <c r="CN398">
        <v>300</v>
      </c>
      <c r="CO398">
        <v>100</v>
      </c>
      <c r="CP398" s="75">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5" t="str">
        <f ca="1">INDIRECT(ADDRESS(11+(MATCH(RIGHT(Table11[[#This Row],[spawner_sku]],LEN(Table11[[#This Row],[spawner_sku]])-FIND("/",Table11[[#This Row],[spawner_sku]])),Table28[Entity Prefab],0)),25,1,1,"Entities"))</f>
        <v>yes</v>
      </c>
      <c r="CS398" s="72">
        <v>1</v>
      </c>
      <c r="CT398" s="72">
        <v>1</v>
      </c>
      <c r="CU398" s="72" t="b">
        <v>0</v>
      </c>
      <c r="DS398" t="s">
        <v>512</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5017</v>
      </c>
      <c r="C399">
        <v>1</v>
      </c>
      <c r="D399">
        <v>5000</v>
      </c>
      <c r="E399">
        <v>30</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8</v>
      </c>
      <c r="H399" s="72" t="str">
        <f ca="1">INDIRECT(ADDRESS(11+(MATCH(RIGHT(Table245[[#This Row],[spawner_sku]],LEN(Table245[[#This Row],[spawner_sku]])-FIND("/",Table245[[#This Row],[spawner_sku]])),Table28[Entity Prefab],0)),24,1,1,"Entities"))</f>
        <v>no</v>
      </c>
      <c r="I399" s="72">
        <v>1</v>
      </c>
      <c r="J399" s="72">
        <v>1</v>
      </c>
      <c r="K399" s="72" t="b">
        <v>0</v>
      </c>
      <c r="AI399" t="s">
        <v>242</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431</v>
      </c>
      <c r="CM399">
        <v>1</v>
      </c>
      <c r="CN399">
        <v>300</v>
      </c>
      <c r="CO399">
        <v>100</v>
      </c>
      <c r="CP399" s="75">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5" t="str">
        <f ca="1">INDIRECT(ADDRESS(11+(MATCH(RIGHT(Table11[[#This Row],[spawner_sku]],LEN(Table11[[#This Row],[spawner_sku]])-FIND("/",Table11[[#This Row],[spawner_sku]])),Table28[Entity Prefab],0)),25,1,1,"Entities"))</f>
        <v>yes</v>
      </c>
      <c r="CS399" s="72">
        <v>1</v>
      </c>
      <c r="CT399" s="72">
        <v>1</v>
      </c>
      <c r="CU399" s="72" t="b">
        <v>0</v>
      </c>
      <c r="DS399" t="s">
        <v>512</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5017</v>
      </c>
      <c r="C400">
        <v>1</v>
      </c>
      <c r="D400">
        <v>5000</v>
      </c>
      <c r="E400">
        <v>50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13</v>
      </c>
      <c r="H400" s="72" t="str">
        <f ca="1">INDIRECT(ADDRESS(11+(MATCH(RIGHT(Table245[[#This Row],[spawner_sku]],LEN(Table245[[#This Row],[spawner_sku]])-FIND("/",Table245[[#This Row],[spawner_sku]])),Table28[Entity Prefab],0)),24,1,1,"Entities"))</f>
        <v>no</v>
      </c>
      <c r="I400" s="72">
        <v>1</v>
      </c>
      <c r="J400" s="72">
        <v>1</v>
      </c>
      <c r="K400" s="72" t="b">
        <v>0</v>
      </c>
      <c r="AI400" t="s">
        <v>242</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150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431</v>
      </c>
      <c r="CM400">
        <v>1</v>
      </c>
      <c r="CN400">
        <v>300</v>
      </c>
      <c r="CO400">
        <v>100</v>
      </c>
      <c r="CP400" s="75">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5" t="str">
        <f ca="1">INDIRECT(ADDRESS(11+(MATCH(RIGHT(Table11[[#This Row],[spawner_sku]],LEN(Table11[[#This Row],[spawner_sku]])-FIND("/",Table11[[#This Row],[spawner_sku]])),Table28[Entity Prefab],0)),25,1,1,"Entities"))</f>
        <v>yes</v>
      </c>
      <c r="CS400" s="72">
        <v>1</v>
      </c>
      <c r="CT400" s="72">
        <v>1</v>
      </c>
      <c r="CU400" s="72" t="b">
        <v>0</v>
      </c>
      <c r="DS400" t="s">
        <v>512</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5017</v>
      </c>
      <c r="C401">
        <v>1</v>
      </c>
      <c r="D401">
        <v>5000</v>
      </c>
      <c r="E401">
        <v>100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25</v>
      </c>
      <c r="H401" s="72" t="str">
        <f ca="1">INDIRECT(ADDRESS(11+(MATCH(RIGHT(Table245[[#This Row],[spawner_sku]],LEN(Table245[[#This Row],[spawner_sku]])-FIND("/",Table245[[#This Row],[spawner_sku]])),Table28[Entity Prefab],0)),24,1,1,"Entities"))</f>
        <v>no</v>
      </c>
      <c r="I401" s="72">
        <v>1</v>
      </c>
      <c r="J401" s="72">
        <v>1</v>
      </c>
      <c r="K401" s="72" t="b">
        <v>0</v>
      </c>
      <c r="AI401" t="s">
        <v>242</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100</v>
      </c>
      <c r="BS401">
        <v>80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20</v>
      </c>
      <c r="BV401" s="72" t="str">
        <f ca="1">INDIRECT(ADDRESS(11+(MATCH(RIGHT(Table61011[[#This Row],[spawner_sku]],LEN(Table61011[[#This Row],[spawner_sku]])-FIND("/",Table61011[[#This Row],[spawner_sku]])),Table28[Entity Prefab],0)),24,1,1,"Entities"))</f>
        <v>no</v>
      </c>
      <c r="BW401" s="72">
        <v>1</v>
      </c>
      <c r="BX401" s="72">
        <v>1</v>
      </c>
      <c r="BY401" s="72" t="b">
        <v>0</v>
      </c>
      <c r="BZ401" s="72"/>
      <c r="CL401" t="s">
        <v>431</v>
      </c>
      <c r="CM401">
        <v>1</v>
      </c>
      <c r="CN401">
        <v>300</v>
      </c>
      <c r="CO401">
        <v>100</v>
      </c>
      <c r="CP401" s="75">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5" t="str">
        <f ca="1">INDIRECT(ADDRESS(11+(MATCH(RIGHT(Table11[[#This Row],[spawner_sku]],LEN(Table11[[#This Row],[spawner_sku]])-FIND("/",Table11[[#This Row],[spawner_sku]])),Table28[Entity Prefab],0)),25,1,1,"Entities"))</f>
        <v>yes</v>
      </c>
      <c r="CS401" s="72">
        <v>1</v>
      </c>
      <c r="CT401" s="72">
        <v>1</v>
      </c>
      <c r="CU401" s="72" t="b">
        <v>0</v>
      </c>
      <c r="DS401" t="s">
        <v>512</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5017</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3863</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242</v>
      </c>
      <c r="BQ402">
        <v>3</v>
      </c>
      <c r="BR402">
        <v>180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75</v>
      </c>
      <c r="BV402" s="72" t="str">
        <f ca="1">INDIRECT(ADDRESS(11+(MATCH(RIGHT(Table61011[[#This Row],[spawner_sku]],LEN(Table61011[[#This Row],[spawner_sku]])-FIND("/",Table61011[[#This Row],[spawner_sku]])),Table28[Entity Prefab],0)),24,1,1,"Entities"))</f>
        <v>no</v>
      </c>
      <c r="BW402" s="72">
        <v>2</v>
      </c>
      <c r="BX402" s="72">
        <v>4</v>
      </c>
      <c r="BY402" s="72" t="b">
        <v>0</v>
      </c>
      <c r="BZ402" s="72"/>
      <c r="CL402" t="s">
        <v>431</v>
      </c>
      <c r="CM402">
        <v>1</v>
      </c>
      <c r="CN402">
        <v>300</v>
      </c>
      <c r="CO402">
        <v>100</v>
      </c>
      <c r="CP402" s="75">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5" t="str">
        <f ca="1">INDIRECT(ADDRESS(11+(MATCH(RIGHT(Table11[[#This Row],[spawner_sku]],LEN(Table11[[#This Row],[spawner_sku]])-FIND("/",Table11[[#This Row],[spawner_sku]])),Table28[Entity Prefab],0)),25,1,1,"Entities"))</f>
        <v>yes</v>
      </c>
      <c r="CS402" s="72">
        <v>1</v>
      </c>
      <c r="CT402" s="72">
        <v>1</v>
      </c>
      <c r="CU402" s="72" t="b">
        <v>0</v>
      </c>
      <c r="DS402" t="s">
        <v>512</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5017</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488</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242</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431</v>
      </c>
      <c r="CM403">
        <v>1</v>
      </c>
      <c r="CN403">
        <v>300</v>
      </c>
      <c r="CO403">
        <v>100</v>
      </c>
      <c r="CP403" s="75">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5" t="str">
        <f ca="1">INDIRECT(ADDRESS(11+(MATCH(RIGHT(Table11[[#This Row],[spawner_sku]],LEN(Table11[[#This Row],[spawner_sku]])-FIND("/",Table11[[#This Row],[spawner_sku]])),Table28[Entity Prefab],0)),25,1,1,"Entities"))</f>
        <v>yes</v>
      </c>
      <c r="CS403" s="72">
        <v>1</v>
      </c>
      <c r="CT403" s="72">
        <v>1</v>
      </c>
      <c r="CU403" s="72" t="b">
        <v>0</v>
      </c>
      <c r="DS403" t="s">
        <v>512</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5017</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242</v>
      </c>
      <c r="BQ404">
        <v>2.5</v>
      </c>
      <c r="BR404">
        <v>180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50</v>
      </c>
      <c r="BV404" s="72" t="str">
        <f ca="1">INDIRECT(ADDRESS(11+(MATCH(RIGHT(Table61011[[#This Row],[spawner_sku]],LEN(Table61011[[#This Row],[spawner_sku]])-FIND("/",Table61011[[#This Row],[spawner_sku]])),Table28[Entity Prefab],0)),24,1,1,"Entities"))</f>
        <v>no</v>
      </c>
      <c r="BW404" s="72">
        <v>2</v>
      </c>
      <c r="BX404" s="72">
        <v>3</v>
      </c>
      <c r="BY404" s="72" t="b">
        <v>0</v>
      </c>
      <c r="BZ404" s="72"/>
      <c r="CL404" t="s">
        <v>431</v>
      </c>
      <c r="CM404">
        <v>1</v>
      </c>
      <c r="CN404">
        <v>300</v>
      </c>
      <c r="CO404">
        <v>100</v>
      </c>
      <c r="CP404" s="75">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5" t="str">
        <f ca="1">INDIRECT(ADDRESS(11+(MATCH(RIGHT(Table11[[#This Row],[spawner_sku]],LEN(Table11[[#This Row],[spawner_sku]])-FIND("/",Table11[[#This Row],[spawner_sku]])),Table28[Entity Prefab],0)),25,1,1,"Entities"))</f>
        <v>yes</v>
      </c>
      <c r="CS404" s="72">
        <v>1</v>
      </c>
      <c r="CT404" s="72">
        <v>1</v>
      </c>
      <c r="CU404" s="72" t="b">
        <v>0</v>
      </c>
      <c r="DS404" t="s">
        <v>512</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466</v>
      </c>
      <c r="C405">
        <v>1</v>
      </c>
      <c r="D405">
        <v>220</v>
      </c>
      <c r="E405">
        <v>100</v>
      </c>
      <c r="F405" s="75">
        <f ca="1">INDIRECT(ADDRESS(11+(MATCH(RIGHT(Table245[[#This Row],[spawner_sku]],LEN(Table245[[#This Row],[spawner_sku]])-FIND("/",Table245[[#This Row],[spawner_sku]])),Table1[Entity Prefab],0)),10,1,1,"Entities"))</f>
        <v>28</v>
      </c>
      <c r="G405" s="75">
        <f ca="1">ROUND((Table245[[#This Row],[XP]]*Table245[[#This Row],[entity_spawned (AVG)]])*(Table245[[#This Row],[activating_chance]]/100),0)</f>
        <v>28</v>
      </c>
      <c r="H405" s="72" t="str">
        <f ca="1">INDIRECT(ADDRESS(11+(MATCH(RIGHT(Table245[[#This Row],[spawner_sku]],LEN(Table245[[#This Row],[spawner_sku]])-FIND("/",Table245[[#This Row],[spawner_sku]])),Table28[Entity Prefab],0)),24,1,1,"Entities"))</f>
        <v>no</v>
      </c>
      <c r="I405" s="72">
        <v>1</v>
      </c>
      <c r="J405" s="72">
        <v>1</v>
      </c>
      <c r="K405" s="72" t="b">
        <v>0</v>
      </c>
      <c r="BP405" t="s">
        <v>242</v>
      </c>
      <c r="BQ405">
        <v>1</v>
      </c>
      <c r="BR405">
        <v>180</v>
      </c>
      <c r="BS405">
        <v>30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8</v>
      </c>
      <c r="BV405" s="72" t="str">
        <f ca="1">INDIRECT(ADDRESS(11+(MATCH(RIGHT(Table61011[[#This Row],[spawner_sku]],LEN(Table61011[[#This Row],[spawner_sku]])-FIND("/",Table61011[[#This Row],[spawner_sku]])),Table28[Entity Prefab],0)),24,1,1,"Entities"))</f>
        <v>no</v>
      </c>
      <c r="BW405" s="72">
        <v>1</v>
      </c>
      <c r="BX405" s="72">
        <v>1</v>
      </c>
      <c r="BY405" s="72" t="b">
        <v>0</v>
      </c>
      <c r="BZ405" s="72"/>
      <c r="CL405" t="s">
        <v>431</v>
      </c>
      <c r="CM405">
        <v>1</v>
      </c>
      <c r="CN405">
        <v>300</v>
      </c>
      <c r="CO405">
        <v>100</v>
      </c>
      <c r="CP405" s="75">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5" t="str">
        <f ca="1">INDIRECT(ADDRESS(11+(MATCH(RIGHT(Table11[[#This Row],[spawner_sku]],LEN(Table11[[#This Row],[spawner_sku]])-FIND("/",Table11[[#This Row],[spawner_sku]])),Table28[Entity Prefab],0)),25,1,1,"Entities"))</f>
        <v>yes</v>
      </c>
      <c r="CS405" s="72">
        <v>1</v>
      </c>
      <c r="CT405" s="72">
        <v>1</v>
      </c>
      <c r="CU405" s="72" t="b">
        <v>0</v>
      </c>
      <c r="DS405" t="s">
        <v>512</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466</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242</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431</v>
      </c>
      <c r="CM406">
        <v>1</v>
      </c>
      <c r="CN406">
        <v>270</v>
      </c>
      <c r="CO406">
        <v>100</v>
      </c>
      <c r="CP406" s="75">
        <f ca="1">INDIRECT(ADDRESS(11+(MATCH(RIGHT(Table11[[#This Row],[spawner_sku]],LEN(Table11[[#This Row],[spawner_sku]])-FIND("/",Table11[[#This Row],[spawner_sku]])),Table1[Entity Prefab],0)),10,1,1,"Entities"))</f>
        <v>77</v>
      </c>
      <c r="CQ406">
        <f ca="1">ROUND((Table11[[#This Row],[XP]]*Table11[[#This Row],[entity_spawned (AVG)]])*(Table11[[#This Row],[activating_chance]]/100),0)</f>
        <v>77</v>
      </c>
      <c r="CR406" s="145" t="str">
        <f ca="1">INDIRECT(ADDRESS(11+(MATCH(RIGHT(Table11[[#This Row],[spawner_sku]],LEN(Table11[[#This Row],[spawner_sku]])-FIND("/",Table11[[#This Row],[spawner_sku]])),Table28[Entity Prefab],0)),25,1,1,"Entities"))</f>
        <v>yes</v>
      </c>
      <c r="CS406" s="72">
        <v>1</v>
      </c>
      <c r="CT406" s="72">
        <v>1</v>
      </c>
      <c r="CU406" s="72" t="b">
        <v>0</v>
      </c>
      <c r="DS406" t="s">
        <v>512</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466</v>
      </c>
      <c r="C407">
        <v>1</v>
      </c>
      <c r="D407">
        <v>200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242</v>
      </c>
      <c r="BQ407">
        <v>3</v>
      </c>
      <c r="BR407">
        <v>200</v>
      </c>
      <c r="BS407">
        <v>100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75</v>
      </c>
      <c r="BV407" s="72" t="str">
        <f ca="1">INDIRECT(ADDRESS(11+(MATCH(RIGHT(Table61011[[#This Row],[spawner_sku]],LEN(Table61011[[#This Row],[spawner_sku]])-FIND("/",Table61011[[#This Row],[spawner_sku]])),Table28[Entity Prefab],0)),24,1,1,"Entities"))</f>
        <v>no</v>
      </c>
      <c r="BW407" s="72">
        <v>3</v>
      </c>
      <c r="BX407" s="72">
        <v>3</v>
      </c>
      <c r="BY407" s="72" t="b">
        <v>0</v>
      </c>
      <c r="BZ407" s="72"/>
      <c r="CL407" t="s">
        <v>431</v>
      </c>
      <c r="CM407">
        <v>1</v>
      </c>
      <c r="CN407">
        <v>300</v>
      </c>
      <c r="CO407">
        <v>60</v>
      </c>
      <c r="CP407" s="75">
        <f ca="1">INDIRECT(ADDRESS(11+(MATCH(RIGHT(Table11[[#This Row],[spawner_sku]],LEN(Table11[[#This Row],[spawner_sku]])-FIND("/",Table11[[#This Row],[spawner_sku]])),Table1[Entity Prefab],0)),10,1,1,"Entities"))</f>
        <v>77</v>
      </c>
      <c r="CQ407">
        <f ca="1">ROUND((Table11[[#This Row],[XP]]*Table11[[#This Row],[entity_spawned (AVG)]])*(Table11[[#This Row],[activating_chance]]/100),0)</f>
        <v>46</v>
      </c>
      <c r="CR407" s="145" t="str">
        <f ca="1">INDIRECT(ADDRESS(11+(MATCH(RIGHT(Table11[[#This Row],[spawner_sku]],LEN(Table11[[#This Row],[spawner_sku]])-FIND("/",Table11[[#This Row],[spawner_sku]])),Table28[Entity Prefab],0)),25,1,1,"Entities"))</f>
        <v>yes</v>
      </c>
      <c r="CS407" s="72">
        <v>1</v>
      </c>
      <c r="CT407" s="72">
        <v>1</v>
      </c>
      <c r="CU407" s="72" t="b">
        <v>0</v>
      </c>
      <c r="DS407" t="s">
        <v>512</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467</v>
      </c>
      <c r="C408">
        <v>1</v>
      </c>
      <c r="D408">
        <v>140</v>
      </c>
      <c r="E408">
        <v>80</v>
      </c>
      <c r="F408" s="75">
        <f ca="1">INDIRECT(ADDRESS(11+(MATCH(RIGHT(Table245[[#This Row],[spawner_sku]],LEN(Table245[[#This Row],[spawner_sku]])-FIND("/",Table245[[#This Row],[spawner_sku]])),Table1[Entity Prefab],0)),10,1,1,"Entities"))</f>
        <v>25</v>
      </c>
      <c r="G408" s="75">
        <f ca="1">ROUND((Table245[[#This Row],[XP]]*Table245[[#This Row],[entity_spawned (AVG)]])*(Table245[[#This Row],[activating_chance]]/100),0)</f>
        <v>20</v>
      </c>
      <c r="H408" s="72" t="str">
        <f ca="1">INDIRECT(ADDRESS(11+(MATCH(RIGHT(Table245[[#This Row],[spawner_sku]],LEN(Table245[[#This Row],[spawner_sku]])-FIND("/",Table245[[#This Row],[spawner_sku]])),Table28[Entity Prefab],0)),24,1,1,"Entities"))</f>
        <v>no</v>
      </c>
      <c r="I408" s="72">
        <v>1</v>
      </c>
      <c r="J408" s="72">
        <v>1</v>
      </c>
      <c r="K408" s="72" t="b">
        <v>0</v>
      </c>
      <c r="BP408" t="s">
        <v>242</v>
      </c>
      <c r="BQ408">
        <v>1</v>
      </c>
      <c r="BR408">
        <v>200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431</v>
      </c>
      <c r="CM408">
        <v>1</v>
      </c>
      <c r="CN408">
        <v>270</v>
      </c>
      <c r="CO408">
        <v>100</v>
      </c>
      <c r="CP408" s="75">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5" t="str">
        <f ca="1">INDIRECT(ADDRESS(11+(MATCH(RIGHT(Table11[[#This Row],[spawner_sku]],LEN(Table11[[#This Row],[spawner_sku]])-FIND("/",Table11[[#This Row],[spawner_sku]])),Table28[Entity Prefab],0)),25,1,1,"Entities"))</f>
        <v>yes</v>
      </c>
      <c r="CS408" s="72">
        <v>1</v>
      </c>
      <c r="CT408" s="72">
        <v>1</v>
      </c>
      <c r="CU408" s="72" t="b">
        <v>0</v>
      </c>
      <c r="DS408" t="s">
        <v>512</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467</v>
      </c>
      <c r="C409">
        <v>1</v>
      </c>
      <c r="D409">
        <v>120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242</v>
      </c>
      <c r="BQ409">
        <v>1</v>
      </c>
      <c r="BR409">
        <v>150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431</v>
      </c>
      <c r="CM409">
        <v>1</v>
      </c>
      <c r="CN409">
        <v>300</v>
      </c>
      <c r="CO409">
        <v>100</v>
      </c>
      <c r="CP409" s="75">
        <f ca="1">INDIRECT(ADDRESS(11+(MATCH(RIGHT(Table11[[#This Row],[spawner_sku]],LEN(Table11[[#This Row],[spawner_sku]])-FIND("/",Table11[[#This Row],[spawner_sku]])),Table1[Entity Prefab],0)),10,1,1,"Entities"))</f>
        <v>77</v>
      </c>
      <c r="CQ409">
        <f ca="1">ROUND((Table11[[#This Row],[XP]]*Table11[[#This Row],[entity_spawned (AVG)]])*(Table11[[#This Row],[activating_chance]]/100),0)</f>
        <v>77</v>
      </c>
      <c r="CR409" s="145" t="str">
        <f ca="1">INDIRECT(ADDRESS(11+(MATCH(RIGHT(Table11[[#This Row],[spawner_sku]],LEN(Table11[[#This Row],[spawner_sku]])-FIND("/",Table11[[#This Row],[spawner_sku]])),Table28[Entity Prefab],0)),25,1,1,"Entities"))</f>
        <v>yes</v>
      </c>
      <c r="CS409" s="72">
        <v>1</v>
      </c>
      <c r="CT409" s="72">
        <v>1</v>
      </c>
      <c r="CU409" s="72" t="b">
        <v>0</v>
      </c>
      <c r="DS409" t="s">
        <v>512</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467</v>
      </c>
      <c r="C410">
        <v>1</v>
      </c>
      <c r="D410">
        <v>140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242</v>
      </c>
      <c r="BQ410">
        <v>1</v>
      </c>
      <c r="BR410">
        <v>100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25</v>
      </c>
      <c r="BV410" s="72" t="str">
        <f ca="1">INDIRECT(ADDRESS(11+(MATCH(RIGHT(Table61011[[#This Row],[spawner_sku]],LEN(Table61011[[#This Row],[spawner_sku]])-FIND("/",Table61011[[#This Row],[spawner_sku]])),Table28[Entity Prefab],0)),24,1,1,"Entities"))</f>
        <v>no</v>
      </c>
      <c r="BW410" s="72">
        <v>1</v>
      </c>
      <c r="BX410" s="72">
        <v>1</v>
      </c>
      <c r="BY410" s="72" t="b">
        <v>0</v>
      </c>
      <c r="BZ410" s="72"/>
      <c r="CL410" t="s">
        <v>431</v>
      </c>
      <c r="CM410">
        <v>1</v>
      </c>
      <c r="CN410">
        <v>300</v>
      </c>
      <c r="CO410">
        <v>50</v>
      </c>
      <c r="CP410" s="75">
        <f ca="1">INDIRECT(ADDRESS(11+(MATCH(RIGHT(Table11[[#This Row],[spawner_sku]],LEN(Table11[[#This Row],[spawner_sku]])-FIND("/",Table11[[#This Row],[spawner_sku]])),Table1[Entity Prefab],0)),10,1,1,"Entities"))</f>
        <v>77</v>
      </c>
      <c r="CQ410">
        <f ca="1">ROUND((Table11[[#This Row],[XP]]*Table11[[#This Row],[entity_spawned (AVG)]])*(Table11[[#This Row],[activating_chance]]/100),0)</f>
        <v>39</v>
      </c>
      <c r="CR410" s="145" t="str">
        <f ca="1">INDIRECT(ADDRESS(11+(MATCH(RIGHT(Table11[[#This Row],[spawner_sku]],LEN(Table11[[#This Row],[spawner_sku]])-FIND("/",Table11[[#This Row],[spawner_sku]])),Table28[Entity Prefab],0)),25,1,1,"Entities"))</f>
        <v>yes</v>
      </c>
      <c r="CS410" s="72">
        <v>1</v>
      </c>
      <c r="CT410" s="72">
        <v>1</v>
      </c>
      <c r="CU410" s="72" t="b">
        <v>0</v>
      </c>
      <c r="DS410" t="s">
        <v>512</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467</v>
      </c>
      <c r="C411">
        <v>1</v>
      </c>
      <c r="D411">
        <v>150</v>
      </c>
      <c r="E411">
        <v>100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25</v>
      </c>
      <c r="H411" s="72" t="str">
        <f ca="1">INDIRECT(ADDRESS(11+(MATCH(RIGHT(Table245[[#This Row],[spawner_sku]],LEN(Table245[[#This Row],[spawner_sku]])-FIND("/",Table245[[#This Row],[spawner_sku]])),Table28[Entity Prefab],0)),24,1,1,"Entities"))</f>
        <v>no</v>
      </c>
      <c r="I411" s="72">
        <v>1</v>
      </c>
      <c r="J411" s="72">
        <v>1</v>
      </c>
      <c r="K411" s="72" t="b">
        <v>0</v>
      </c>
      <c r="BP411" t="s">
        <v>244</v>
      </c>
      <c r="BQ411">
        <v>1</v>
      </c>
      <c r="BR411">
        <v>220</v>
      </c>
      <c r="BS411">
        <v>100</v>
      </c>
      <c r="BT411" s="75">
        <f ca="1">INDIRECT(ADDRESS(11+(MATCH(RIGHT(Table61011[[#This Row],[spawner_sku]],LEN(Table61011[[#This Row],[spawner_sku]])-FIND("/",Table61011[[#This Row],[spawner_sku]])),Table1[Entity Prefab],0)),10,1,1,"Entities"))</f>
        <v>50</v>
      </c>
      <c r="BU411" s="75">
        <f ca="1">ROUND((Table61011[[#This Row],[XP]]*Table61011[[#This Row],[entity_spawned (AVG)]])*(Table61011[[#This Row],[activating_chance]]/100),0)</f>
        <v>50</v>
      </c>
      <c r="BV411" s="72" t="str">
        <f ca="1">INDIRECT(ADDRESS(11+(MATCH(RIGHT(Table61011[[#This Row],[spawner_sku]],LEN(Table61011[[#This Row],[spawner_sku]])-FIND("/",Table61011[[#This Row],[spawner_sku]])),Table28[Entity Prefab],0)),24,1,1,"Entities"))</f>
        <v>no</v>
      </c>
      <c r="BW411" s="72">
        <v>1</v>
      </c>
      <c r="BX411" s="72">
        <v>1</v>
      </c>
      <c r="BY411" s="72" t="b">
        <v>0</v>
      </c>
      <c r="BZ411" s="72"/>
      <c r="CL411" t="s">
        <v>431</v>
      </c>
      <c r="CM411">
        <v>1</v>
      </c>
      <c r="CN411">
        <v>300</v>
      </c>
      <c r="CO411">
        <v>100</v>
      </c>
      <c r="CP411" s="75">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5" t="str">
        <f ca="1">INDIRECT(ADDRESS(11+(MATCH(RIGHT(Table11[[#This Row],[spawner_sku]],LEN(Table11[[#This Row],[spawner_sku]])-FIND("/",Table11[[#This Row],[spawner_sku]])),Table28[Entity Prefab],0)),25,1,1,"Entities"))</f>
        <v>yes</v>
      </c>
      <c r="CS411" s="72">
        <v>1</v>
      </c>
      <c r="CT411" s="72">
        <v>1</v>
      </c>
      <c r="CU411" s="72" t="b">
        <v>0</v>
      </c>
      <c r="DS411" t="s">
        <v>512</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468</v>
      </c>
      <c r="C412">
        <v>1</v>
      </c>
      <c r="D412">
        <v>80</v>
      </c>
      <c r="E412">
        <v>100</v>
      </c>
      <c r="F412" s="75">
        <f ca="1">INDIRECT(ADDRESS(11+(MATCH(RIGHT(Table245[[#This Row],[spawner_sku]],LEN(Table245[[#This Row],[spawner_sku]])-FIND("/",Table245[[#This Row],[spawner_sku]])),Table1[Entity Prefab],0)),10,1,1,"Entities"))</f>
        <v>75</v>
      </c>
      <c r="G412" s="75">
        <f ca="1">ROUND((Table245[[#This Row],[XP]]*Table245[[#This Row],[entity_spawned (AVG)]])*(Table245[[#This Row],[activating_chance]]/100),0)</f>
        <v>75</v>
      </c>
      <c r="H412" s="72" t="str">
        <f ca="1">INDIRECT(ADDRESS(11+(MATCH(RIGHT(Table245[[#This Row],[spawner_sku]],LEN(Table245[[#This Row],[spawner_sku]])-FIND("/",Table245[[#This Row],[spawner_sku]])),Table28[Entity Prefab],0)),24,1,1,"Entities"))</f>
        <v>no</v>
      </c>
      <c r="I412" s="72">
        <v>1</v>
      </c>
      <c r="J412" s="72">
        <v>1</v>
      </c>
      <c r="K412" s="72" t="b">
        <v>0</v>
      </c>
      <c r="BP412" t="s">
        <v>244</v>
      </c>
      <c r="BQ412">
        <v>1</v>
      </c>
      <c r="BR412">
        <v>240</v>
      </c>
      <c r="BS412">
        <v>100</v>
      </c>
      <c r="BT412" s="75">
        <f ca="1">INDIRECT(ADDRESS(11+(MATCH(RIGHT(Table61011[[#This Row],[spawner_sku]],LEN(Table61011[[#This Row],[spawner_sku]])-FIND("/",Table61011[[#This Row],[spawner_sku]])),Table1[Entity Prefab],0)),10,1,1,"Entities"))</f>
        <v>50</v>
      </c>
      <c r="BU412" s="75">
        <f ca="1">ROUND((Table61011[[#This Row],[XP]]*Table61011[[#This Row],[entity_spawned (AVG)]])*(Table61011[[#This Row],[activating_chance]]/100),0)</f>
        <v>50</v>
      </c>
      <c r="BV412" s="72" t="str">
        <f ca="1">INDIRECT(ADDRESS(11+(MATCH(RIGHT(Table61011[[#This Row],[spawner_sku]],LEN(Table61011[[#This Row],[spawner_sku]])-FIND("/",Table61011[[#This Row],[spawner_sku]])),Table28[Entity Prefab],0)),24,1,1,"Entities"))</f>
        <v>no</v>
      </c>
      <c r="BW412" s="72">
        <v>1</v>
      </c>
      <c r="BX412" s="72">
        <v>1</v>
      </c>
      <c r="BY412" s="72" t="b">
        <v>0</v>
      </c>
      <c r="BZ412" s="72"/>
      <c r="CL412" t="s">
        <v>431</v>
      </c>
      <c r="CM412">
        <v>1</v>
      </c>
      <c r="CN412">
        <v>300</v>
      </c>
      <c r="CO412">
        <v>100</v>
      </c>
      <c r="CP412" s="75">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5" t="str">
        <f ca="1">INDIRECT(ADDRESS(11+(MATCH(RIGHT(Table11[[#This Row],[spawner_sku]],LEN(Table11[[#This Row],[spawner_sku]])-FIND("/",Table11[[#This Row],[spawner_sku]])),Table28[Entity Prefab],0)),25,1,1,"Entities"))</f>
        <v>yes</v>
      </c>
      <c r="CS412" s="72">
        <v>1</v>
      </c>
      <c r="CT412" s="72">
        <v>1</v>
      </c>
      <c r="CU412" s="72" t="b">
        <v>0</v>
      </c>
      <c r="DS412" t="s">
        <v>512</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468</v>
      </c>
      <c r="C413">
        <v>1</v>
      </c>
      <c r="D413">
        <v>70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244</v>
      </c>
      <c r="BQ413">
        <v>1</v>
      </c>
      <c r="BR413">
        <v>200</v>
      </c>
      <c r="BS413">
        <v>100</v>
      </c>
      <c r="BT413" s="75">
        <f ca="1">INDIRECT(ADDRESS(11+(MATCH(RIGHT(Table61011[[#This Row],[spawner_sku]],LEN(Table61011[[#This Row],[spawner_sku]])-FIND("/",Table61011[[#This Row],[spawner_sku]])),Table1[Entity Prefab],0)),10,1,1,"Entities"))</f>
        <v>50</v>
      </c>
      <c r="BU413" s="75">
        <f ca="1">ROUND((Table61011[[#This Row],[XP]]*Table61011[[#This Row],[entity_spawned (AVG)]])*(Table61011[[#This Row],[activating_chance]]/100),0)</f>
        <v>50</v>
      </c>
      <c r="BV413" s="72" t="str">
        <f ca="1">INDIRECT(ADDRESS(11+(MATCH(RIGHT(Table61011[[#This Row],[spawner_sku]],LEN(Table61011[[#This Row],[spawner_sku]])-FIND("/",Table61011[[#This Row],[spawner_sku]])),Table28[Entity Prefab],0)),24,1,1,"Entities"))</f>
        <v>no</v>
      </c>
      <c r="BW413" s="72">
        <v>1</v>
      </c>
      <c r="BX413" s="72">
        <v>1</v>
      </c>
      <c r="BY413" s="72" t="b">
        <v>0</v>
      </c>
      <c r="BZ413" s="72"/>
      <c r="CL413" t="s">
        <v>431</v>
      </c>
      <c r="CM413">
        <v>1</v>
      </c>
      <c r="CN413">
        <v>300</v>
      </c>
      <c r="CO413">
        <v>100</v>
      </c>
      <c r="CP413" s="75">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5" t="str">
        <f ca="1">INDIRECT(ADDRESS(11+(MATCH(RIGHT(Table11[[#This Row],[spawner_sku]],LEN(Table11[[#This Row],[spawner_sku]])-FIND("/",Table11[[#This Row],[spawner_sku]])),Table28[Entity Prefab],0)),25,1,1,"Entities"))</f>
        <v>yes</v>
      </c>
      <c r="CS413" s="72">
        <v>1</v>
      </c>
      <c r="CT413" s="72">
        <v>1</v>
      </c>
      <c r="CU413" s="72" t="b">
        <v>0</v>
      </c>
      <c r="DS413" t="s">
        <v>512</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244</v>
      </c>
      <c r="BQ414">
        <v>1</v>
      </c>
      <c r="BR414">
        <v>200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CL414" t="s">
        <v>431</v>
      </c>
      <c r="CM414">
        <v>1</v>
      </c>
      <c r="CN414">
        <v>300</v>
      </c>
      <c r="CO414">
        <v>100</v>
      </c>
      <c r="CP414" s="75">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5" t="str">
        <f ca="1">INDIRECT(ADDRESS(11+(MATCH(RIGHT(Table11[[#This Row],[spawner_sku]],LEN(Table11[[#This Row],[spawner_sku]])-FIND("/",Table11[[#This Row],[spawner_sku]])),Table28[Entity Prefab],0)),25,1,1,"Entities"))</f>
        <v>yes</v>
      </c>
      <c r="CS414" s="72">
        <v>1</v>
      </c>
      <c r="CT414" s="72">
        <v>1</v>
      </c>
      <c r="CU414" s="72" t="b">
        <v>0</v>
      </c>
      <c r="DS414" t="s">
        <v>512</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140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244</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CL415" t="s">
        <v>431</v>
      </c>
      <c r="CM415">
        <v>1</v>
      </c>
      <c r="CN415">
        <v>270</v>
      </c>
      <c r="CO415">
        <v>100</v>
      </c>
      <c r="CP415" s="75">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5" t="str">
        <f ca="1">INDIRECT(ADDRESS(11+(MATCH(RIGHT(Table11[[#This Row],[spawner_sku]],LEN(Table11[[#This Row],[spawner_sku]])-FIND("/",Table11[[#This Row],[spawner_sku]])),Table28[Entity Prefab],0)),25,1,1,"Entities"))</f>
        <v>yes</v>
      </c>
      <c r="CS415" s="72">
        <v>1</v>
      </c>
      <c r="CT415" s="72">
        <v>1</v>
      </c>
      <c r="CU415" s="72" t="b">
        <v>0</v>
      </c>
      <c r="DS415" t="s">
        <v>512</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244</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CL416" t="s">
        <v>431</v>
      </c>
      <c r="CM416">
        <v>1</v>
      </c>
      <c r="CN416">
        <v>300</v>
      </c>
      <c r="CO416">
        <v>100</v>
      </c>
      <c r="CP416" s="75">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5" t="str">
        <f ca="1">INDIRECT(ADDRESS(11+(MATCH(RIGHT(Table11[[#This Row],[spawner_sku]],LEN(Table11[[#This Row],[spawner_sku]])-FIND("/",Table11[[#This Row],[spawner_sku]])),Table28[Entity Prefab],0)),25,1,1,"Entities"))</f>
        <v>yes</v>
      </c>
      <c r="CS416" s="72">
        <v>1</v>
      </c>
      <c r="CT416" s="72">
        <v>1</v>
      </c>
      <c r="CU416" s="72" t="b">
        <v>0</v>
      </c>
      <c r="DS416" t="s">
        <v>512</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468</v>
      </c>
      <c r="C417">
        <v>1</v>
      </c>
      <c r="D417">
        <v>150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244</v>
      </c>
      <c r="BQ417">
        <v>1</v>
      </c>
      <c r="BR417">
        <v>240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CL417" t="s">
        <v>431</v>
      </c>
      <c r="CM417">
        <v>1</v>
      </c>
      <c r="CN417">
        <v>300</v>
      </c>
      <c r="CO417">
        <v>100</v>
      </c>
      <c r="CP417" s="75">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5" t="str">
        <f ca="1">INDIRECT(ADDRESS(11+(MATCH(RIGHT(Table11[[#This Row],[spawner_sku]],LEN(Table11[[#This Row],[spawner_sku]])-FIND("/",Table11[[#This Row],[spawner_sku]])),Table28[Entity Prefab],0)),25,1,1,"Entities"))</f>
        <v>yes</v>
      </c>
      <c r="CS417" s="72">
        <v>1</v>
      </c>
      <c r="CT417" s="72">
        <v>1</v>
      </c>
      <c r="CU417" s="72" t="b">
        <v>0</v>
      </c>
      <c r="DS417" t="s">
        <v>512</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468</v>
      </c>
      <c r="C418">
        <v>1</v>
      </c>
      <c r="D418">
        <v>70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244</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CL418" t="s">
        <v>431</v>
      </c>
      <c r="CM418">
        <v>1</v>
      </c>
      <c r="CN418">
        <v>300</v>
      </c>
      <c r="CO418">
        <v>100</v>
      </c>
      <c r="CP418" s="75">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5" t="str">
        <f ca="1">INDIRECT(ADDRESS(11+(MATCH(RIGHT(Table11[[#This Row],[spawner_sku]],LEN(Table11[[#This Row],[spawner_sku]])-FIND("/",Table11[[#This Row],[spawner_sku]])),Table28[Entity Prefab],0)),25,1,1,"Entities"))</f>
        <v>yes</v>
      </c>
      <c r="CS418" s="72">
        <v>1</v>
      </c>
      <c r="CT418" s="72">
        <v>1</v>
      </c>
      <c r="CU418" s="72" t="b">
        <v>0</v>
      </c>
      <c r="DS418" t="s">
        <v>512</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234</v>
      </c>
      <c r="C419">
        <v>1</v>
      </c>
      <c r="D419">
        <v>420</v>
      </c>
      <c r="E419">
        <v>100</v>
      </c>
      <c r="F419" s="75">
        <f ca="1">INDIRECT(ADDRESS(11+(MATCH(RIGHT(Table245[[#This Row],[spawner_sku]],LEN(Table245[[#This Row],[spawner_sku]])-FIND("/",Table245[[#This Row],[spawner_sku]])),Table1[Entity Prefab],0)),10,1,1,"Entities"))</f>
        <v>83</v>
      </c>
      <c r="G419" s="75">
        <f ca="1">ROUND((Table245[[#This Row],[XP]]*Table245[[#This Row],[entity_spawned (AVG)]])*(Table245[[#This Row],[activating_chance]]/100),0)</f>
        <v>83</v>
      </c>
      <c r="H419" s="72" t="str">
        <f ca="1">INDIRECT(ADDRESS(11+(MATCH(RIGHT(Table245[[#This Row],[spawner_sku]],LEN(Table245[[#This Row],[spawner_sku]])-FIND("/",Table245[[#This Row],[spawner_sku]])),Table28[Entity Prefab],0)),24,1,1,"Entities"))</f>
        <v>yes</v>
      </c>
      <c r="I419" s="72">
        <v>1</v>
      </c>
      <c r="J419" s="72">
        <v>1</v>
      </c>
      <c r="K419" s="72" t="b">
        <v>0</v>
      </c>
      <c r="BP419" t="s">
        <v>244</v>
      </c>
      <c r="BQ419">
        <v>1</v>
      </c>
      <c r="BR419">
        <v>240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CL419" t="s">
        <v>431</v>
      </c>
      <c r="CM419">
        <v>1</v>
      </c>
      <c r="CN419">
        <v>300</v>
      </c>
      <c r="CO419">
        <v>100</v>
      </c>
      <c r="CP419" s="75">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5" t="str">
        <f ca="1">INDIRECT(ADDRESS(11+(MATCH(RIGHT(Table11[[#This Row],[spawner_sku]],LEN(Table11[[#This Row],[spawner_sku]])-FIND("/",Table11[[#This Row],[spawner_sku]])),Table28[Entity Prefab],0)),25,1,1,"Entities"))</f>
        <v>yes</v>
      </c>
      <c r="CS419" s="72">
        <v>1</v>
      </c>
      <c r="CT419" s="72">
        <v>1</v>
      </c>
      <c r="CU419" s="72" t="b">
        <v>0</v>
      </c>
      <c r="DS419" t="s">
        <v>512</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234</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244</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CL420" t="s">
        <v>431</v>
      </c>
      <c r="CM420">
        <v>1</v>
      </c>
      <c r="CN420">
        <v>300</v>
      </c>
      <c r="CO420">
        <v>100</v>
      </c>
      <c r="CP420" s="75">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5" t="str">
        <f ca="1">INDIRECT(ADDRESS(11+(MATCH(RIGHT(Table11[[#This Row],[spawner_sku]],LEN(Table11[[#This Row],[spawner_sku]])-FIND("/",Table11[[#This Row],[spawner_sku]])),Table28[Entity Prefab],0)),25,1,1,"Entities"))</f>
        <v>yes</v>
      </c>
      <c r="CS420" s="72">
        <v>1</v>
      </c>
      <c r="CT420" s="72">
        <v>1</v>
      </c>
      <c r="CU420" s="72" t="b">
        <v>0</v>
      </c>
      <c r="DS420" t="s">
        <v>512</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235</v>
      </c>
      <c r="C421">
        <v>1</v>
      </c>
      <c r="D421">
        <v>320</v>
      </c>
      <c r="E421">
        <v>50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38</v>
      </c>
      <c r="H421" s="72" t="str">
        <f ca="1">INDIRECT(ADDRESS(11+(MATCH(RIGHT(Table245[[#This Row],[spawner_sku]],LEN(Table245[[#This Row],[spawner_sku]])-FIND("/",Table245[[#This Row],[spawner_sku]])),Table28[Entity Prefab],0)),24,1,1,"Entities"))</f>
        <v>yes</v>
      </c>
      <c r="I421" s="72">
        <v>1</v>
      </c>
      <c r="J421" s="72">
        <v>1</v>
      </c>
      <c r="K421" s="72" t="b">
        <v>0</v>
      </c>
      <c r="BP421" t="s">
        <v>244</v>
      </c>
      <c r="BQ421">
        <v>1</v>
      </c>
      <c r="BR421">
        <v>200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CL421" t="s">
        <v>431</v>
      </c>
      <c r="CM421">
        <v>1</v>
      </c>
      <c r="CN421">
        <v>300</v>
      </c>
      <c r="CO421">
        <v>100</v>
      </c>
      <c r="CP421" s="75">
        <f ca="1">INDIRECT(ADDRESS(11+(MATCH(RIGHT(Table11[[#This Row],[spawner_sku]],LEN(Table11[[#This Row],[spawner_sku]])-FIND("/",Table11[[#This Row],[spawner_sku]])),Table1[Entity Prefab],0)),10,1,1,"Entities"))</f>
        <v>77</v>
      </c>
      <c r="CQ421">
        <f ca="1">ROUND((Table11[[#This Row],[XP]]*Table11[[#This Row],[entity_spawned (AVG)]])*(Table11[[#This Row],[activating_chance]]/100),0)</f>
        <v>77</v>
      </c>
      <c r="CR421" s="145" t="str">
        <f ca="1">INDIRECT(ADDRESS(11+(MATCH(RIGHT(Table11[[#This Row],[spawner_sku]],LEN(Table11[[#This Row],[spawner_sku]])-FIND("/",Table11[[#This Row],[spawner_sku]])),Table28[Entity Prefab],0)),25,1,1,"Entities"))</f>
        <v>yes</v>
      </c>
      <c r="CS421" s="72">
        <v>1</v>
      </c>
      <c r="CT421" s="72">
        <v>1</v>
      </c>
      <c r="CU421" s="72" t="b">
        <v>0</v>
      </c>
      <c r="DS421" t="s">
        <v>512</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235</v>
      </c>
      <c r="C422">
        <v>1.5</v>
      </c>
      <c r="D422">
        <v>300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113</v>
      </c>
      <c r="H422" s="72" t="str">
        <f ca="1">INDIRECT(ADDRESS(11+(MATCH(RIGHT(Table245[[#This Row],[spawner_sku]],LEN(Table245[[#This Row],[spawner_sku]])-FIND("/",Table245[[#This Row],[spawner_sku]])),Table28[Entity Prefab],0)),24,1,1,"Entities"))</f>
        <v>yes</v>
      </c>
      <c r="I422" s="72">
        <v>1</v>
      </c>
      <c r="J422" s="72">
        <v>2</v>
      </c>
      <c r="K422" s="72" t="b">
        <v>0</v>
      </c>
      <c r="BP422" t="s">
        <v>244</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CL422" t="s">
        <v>431</v>
      </c>
      <c r="CM422">
        <v>1</v>
      </c>
      <c r="CN422">
        <v>300</v>
      </c>
      <c r="CO422">
        <v>60</v>
      </c>
      <c r="CP422" s="75">
        <f ca="1">INDIRECT(ADDRESS(11+(MATCH(RIGHT(Table11[[#This Row],[spawner_sku]],LEN(Table11[[#This Row],[spawner_sku]])-FIND("/",Table11[[#This Row],[spawner_sku]])),Table1[Entity Prefab],0)),10,1,1,"Entities"))</f>
        <v>77</v>
      </c>
      <c r="CQ422">
        <f ca="1">ROUND((Table11[[#This Row],[XP]]*Table11[[#This Row],[entity_spawned (AVG)]])*(Table11[[#This Row],[activating_chance]]/100),0)</f>
        <v>46</v>
      </c>
      <c r="CR422" s="145" t="str">
        <f ca="1">INDIRECT(ADDRESS(11+(MATCH(RIGHT(Table11[[#This Row],[spawner_sku]],LEN(Table11[[#This Row],[spawner_sku]])-FIND("/",Table11[[#This Row],[spawner_sku]])),Table28[Entity Prefab],0)),25,1,1,"Entities"))</f>
        <v>yes</v>
      </c>
      <c r="CS422" s="72">
        <v>1</v>
      </c>
      <c r="CT422" s="72">
        <v>1</v>
      </c>
      <c r="CU422" s="72" t="b">
        <v>0</v>
      </c>
      <c r="DS422" t="s">
        <v>512</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235</v>
      </c>
      <c r="C423">
        <v>1</v>
      </c>
      <c r="D423">
        <v>300</v>
      </c>
      <c r="E423">
        <v>80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60</v>
      </c>
      <c r="H423" s="72" t="str">
        <f ca="1">INDIRECT(ADDRESS(11+(MATCH(RIGHT(Table245[[#This Row],[spawner_sku]],LEN(Table245[[#This Row],[spawner_sku]])-FIND("/",Table245[[#This Row],[spawner_sku]])),Table28[Entity Prefab],0)),24,1,1,"Entities"))</f>
        <v>yes</v>
      </c>
      <c r="I423" s="72">
        <v>1</v>
      </c>
      <c r="J423" s="72">
        <v>1</v>
      </c>
      <c r="K423" s="72" t="b">
        <v>0</v>
      </c>
      <c r="BP423" t="s">
        <v>244</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CL423" t="s">
        <v>431</v>
      </c>
      <c r="CM423">
        <v>1</v>
      </c>
      <c r="CN423">
        <v>300</v>
      </c>
      <c r="CO423">
        <v>100</v>
      </c>
      <c r="CP423" s="75">
        <f ca="1">INDIRECT(ADDRESS(11+(MATCH(RIGHT(Table11[[#This Row],[spawner_sku]],LEN(Table11[[#This Row],[spawner_sku]])-FIND("/",Table11[[#This Row],[spawner_sku]])),Table1[Entity Prefab],0)),10,1,1,"Entities"))</f>
        <v>77</v>
      </c>
      <c r="CQ423">
        <f ca="1">ROUND((Table11[[#This Row],[XP]]*Table11[[#This Row],[entity_spawned (AVG)]])*(Table11[[#This Row],[activating_chance]]/100),0)</f>
        <v>77</v>
      </c>
      <c r="CR423" s="145" t="str">
        <f ca="1">INDIRECT(ADDRESS(11+(MATCH(RIGHT(Table11[[#This Row],[spawner_sku]],LEN(Table11[[#This Row],[spawner_sku]])-FIND("/",Table11[[#This Row],[spawner_sku]])),Table28[Entity Prefab],0)),25,1,1,"Entities"))</f>
        <v>yes</v>
      </c>
      <c r="CS423" s="72">
        <v>1</v>
      </c>
      <c r="CT423" s="72">
        <v>1</v>
      </c>
      <c r="CU423" s="72" t="b">
        <v>0</v>
      </c>
      <c r="DS423" t="s">
        <v>512</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235</v>
      </c>
      <c r="C424">
        <v>1</v>
      </c>
      <c r="D424">
        <v>280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yes</v>
      </c>
      <c r="I424" s="72">
        <v>1</v>
      </c>
      <c r="J424" s="72">
        <v>1</v>
      </c>
      <c r="K424" s="72" t="b">
        <v>0</v>
      </c>
      <c r="BP424" t="s">
        <v>244</v>
      </c>
      <c r="BQ424">
        <v>1</v>
      </c>
      <c r="BR424">
        <v>240</v>
      </c>
      <c r="BS424">
        <v>30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15</v>
      </c>
      <c r="BV424" s="72" t="str">
        <f ca="1">INDIRECT(ADDRESS(11+(MATCH(RIGHT(Table61011[[#This Row],[spawner_sku]],LEN(Table61011[[#This Row],[spawner_sku]])-FIND("/",Table61011[[#This Row],[spawner_sku]])),Table28[Entity Prefab],0)),24,1,1,"Entities"))</f>
        <v>no</v>
      </c>
      <c r="BW424" s="72">
        <v>1</v>
      </c>
      <c r="BX424" s="72">
        <v>1</v>
      </c>
      <c r="BY424" s="72" t="b">
        <v>0</v>
      </c>
      <c r="BZ424" s="72"/>
      <c r="CL424" t="s">
        <v>431</v>
      </c>
      <c r="CM424">
        <v>1</v>
      </c>
      <c r="CN424">
        <v>300</v>
      </c>
      <c r="CO424">
        <v>50</v>
      </c>
      <c r="CP424" s="75">
        <f ca="1">INDIRECT(ADDRESS(11+(MATCH(RIGHT(Table11[[#This Row],[spawner_sku]],LEN(Table11[[#This Row],[spawner_sku]])-FIND("/",Table11[[#This Row],[spawner_sku]])),Table1[Entity Prefab],0)),10,1,1,"Entities"))</f>
        <v>77</v>
      </c>
      <c r="CQ424">
        <f ca="1">ROUND((Table11[[#This Row],[XP]]*Table11[[#This Row],[entity_spawned (AVG)]])*(Table11[[#This Row],[activating_chance]]/100),0)</f>
        <v>39</v>
      </c>
      <c r="CR424" s="145" t="str">
        <f ca="1">INDIRECT(ADDRESS(11+(MATCH(RIGHT(Table11[[#This Row],[spawner_sku]],LEN(Table11[[#This Row],[spawner_sku]])-FIND("/",Table11[[#This Row],[spawner_sku]])),Table28[Entity Prefab],0)),25,1,1,"Entities"))</f>
        <v>yes</v>
      </c>
      <c r="CS424" s="72">
        <v>1</v>
      </c>
      <c r="CT424" s="72">
        <v>1</v>
      </c>
      <c r="CU424" s="72" t="b">
        <v>0</v>
      </c>
      <c r="DS424" t="s">
        <v>512</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235</v>
      </c>
      <c r="C425">
        <v>1</v>
      </c>
      <c r="D425">
        <v>260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244</v>
      </c>
      <c r="BQ425">
        <v>1</v>
      </c>
      <c r="BR425">
        <v>220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CL425" t="s">
        <v>431</v>
      </c>
      <c r="CM425">
        <v>1</v>
      </c>
      <c r="CN425">
        <v>300</v>
      </c>
      <c r="CO425">
        <v>60</v>
      </c>
      <c r="CP425" s="75">
        <f ca="1">INDIRECT(ADDRESS(11+(MATCH(RIGHT(Table11[[#This Row],[spawner_sku]],LEN(Table11[[#This Row],[spawner_sku]])-FIND("/",Table11[[#This Row],[spawner_sku]])),Table1[Entity Prefab],0)),10,1,1,"Entities"))</f>
        <v>77</v>
      </c>
      <c r="CQ425">
        <f ca="1">ROUND((Table11[[#This Row],[XP]]*Table11[[#This Row],[entity_spawned (AVG)]])*(Table11[[#This Row],[activating_chance]]/100),0)</f>
        <v>46</v>
      </c>
      <c r="CR425" s="145" t="str">
        <f ca="1">INDIRECT(ADDRESS(11+(MATCH(RIGHT(Table11[[#This Row],[spawner_sku]],LEN(Table11[[#This Row],[spawner_sku]])-FIND("/",Table11[[#This Row],[spawner_sku]])),Table28[Entity Prefab],0)),25,1,1,"Entities"))</f>
        <v>yes</v>
      </c>
      <c r="CS425" s="72">
        <v>1</v>
      </c>
      <c r="CT425" s="72">
        <v>1</v>
      </c>
      <c r="CU425" s="72" t="b">
        <v>0</v>
      </c>
      <c r="DS425" t="s">
        <v>512</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382</v>
      </c>
      <c r="C426">
        <v>1</v>
      </c>
      <c r="D426">
        <v>300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244</v>
      </c>
      <c r="BQ426">
        <v>1</v>
      </c>
      <c r="BR426">
        <v>220</v>
      </c>
      <c r="BS426">
        <v>60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30</v>
      </c>
      <c r="BV426" s="72" t="str">
        <f ca="1">INDIRECT(ADDRESS(11+(MATCH(RIGHT(Table61011[[#This Row],[spawner_sku]],LEN(Table61011[[#This Row],[spawner_sku]])-FIND("/",Table61011[[#This Row],[spawner_sku]])),Table28[Entity Prefab],0)),24,1,1,"Entities"))</f>
        <v>no</v>
      </c>
      <c r="BW426" s="72">
        <v>1</v>
      </c>
      <c r="BX426" s="72">
        <v>1</v>
      </c>
      <c r="BY426" s="72" t="b">
        <v>0</v>
      </c>
      <c r="BZ426" s="72"/>
      <c r="CL426" t="s">
        <v>431</v>
      </c>
      <c r="CM426">
        <v>1</v>
      </c>
      <c r="CN426">
        <v>300</v>
      </c>
      <c r="CO426">
        <v>100</v>
      </c>
      <c r="CP426" s="75">
        <f ca="1">INDIRECT(ADDRESS(11+(MATCH(RIGHT(Table11[[#This Row],[spawner_sku]],LEN(Table11[[#This Row],[spawner_sku]])-FIND("/",Table11[[#This Row],[spawner_sku]])),Table1[Entity Prefab],0)),10,1,1,"Entities"))</f>
        <v>77</v>
      </c>
      <c r="CQ426">
        <f ca="1">ROUND((Table11[[#This Row],[XP]]*Table11[[#This Row],[entity_spawned (AVG)]])*(Table11[[#This Row],[activating_chance]]/100),0)</f>
        <v>77</v>
      </c>
      <c r="CR426" s="145" t="str">
        <f ca="1">INDIRECT(ADDRESS(11+(MATCH(RIGHT(Table11[[#This Row],[spawner_sku]],LEN(Table11[[#This Row],[spawner_sku]])-FIND("/",Table11[[#This Row],[spawner_sku]])),Table28[Entity Prefab],0)),25,1,1,"Entities"))</f>
        <v>yes</v>
      </c>
      <c r="CS426" s="72">
        <v>1</v>
      </c>
      <c r="CT426" s="72">
        <v>1</v>
      </c>
      <c r="CU426" s="72" t="b">
        <v>0</v>
      </c>
      <c r="DS426" t="s">
        <v>512</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382</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244</v>
      </c>
      <c r="BQ427">
        <v>1</v>
      </c>
      <c r="BR427">
        <v>240</v>
      </c>
      <c r="BS427">
        <v>100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50</v>
      </c>
      <c r="BV427" s="72" t="str">
        <f ca="1">INDIRECT(ADDRESS(11+(MATCH(RIGHT(Table61011[[#This Row],[spawner_sku]],LEN(Table61011[[#This Row],[spawner_sku]])-FIND("/",Table61011[[#This Row],[spawner_sku]])),Table28[Entity Prefab],0)),24,1,1,"Entities"))</f>
        <v>no</v>
      </c>
      <c r="BW427" s="72">
        <v>1</v>
      </c>
      <c r="BX427" s="72">
        <v>1</v>
      </c>
      <c r="BY427" s="72" t="b">
        <v>0</v>
      </c>
      <c r="BZ427" s="72"/>
      <c r="CL427" t="s">
        <v>431</v>
      </c>
      <c r="CM427">
        <v>1</v>
      </c>
      <c r="CN427">
        <v>300</v>
      </c>
      <c r="CO427">
        <v>50</v>
      </c>
      <c r="CP427" s="75">
        <f ca="1">INDIRECT(ADDRESS(11+(MATCH(RIGHT(Table11[[#This Row],[spawner_sku]],LEN(Table11[[#This Row],[spawner_sku]])-FIND("/",Table11[[#This Row],[spawner_sku]])),Table1[Entity Prefab],0)),10,1,1,"Entities"))</f>
        <v>77</v>
      </c>
      <c r="CQ427">
        <f ca="1">ROUND((Table11[[#This Row],[XP]]*Table11[[#This Row],[entity_spawned (AVG)]])*(Table11[[#This Row],[activating_chance]]/100),0)</f>
        <v>39</v>
      </c>
      <c r="CR427" s="145" t="str">
        <f ca="1">INDIRECT(ADDRESS(11+(MATCH(RIGHT(Table11[[#This Row],[spawner_sku]],LEN(Table11[[#This Row],[spawner_sku]])-FIND("/",Table11[[#This Row],[spawner_sku]])),Table28[Entity Prefab],0)),25,1,1,"Entities"))</f>
        <v>yes</v>
      </c>
      <c r="CS427" s="72">
        <v>1</v>
      </c>
      <c r="CT427" s="72">
        <v>1</v>
      </c>
      <c r="CU427" s="72" t="b">
        <v>0</v>
      </c>
      <c r="DS427" t="s">
        <v>512</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382</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244</v>
      </c>
      <c r="BQ428">
        <v>1</v>
      </c>
      <c r="BR428">
        <v>200</v>
      </c>
      <c r="BS428">
        <v>30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15</v>
      </c>
      <c r="BV428" s="72" t="str">
        <f ca="1">INDIRECT(ADDRESS(11+(MATCH(RIGHT(Table61011[[#This Row],[spawner_sku]],LEN(Table61011[[#This Row],[spawner_sku]])-FIND("/",Table61011[[#This Row],[spawner_sku]])),Table28[Entity Prefab],0)),24,1,1,"Entities"))</f>
        <v>no</v>
      </c>
      <c r="BW428" s="72">
        <v>1</v>
      </c>
      <c r="BX428" s="72">
        <v>1</v>
      </c>
      <c r="BY428" s="72" t="b">
        <v>0</v>
      </c>
      <c r="BZ428" s="72"/>
      <c r="CL428" t="s">
        <v>431</v>
      </c>
      <c r="CM428">
        <v>1</v>
      </c>
      <c r="CN428">
        <v>300</v>
      </c>
      <c r="CO428">
        <v>100</v>
      </c>
      <c r="CP428" s="75">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5" t="str">
        <f ca="1">INDIRECT(ADDRESS(11+(MATCH(RIGHT(Table11[[#This Row],[spawner_sku]],LEN(Table11[[#This Row],[spawner_sku]])-FIND("/",Table11[[#This Row],[spawner_sku]])),Table28[Entity Prefab],0)),25,1,1,"Entities"))</f>
        <v>yes</v>
      </c>
      <c r="CS428" s="72">
        <v>1</v>
      </c>
      <c r="CT428" s="72">
        <v>1</v>
      </c>
      <c r="CU428" s="72" t="b">
        <v>0</v>
      </c>
      <c r="DS428" t="s">
        <v>512</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382</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244</v>
      </c>
      <c r="BQ429">
        <v>1</v>
      </c>
      <c r="BR429">
        <v>200</v>
      </c>
      <c r="BS429">
        <v>100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50</v>
      </c>
      <c r="BV429" s="72" t="str">
        <f ca="1">INDIRECT(ADDRESS(11+(MATCH(RIGHT(Table61011[[#This Row],[spawner_sku]],LEN(Table61011[[#This Row],[spawner_sku]])-FIND("/",Table61011[[#This Row],[spawner_sku]])),Table28[Entity Prefab],0)),24,1,1,"Entities"))</f>
        <v>no</v>
      </c>
      <c r="BW429" s="72">
        <v>1</v>
      </c>
      <c r="BX429" s="72">
        <v>1</v>
      </c>
      <c r="BY429" s="72" t="b">
        <v>0</v>
      </c>
      <c r="BZ429" s="72"/>
      <c r="CL429" t="s">
        <v>431</v>
      </c>
      <c r="CM429">
        <v>1</v>
      </c>
      <c r="CN429">
        <v>300</v>
      </c>
      <c r="CO429">
        <v>100</v>
      </c>
      <c r="CP429" s="75">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5" t="str">
        <f ca="1">INDIRECT(ADDRESS(11+(MATCH(RIGHT(Table11[[#This Row],[spawner_sku]],LEN(Table11[[#This Row],[spawner_sku]])-FIND("/",Table11[[#This Row],[spawner_sku]])),Table28[Entity Prefab],0)),25,1,1,"Entities"))</f>
        <v>yes</v>
      </c>
      <c r="CS429" s="72">
        <v>1</v>
      </c>
      <c r="CT429" s="72">
        <v>1</v>
      </c>
      <c r="CU429" s="72" t="b">
        <v>0</v>
      </c>
      <c r="DS429" t="s">
        <v>512</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270</v>
      </c>
      <c r="E430">
        <v>100</v>
      </c>
      <c r="F430" s="75">
        <f ca="1">INDIRECT(ADDRESS(11+(MATCH(RIGHT(Table245[[#This Row],[spawner_sku]],LEN(Table245[[#This Row],[spawner_sku]])-FIND("/",Table245[[#This Row],[spawner_sku]])),Table1[Entity Prefab],0)),10,1,1,"Entities"))</f>
        <v>77</v>
      </c>
      <c r="G430" s="75">
        <f ca="1">ROUND((Table245[[#This Row],[XP]]*Table245[[#This Row],[entity_spawned (AVG)]])*(Table245[[#This Row],[activating_chance]]/100),0)</f>
        <v>77</v>
      </c>
      <c r="H430" s="72" t="str">
        <f ca="1">INDIRECT(ADDRESS(11+(MATCH(RIGHT(Table245[[#This Row],[spawner_sku]],LEN(Table245[[#This Row],[spawner_sku]])-FIND("/",Table245[[#This Row],[spawner_sku]])),Table28[Entity Prefab],0)),24,1,1,"Entities"))</f>
        <v>yes</v>
      </c>
      <c r="I430" s="72">
        <v>1</v>
      </c>
      <c r="J430" s="72">
        <v>1</v>
      </c>
      <c r="K430" s="72" t="b">
        <v>0</v>
      </c>
      <c r="BP430" t="s">
        <v>244</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CL430" t="s">
        <v>431</v>
      </c>
      <c r="CM430">
        <v>1</v>
      </c>
      <c r="CN430">
        <v>300</v>
      </c>
      <c r="CO430">
        <v>100</v>
      </c>
      <c r="CP430" s="75">
        <f ca="1">INDIRECT(ADDRESS(11+(MATCH(RIGHT(Table11[[#This Row],[spawner_sku]],LEN(Table11[[#This Row],[spawner_sku]])-FIND("/",Table11[[#This Row],[spawner_sku]])),Table1[Entity Prefab],0)),10,1,1,"Entities"))</f>
        <v>77</v>
      </c>
      <c r="CQ430">
        <f ca="1">ROUND((Table11[[#This Row],[XP]]*Table11[[#This Row],[entity_spawned (AVG)]])*(Table11[[#This Row],[activating_chance]]/100),0)</f>
        <v>77</v>
      </c>
      <c r="CR430" s="145" t="str">
        <f ca="1">INDIRECT(ADDRESS(11+(MATCH(RIGHT(Table11[[#This Row],[spawner_sku]],LEN(Table11[[#This Row],[spawner_sku]])-FIND("/",Table11[[#This Row],[spawner_sku]])),Table28[Entity Prefab],0)),25,1,1,"Entities"))</f>
        <v>yes</v>
      </c>
      <c r="CS430" s="72">
        <v>1</v>
      </c>
      <c r="CT430" s="72">
        <v>1</v>
      </c>
      <c r="CU430" s="72" t="b">
        <v>0</v>
      </c>
      <c r="DS430" t="s">
        <v>512</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383</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244</v>
      </c>
      <c r="BQ431">
        <v>1</v>
      </c>
      <c r="BR431">
        <v>240</v>
      </c>
      <c r="BS431">
        <v>100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50</v>
      </c>
      <c r="BV431" s="72" t="str">
        <f ca="1">INDIRECT(ADDRESS(11+(MATCH(RIGHT(Table61011[[#This Row],[spawner_sku]],LEN(Table61011[[#This Row],[spawner_sku]])-FIND("/",Table61011[[#This Row],[spawner_sku]])),Table28[Entity Prefab],0)),24,1,1,"Entities"))</f>
        <v>no</v>
      </c>
      <c r="BW431" s="72">
        <v>1</v>
      </c>
      <c r="BX431" s="72">
        <v>1</v>
      </c>
      <c r="BY431" s="72" t="b">
        <v>0</v>
      </c>
      <c r="BZ431" s="72"/>
      <c r="CL431" t="s">
        <v>504</v>
      </c>
      <c r="CM431">
        <v>1</v>
      </c>
      <c r="CN431">
        <v>130</v>
      </c>
      <c r="CO431">
        <v>50</v>
      </c>
      <c r="CP431" s="75">
        <f ca="1">INDIRECT(ADDRESS(11+(MATCH(RIGHT(Table11[[#This Row],[spawner_sku]],LEN(Table11[[#This Row],[spawner_sku]])-FIND("/",Table11[[#This Row],[spawner_sku]])),Table1[Entity Prefab],0)),10,1,1,"Entities"))</f>
        <v>50</v>
      </c>
      <c r="CQ431">
        <f ca="1">ROUND((Table11[[#This Row],[XP]]*Table11[[#This Row],[entity_spawned (AVG)]])*(Table11[[#This Row],[activating_chance]]/100),0)</f>
        <v>25</v>
      </c>
      <c r="CR431" s="145" t="str">
        <f ca="1">INDIRECT(ADDRESS(11+(MATCH(RIGHT(Table11[[#This Row],[spawner_sku]],LEN(Table11[[#This Row],[spawner_sku]])-FIND("/",Table11[[#This Row],[spawner_sku]])),Table28[Entity Prefab],0)),25,1,1,"Entities"))</f>
        <v>no</v>
      </c>
      <c r="CS431" s="72">
        <v>1</v>
      </c>
      <c r="CT431" s="72">
        <v>1</v>
      </c>
      <c r="CU431" s="72" t="b">
        <v>0</v>
      </c>
      <c r="DS431" t="s">
        <v>512</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383</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244</v>
      </c>
      <c r="BQ432">
        <v>1</v>
      </c>
      <c r="BR432">
        <v>240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CL432" t="s">
        <v>504</v>
      </c>
      <c r="CM432">
        <v>1</v>
      </c>
      <c r="CN432">
        <v>130</v>
      </c>
      <c r="CO432">
        <v>100</v>
      </c>
      <c r="CP432" s="75">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5" t="str">
        <f ca="1">INDIRECT(ADDRESS(11+(MATCH(RIGHT(Table11[[#This Row],[spawner_sku]],LEN(Table11[[#This Row],[spawner_sku]])-FIND("/",Table11[[#This Row],[spawner_sku]])),Table28[Entity Prefab],0)),25,1,1,"Entities"))</f>
        <v>no</v>
      </c>
      <c r="CS432" s="72">
        <v>1</v>
      </c>
      <c r="CT432" s="72">
        <v>1</v>
      </c>
      <c r="CU432" s="72" t="b">
        <v>0</v>
      </c>
      <c r="DS432" t="s">
        <v>512</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383</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376</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CL433" t="s">
        <v>504</v>
      </c>
      <c r="CM433">
        <v>1</v>
      </c>
      <c r="CN433">
        <v>130</v>
      </c>
      <c r="CO433">
        <v>100</v>
      </c>
      <c r="CP433" s="75">
        <f ca="1">INDIRECT(ADDRESS(11+(MATCH(RIGHT(Table11[[#This Row],[spawner_sku]],LEN(Table11[[#This Row],[spawner_sku]])-FIND("/",Table11[[#This Row],[spawner_sku]])),Table1[Entity Prefab],0)),10,1,1,"Entities"))</f>
        <v>50</v>
      </c>
      <c r="CQ433">
        <f ca="1">ROUND((Table11[[#This Row],[XP]]*Table11[[#This Row],[entity_spawned (AVG)]])*(Table11[[#This Row],[activating_chance]]/100),0)</f>
        <v>50</v>
      </c>
      <c r="CR433" s="145" t="str">
        <f ca="1">INDIRECT(ADDRESS(11+(MATCH(RIGHT(Table11[[#This Row],[spawner_sku]],LEN(Table11[[#This Row],[spawner_sku]])-FIND("/",Table11[[#This Row],[spawner_sku]])),Table28[Entity Prefab],0)),25,1,1,"Entities"))</f>
        <v>no</v>
      </c>
      <c r="CS433" s="72">
        <v>1</v>
      </c>
      <c r="CT433" s="72">
        <v>1</v>
      </c>
      <c r="CU433" s="72" t="b">
        <v>0</v>
      </c>
      <c r="DS433" t="s">
        <v>512</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425</v>
      </c>
      <c r="C434">
        <v>1</v>
      </c>
      <c r="D434">
        <v>280</v>
      </c>
      <c r="E434">
        <v>50</v>
      </c>
      <c r="F434" s="75">
        <f ca="1">INDIRECT(ADDRESS(11+(MATCH(RIGHT(Table245[[#This Row],[spawner_sku]],LEN(Table245[[#This Row],[spawner_sku]])-FIND("/",Table245[[#This Row],[spawner_sku]])),Table1[Entity Prefab],0)),10,1,1,"Entities"))</f>
        <v>55</v>
      </c>
      <c r="G434" s="75">
        <f ca="1">ROUND((Table245[[#This Row],[XP]]*Table245[[#This Row],[entity_spawned (AVG)]])*(Table245[[#This Row],[activating_chance]]/100),0)</f>
        <v>28</v>
      </c>
      <c r="H434" s="72" t="str">
        <f ca="1">INDIRECT(ADDRESS(11+(MATCH(RIGHT(Table245[[#This Row],[spawner_sku]],LEN(Table245[[#This Row],[spawner_sku]])-FIND("/",Table245[[#This Row],[spawner_sku]])),Table28[Entity Prefab],0)),24,1,1,"Entities"))</f>
        <v>yes</v>
      </c>
      <c r="I434" s="72">
        <v>1</v>
      </c>
      <c r="J434" s="72">
        <v>1</v>
      </c>
      <c r="K434" s="72" t="b">
        <v>0</v>
      </c>
      <c r="BP434" t="s">
        <v>376</v>
      </c>
      <c r="BQ434">
        <v>1</v>
      </c>
      <c r="BR434">
        <v>220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CL434" t="s">
        <v>375</v>
      </c>
      <c r="CM434">
        <v>1</v>
      </c>
      <c r="CN434">
        <v>220</v>
      </c>
      <c r="CO434">
        <v>90</v>
      </c>
      <c r="CP434" s="75">
        <f ca="1">INDIRECT(ADDRESS(11+(MATCH(RIGHT(Table11[[#This Row],[spawner_sku]],LEN(Table11[[#This Row],[spawner_sku]])-FIND("/",Table11[[#This Row],[spawner_sku]])),Table1[Entity Prefab],0)),10,1,1,"Entities"))</f>
        <v>83</v>
      </c>
      <c r="CQ434">
        <f ca="1">ROUND((Table11[[#This Row],[XP]]*Table11[[#This Row],[entity_spawned (AVG)]])*(Table11[[#This Row],[activating_chance]]/100),0)</f>
        <v>75</v>
      </c>
      <c r="CR434" s="145" t="str">
        <f ca="1">INDIRECT(ADDRESS(11+(MATCH(RIGHT(Table11[[#This Row],[spawner_sku]],LEN(Table11[[#This Row],[spawner_sku]])-FIND("/",Table11[[#This Row],[spawner_sku]])),Table28[Entity Prefab],0)),25,1,1,"Entities"))</f>
        <v>no</v>
      </c>
      <c r="CS434" s="72">
        <v>1</v>
      </c>
      <c r="CT434" s="72">
        <v>1</v>
      </c>
      <c r="CU434" s="72" t="b">
        <v>0</v>
      </c>
      <c r="DS434" t="s">
        <v>512</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425</v>
      </c>
      <c r="C435">
        <v>1</v>
      </c>
      <c r="D435">
        <v>320</v>
      </c>
      <c r="E435">
        <v>100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55</v>
      </c>
      <c r="H435" s="72" t="str">
        <f ca="1">INDIRECT(ADDRESS(11+(MATCH(RIGHT(Table245[[#This Row],[spawner_sku]],LEN(Table245[[#This Row],[spawner_sku]])-FIND("/",Table245[[#This Row],[spawner_sku]])),Table28[Entity Prefab],0)),24,1,1,"Entities"))</f>
        <v>yes</v>
      </c>
      <c r="I435" s="72">
        <v>1</v>
      </c>
      <c r="J435" s="72">
        <v>1</v>
      </c>
      <c r="K435" s="72" t="b">
        <v>0</v>
      </c>
      <c r="BP435" t="s">
        <v>376</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CL435" t="s">
        <v>375</v>
      </c>
      <c r="CM435">
        <v>1</v>
      </c>
      <c r="CN435">
        <v>220</v>
      </c>
      <c r="CO435">
        <v>30</v>
      </c>
      <c r="CP435" s="75">
        <f ca="1">INDIRECT(ADDRESS(11+(MATCH(RIGHT(Table11[[#This Row],[spawner_sku]],LEN(Table11[[#This Row],[spawner_sku]])-FIND("/",Table11[[#This Row],[spawner_sku]])),Table1[Entity Prefab],0)),10,1,1,"Entities"))</f>
        <v>83</v>
      </c>
      <c r="CQ435">
        <f ca="1">ROUND((Table11[[#This Row],[XP]]*Table11[[#This Row],[entity_spawned (AVG)]])*(Table11[[#This Row],[activating_chance]]/100),0)</f>
        <v>25</v>
      </c>
      <c r="CR435" s="145" t="str">
        <f ca="1">INDIRECT(ADDRESS(11+(MATCH(RIGHT(Table11[[#This Row],[spawner_sku]],LEN(Table11[[#This Row],[spawner_sku]])-FIND("/",Table11[[#This Row],[spawner_sku]])),Table28[Entity Prefab],0)),25,1,1,"Entities"))</f>
        <v>no</v>
      </c>
      <c r="CS435" s="72">
        <v>1</v>
      </c>
      <c r="CT435" s="72">
        <v>1</v>
      </c>
      <c r="CU435" s="72" t="b">
        <v>0</v>
      </c>
      <c r="DS435" t="s">
        <v>512</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425</v>
      </c>
      <c r="C436">
        <v>1</v>
      </c>
      <c r="D436">
        <v>300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322</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CL436" t="s">
        <v>375</v>
      </c>
      <c r="CM436">
        <v>1</v>
      </c>
      <c r="CN436">
        <v>220</v>
      </c>
      <c r="CO436">
        <v>80</v>
      </c>
      <c r="CP436" s="75">
        <f ca="1">INDIRECT(ADDRESS(11+(MATCH(RIGHT(Table11[[#This Row],[spawner_sku]],LEN(Table11[[#This Row],[spawner_sku]])-FIND("/",Table11[[#This Row],[spawner_sku]])),Table1[Entity Prefab],0)),10,1,1,"Entities"))</f>
        <v>83</v>
      </c>
      <c r="CQ436">
        <f ca="1">ROUND((Table11[[#This Row],[XP]]*Table11[[#This Row],[entity_spawned (AVG)]])*(Table11[[#This Row],[activating_chance]]/100),0)</f>
        <v>66</v>
      </c>
      <c r="CR436" s="145" t="str">
        <f ca="1">INDIRECT(ADDRESS(11+(MATCH(RIGHT(Table11[[#This Row],[spawner_sku]],LEN(Table11[[#This Row],[spawner_sku]])-FIND("/",Table11[[#This Row],[spawner_sku]])),Table28[Entity Prefab],0)),25,1,1,"Entities"))</f>
        <v>no</v>
      </c>
      <c r="CS436" s="72">
        <v>1</v>
      </c>
      <c r="CT436" s="72">
        <v>1</v>
      </c>
      <c r="CU436" s="72" t="b">
        <v>0</v>
      </c>
      <c r="DS436" t="s">
        <v>512</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425</v>
      </c>
      <c r="C437">
        <v>1</v>
      </c>
      <c r="D437">
        <v>280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322</v>
      </c>
      <c r="BQ437">
        <v>1</v>
      </c>
      <c r="BR437">
        <v>240</v>
      </c>
      <c r="BS437">
        <v>20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10</v>
      </c>
      <c r="BV437" s="72" t="str">
        <f ca="1">INDIRECT(ADDRESS(11+(MATCH(RIGHT(Table61011[[#This Row],[spawner_sku]],LEN(Table61011[[#This Row],[spawner_sku]])-FIND("/",Table61011[[#This Row],[spawner_sku]])),Table28[Entity Prefab],0)),24,1,1,"Entities"))</f>
        <v>no</v>
      </c>
      <c r="BW437" s="72">
        <v>1</v>
      </c>
      <c r="BX437" s="72">
        <v>1</v>
      </c>
      <c r="BY437" s="72" t="b">
        <v>0</v>
      </c>
      <c r="BZ437" s="72"/>
      <c r="CL437" t="s">
        <v>378</v>
      </c>
      <c r="CM437">
        <v>5</v>
      </c>
      <c r="CN437">
        <v>120</v>
      </c>
      <c r="CO437">
        <v>100</v>
      </c>
      <c r="CP437" s="75">
        <f ca="1">INDIRECT(ADDRESS(11+(MATCH(RIGHT(Table11[[#This Row],[spawner_sku]],LEN(Table11[[#This Row],[spawner_sku]])-FIND("/",Table11[[#This Row],[spawner_sku]])),Table1[Entity Prefab],0)),10,1,1,"Entities"))</f>
        <v>25</v>
      </c>
      <c r="CQ437">
        <f ca="1">ROUND((Table11[[#This Row],[XP]]*Table11[[#This Row],[entity_spawned (AVG)]])*(Table11[[#This Row],[activating_chance]]/100),0)</f>
        <v>125</v>
      </c>
      <c r="CR437" s="145" t="str">
        <f ca="1">INDIRECT(ADDRESS(11+(MATCH(RIGHT(Table11[[#This Row],[spawner_sku]],LEN(Table11[[#This Row],[spawner_sku]])-FIND("/",Table11[[#This Row],[spawner_sku]])),Table28[Entity Prefab],0)),25,1,1,"Entities"))</f>
        <v>no</v>
      </c>
      <c r="CS437" s="72">
        <v>5</v>
      </c>
      <c r="CT437" s="72">
        <v>5</v>
      </c>
      <c r="CU437" s="72" t="b">
        <v>1</v>
      </c>
      <c r="DS437" t="s">
        <v>512</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236</v>
      </c>
      <c r="C438">
        <v>1</v>
      </c>
      <c r="D438">
        <v>230</v>
      </c>
      <c r="E438">
        <v>80</v>
      </c>
      <c r="F438" s="75">
        <f ca="1">INDIRECT(ADDRESS(11+(MATCH(RIGHT(Table245[[#This Row],[spawner_sku]],LEN(Table245[[#This Row],[spawner_sku]])-FIND("/",Table245[[#This Row],[spawner_sku]])),Table1[Entity Prefab],0)),10,1,1,"Entities"))</f>
        <v>50</v>
      </c>
      <c r="G438" s="75">
        <f ca="1">ROUND((Table245[[#This Row],[XP]]*Table245[[#This Row],[entity_spawned (AVG)]])*(Table245[[#This Row],[activating_chance]]/100),0)</f>
        <v>40</v>
      </c>
      <c r="H438" s="72" t="str">
        <f ca="1">INDIRECT(ADDRESS(11+(MATCH(RIGHT(Table245[[#This Row],[spawner_sku]],LEN(Table245[[#This Row],[spawner_sku]])-FIND("/",Table245[[#This Row],[spawner_sku]])),Table28[Entity Prefab],0)),24,1,1,"Entities"))</f>
        <v>no</v>
      </c>
      <c r="I438" s="72">
        <v>1</v>
      </c>
      <c r="J438" s="72">
        <v>1</v>
      </c>
      <c r="K438" s="72" t="b">
        <v>0</v>
      </c>
      <c r="BP438" t="s">
        <v>322</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CL438" t="s">
        <v>378</v>
      </c>
      <c r="CM438">
        <v>5</v>
      </c>
      <c r="CN438">
        <v>120</v>
      </c>
      <c r="CO438">
        <v>100</v>
      </c>
      <c r="CP438" s="75">
        <f ca="1">INDIRECT(ADDRESS(11+(MATCH(RIGHT(Table11[[#This Row],[spawner_sku]],LEN(Table11[[#This Row],[spawner_sku]])-FIND("/",Table11[[#This Row],[spawner_sku]])),Table1[Entity Prefab],0)),10,1,1,"Entities"))</f>
        <v>25</v>
      </c>
      <c r="CQ438">
        <f ca="1">ROUND((Table11[[#This Row],[XP]]*Table11[[#This Row],[entity_spawned (AVG)]])*(Table11[[#This Row],[activating_chance]]/100),0)</f>
        <v>125</v>
      </c>
      <c r="CR438" s="145" t="str">
        <f ca="1">INDIRECT(ADDRESS(11+(MATCH(RIGHT(Table11[[#This Row],[spawner_sku]],LEN(Table11[[#This Row],[spawner_sku]])-FIND("/",Table11[[#This Row],[spawner_sku]])),Table28[Entity Prefab],0)),25,1,1,"Entities"))</f>
        <v>no</v>
      </c>
      <c r="CS438" s="72">
        <v>5</v>
      </c>
      <c r="CT438" s="72">
        <v>5</v>
      </c>
      <c r="CU438" s="72" t="b">
        <v>1</v>
      </c>
      <c r="DS438" t="s">
        <v>512</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236</v>
      </c>
      <c r="C439">
        <v>1</v>
      </c>
      <c r="D439">
        <v>230</v>
      </c>
      <c r="E439">
        <v>80</v>
      </c>
      <c r="F439" s="75">
        <f ca="1">INDIRECT(ADDRESS(11+(MATCH(RIGHT(Table245[[#This Row],[spawner_sku]],LEN(Table245[[#This Row],[spawner_sku]])-FIND("/",Table245[[#This Row],[spawner_sku]])),Table1[Entity Prefab],0)),10,1,1,"Entities"))</f>
        <v>50</v>
      </c>
      <c r="G439" s="75">
        <f ca="1">ROUND((Table245[[#This Row],[XP]]*Table245[[#This Row],[entity_spawned (AVG)]])*(Table245[[#This Row],[activating_chance]]/100),0)</f>
        <v>40</v>
      </c>
      <c r="H439" s="72" t="str">
        <f ca="1">INDIRECT(ADDRESS(11+(MATCH(RIGHT(Table245[[#This Row],[spawner_sku]],LEN(Table245[[#This Row],[spawner_sku]])-FIND("/",Table245[[#This Row],[spawner_sku]])),Table28[Entity Prefab],0)),24,1,1,"Entities"))</f>
        <v>no</v>
      </c>
      <c r="I439" s="72">
        <v>1</v>
      </c>
      <c r="J439" s="72">
        <v>1</v>
      </c>
      <c r="K439" s="72" t="b">
        <v>0</v>
      </c>
      <c r="BP439" t="s">
        <v>432</v>
      </c>
      <c r="BQ439">
        <v>1</v>
      </c>
      <c r="BR439">
        <v>240</v>
      </c>
      <c r="BS439">
        <v>80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40</v>
      </c>
      <c r="BV439" s="72" t="str">
        <f ca="1">INDIRECT(ADDRESS(11+(MATCH(RIGHT(Table61011[[#This Row],[spawner_sku]],LEN(Table61011[[#This Row],[spawner_sku]])-FIND("/",Table61011[[#This Row],[spawner_sku]])),Table28[Entity Prefab],0)),24,1,1,"Entities"))</f>
        <v>no</v>
      </c>
      <c r="BW439" s="72">
        <v>1</v>
      </c>
      <c r="BX439" s="72">
        <v>1</v>
      </c>
      <c r="BY439" s="72" t="b">
        <v>0</v>
      </c>
      <c r="BZ439" s="72"/>
      <c r="CL439" t="s">
        <v>378</v>
      </c>
      <c r="CM439">
        <v>3</v>
      </c>
      <c r="CN439">
        <v>120</v>
      </c>
      <c r="CO439">
        <v>80</v>
      </c>
      <c r="CP439" s="75">
        <f ca="1">INDIRECT(ADDRESS(11+(MATCH(RIGHT(Table11[[#This Row],[spawner_sku]],LEN(Table11[[#This Row],[spawner_sku]])-FIND("/",Table11[[#This Row],[spawner_sku]])),Table1[Entity Prefab],0)),10,1,1,"Entities"))</f>
        <v>25</v>
      </c>
      <c r="CQ439">
        <f ca="1">ROUND((Table11[[#This Row],[XP]]*Table11[[#This Row],[entity_spawned (AVG)]])*(Table11[[#This Row],[activating_chance]]/100),0)</f>
        <v>60</v>
      </c>
      <c r="CR439" s="145" t="str">
        <f ca="1">INDIRECT(ADDRESS(11+(MATCH(RIGHT(Table11[[#This Row],[spawner_sku]],LEN(Table11[[#This Row],[spawner_sku]])-FIND("/",Table11[[#This Row],[spawner_sku]])),Table28[Entity Prefab],0)),25,1,1,"Entities"))</f>
        <v>no</v>
      </c>
      <c r="CS439" s="72">
        <v>2</v>
      </c>
      <c r="CT439" s="72">
        <v>4</v>
      </c>
      <c r="CU439" s="72" t="b">
        <v>0</v>
      </c>
      <c r="DS439" t="s">
        <v>512</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236</v>
      </c>
      <c r="C440">
        <v>1</v>
      </c>
      <c r="D440">
        <v>230</v>
      </c>
      <c r="E440">
        <v>100</v>
      </c>
      <c r="F440" s="75">
        <f ca="1">INDIRECT(ADDRESS(11+(MATCH(RIGHT(Table245[[#This Row],[spawner_sku]],LEN(Table245[[#This Row],[spawner_sku]])-FIND("/",Table245[[#This Row],[spawner_sku]])),Table1[Entity Prefab],0)),10,1,1,"Entities"))</f>
        <v>50</v>
      </c>
      <c r="G440" s="75">
        <f ca="1">ROUND((Table245[[#This Row],[XP]]*Table245[[#This Row],[entity_spawned (AVG)]])*(Table245[[#This Row],[activating_chance]]/100),0)</f>
        <v>50</v>
      </c>
      <c r="H440" s="72" t="str">
        <f ca="1">INDIRECT(ADDRESS(11+(MATCH(RIGHT(Table245[[#This Row],[spawner_sku]],LEN(Table245[[#This Row],[spawner_sku]])-FIND("/",Table245[[#This Row],[spawner_sku]])),Table28[Entity Prefab],0)),24,1,1,"Entities"))</f>
        <v>no</v>
      </c>
      <c r="I440" s="72">
        <v>1</v>
      </c>
      <c r="J440" s="72">
        <v>1</v>
      </c>
      <c r="K440" s="72" t="b">
        <v>0</v>
      </c>
      <c r="BP440" t="s">
        <v>432</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CL440" t="s">
        <v>378</v>
      </c>
      <c r="CM440">
        <v>3</v>
      </c>
      <c r="CN440">
        <v>120</v>
      </c>
      <c r="CO440">
        <v>80</v>
      </c>
      <c r="CP440" s="75">
        <f ca="1">INDIRECT(ADDRESS(11+(MATCH(RIGHT(Table11[[#This Row],[spawner_sku]],LEN(Table11[[#This Row],[spawner_sku]])-FIND("/",Table11[[#This Row],[spawner_sku]])),Table1[Entity Prefab],0)),10,1,1,"Entities"))</f>
        <v>25</v>
      </c>
      <c r="CQ440">
        <f ca="1">ROUND((Table11[[#This Row],[XP]]*Table11[[#This Row],[entity_spawned (AVG)]])*(Table11[[#This Row],[activating_chance]]/100),0)</f>
        <v>60</v>
      </c>
      <c r="CR440" s="145" t="str">
        <f ca="1">INDIRECT(ADDRESS(11+(MATCH(RIGHT(Table11[[#This Row],[spawner_sku]],LEN(Table11[[#This Row],[spawner_sku]])-FIND("/",Table11[[#This Row],[spawner_sku]])),Table28[Entity Prefab],0)),25,1,1,"Entities"))</f>
        <v>no</v>
      </c>
      <c r="CS440" s="72">
        <v>2</v>
      </c>
      <c r="CT440" s="72">
        <v>4</v>
      </c>
      <c r="CU440" s="72" t="b">
        <v>0</v>
      </c>
      <c r="DS440" t="s">
        <v>512</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236</v>
      </c>
      <c r="C441">
        <v>1</v>
      </c>
      <c r="D441">
        <v>230</v>
      </c>
      <c r="E441">
        <v>80</v>
      </c>
      <c r="F441" s="75">
        <f ca="1">INDIRECT(ADDRESS(11+(MATCH(RIGHT(Table245[[#This Row],[spawner_sku]],LEN(Table245[[#This Row],[spawner_sku]])-FIND("/",Table245[[#This Row],[spawner_sku]])),Table1[Entity Prefab],0)),10,1,1,"Entities"))</f>
        <v>50</v>
      </c>
      <c r="G441" s="75">
        <f ca="1">ROUND((Table245[[#This Row],[XP]]*Table245[[#This Row],[entity_spawned (AVG)]])*(Table245[[#This Row],[activating_chance]]/100),0)</f>
        <v>40</v>
      </c>
      <c r="H441" s="72" t="str">
        <f ca="1">INDIRECT(ADDRESS(11+(MATCH(RIGHT(Table245[[#This Row],[spawner_sku]],LEN(Table245[[#This Row],[spawner_sku]])-FIND("/",Table245[[#This Row],[spawner_sku]])),Table28[Entity Prefab],0)),24,1,1,"Entities"))</f>
        <v>no</v>
      </c>
      <c r="I441" s="72">
        <v>1</v>
      </c>
      <c r="J441" s="72">
        <v>1</v>
      </c>
      <c r="K441" s="72" t="b">
        <v>0</v>
      </c>
      <c r="BP441" t="s">
        <v>432</v>
      </c>
      <c r="BQ441">
        <v>1</v>
      </c>
      <c r="BR441">
        <v>240</v>
      </c>
      <c r="BS441">
        <v>80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40</v>
      </c>
      <c r="BV441" s="72" t="str">
        <f ca="1">INDIRECT(ADDRESS(11+(MATCH(RIGHT(Table61011[[#This Row],[spawner_sku]],LEN(Table61011[[#This Row],[spawner_sku]])-FIND("/",Table61011[[#This Row],[spawner_sku]])),Table28[Entity Prefab],0)),24,1,1,"Entities"))</f>
        <v>no</v>
      </c>
      <c r="BW441" s="72">
        <v>1</v>
      </c>
      <c r="BX441" s="72">
        <v>1</v>
      </c>
      <c r="BY441" s="72" t="b">
        <v>0</v>
      </c>
      <c r="BZ441" s="72"/>
      <c r="CL441" t="s">
        <v>378</v>
      </c>
      <c r="CM441">
        <v>3</v>
      </c>
      <c r="CN441">
        <v>120</v>
      </c>
      <c r="CO441">
        <v>80</v>
      </c>
      <c r="CP441" s="75">
        <f ca="1">INDIRECT(ADDRESS(11+(MATCH(RIGHT(Table11[[#This Row],[spawner_sku]],LEN(Table11[[#This Row],[spawner_sku]])-FIND("/",Table11[[#This Row],[spawner_sku]])),Table1[Entity Prefab],0)),10,1,1,"Entities"))</f>
        <v>25</v>
      </c>
      <c r="CQ441">
        <f ca="1">ROUND((Table11[[#This Row],[XP]]*Table11[[#This Row],[entity_spawned (AVG)]])*(Table11[[#This Row],[activating_chance]]/100),0)</f>
        <v>60</v>
      </c>
      <c r="CR441" s="145" t="str">
        <f ca="1">INDIRECT(ADDRESS(11+(MATCH(RIGHT(Table11[[#This Row],[spawner_sku]],LEN(Table11[[#This Row],[spawner_sku]])-FIND("/",Table11[[#This Row],[spawner_sku]])),Table28[Entity Prefab],0)),25,1,1,"Entities"))</f>
        <v>no</v>
      </c>
      <c r="CS441" s="72">
        <v>2</v>
      </c>
      <c r="CT441" s="72">
        <v>4</v>
      </c>
      <c r="CU441" s="72" t="b">
        <v>0</v>
      </c>
      <c r="DS441" t="s">
        <v>512</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236</v>
      </c>
      <c r="C442">
        <v>1</v>
      </c>
      <c r="D442">
        <v>230</v>
      </c>
      <c r="E442">
        <v>80</v>
      </c>
      <c r="F442" s="75">
        <f ca="1">INDIRECT(ADDRESS(11+(MATCH(RIGHT(Table245[[#This Row],[spawner_sku]],LEN(Table245[[#This Row],[spawner_sku]])-FIND("/",Table245[[#This Row],[spawner_sku]])),Table1[Entity Prefab],0)),10,1,1,"Entities"))</f>
        <v>50</v>
      </c>
      <c r="G442" s="75">
        <f ca="1">ROUND((Table245[[#This Row],[XP]]*Table245[[#This Row],[entity_spawned (AVG)]])*(Table245[[#This Row],[activating_chance]]/100),0)</f>
        <v>40</v>
      </c>
      <c r="H442" s="72" t="str">
        <f ca="1">INDIRECT(ADDRESS(11+(MATCH(RIGHT(Table245[[#This Row],[spawner_sku]],LEN(Table245[[#This Row],[spawner_sku]])-FIND("/",Table245[[#This Row],[spawner_sku]])),Table28[Entity Prefab],0)),24,1,1,"Entities"))</f>
        <v>no</v>
      </c>
      <c r="I442" s="72">
        <v>1</v>
      </c>
      <c r="J442" s="72">
        <v>1</v>
      </c>
      <c r="K442" s="72" t="b">
        <v>0</v>
      </c>
      <c r="BP442" t="s">
        <v>432</v>
      </c>
      <c r="BQ442">
        <v>1</v>
      </c>
      <c r="BR442">
        <v>240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CL442" t="s">
        <v>378</v>
      </c>
      <c r="CM442">
        <v>3</v>
      </c>
      <c r="CN442">
        <v>120</v>
      </c>
      <c r="CO442">
        <v>80</v>
      </c>
      <c r="CP442" s="75">
        <f ca="1">INDIRECT(ADDRESS(11+(MATCH(RIGHT(Table11[[#This Row],[spawner_sku]],LEN(Table11[[#This Row],[spawner_sku]])-FIND("/",Table11[[#This Row],[spawner_sku]])),Table1[Entity Prefab],0)),10,1,1,"Entities"))</f>
        <v>25</v>
      </c>
      <c r="CQ442">
        <f ca="1">ROUND((Table11[[#This Row],[XP]]*Table11[[#This Row],[entity_spawned (AVG)]])*(Table11[[#This Row],[activating_chance]]/100),0)</f>
        <v>60</v>
      </c>
      <c r="CR442" s="145" t="str">
        <f ca="1">INDIRECT(ADDRESS(11+(MATCH(RIGHT(Table11[[#This Row],[spawner_sku]],LEN(Table11[[#This Row],[spawner_sku]])-FIND("/",Table11[[#This Row],[spawner_sku]])),Table28[Entity Prefab],0)),25,1,1,"Entities"))</f>
        <v>no</v>
      </c>
      <c r="CS442" s="72">
        <v>2</v>
      </c>
      <c r="CT442" s="72">
        <v>4</v>
      </c>
      <c r="CU442" s="72" t="b">
        <v>0</v>
      </c>
      <c r="DS442" t="s">
        <v>512</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237</v>
      </c>
      <c r="C443">
        <v>1</v>
      </c>
      <c r="D443">
        <v>270</v>
      </c>
      <c r="E443">
        <v>20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17</v>
      </c>
      <c r="H443" s="72" t="str">
        <f ca="1">INDIRECT(ADDRESS(11+(MATCH(RIGHT(Table245[[#This Row],[spawner_sku]],LEN(Table245[[#This Row],[spawner_sku]])-FIND("/",Table245[[#This Row],[spawner_sku]])),Table28[Entity Prefab],0)),24,1,1,"Entities"))</f>
        <v>no</v>
      </c>
      <c r="I443" s="72">
        <v>1</v>
      </c>
      <c r="J443" s="72">
        <v>1</v>
      </c>
      <c r="K443" s="72" t="b">
        <v>0</v>
      </c>
      <c r="BP443" t="s">
        <v>432</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CL443" t="s">
        <v>378</v>
      </c>
      <c r="CM443">
        <v>3</v>
      </c>
      <c r="CN443">
        <v>120</v>
      </c>
      <c r="CO443">
        <v>80</v>
      </c>
      <c r="CP443" s="75">
        <f ca="1">INDIRECT(ADDRESS(11+(MATCH(RIGHT(Table11[[#This Row],[spawner_sku]],LEN(Table11[[#This Row],[spawner_sku]])-FIND("/",Table11[[#This Row],[spawner_sku]])),Table1[Entity Prefab],0)),10,1,1,"Entities"))</f>
        <v>25</v>
      </c>
      <c r="CQ443">
        <f ca="1">ROUND((Table11[[#This Row],[XP]]*Table11[[#This Row],[entity_spawned (AVG)]])*(Table11[[#This Row],[activating_chance]]/100),0)</f>
        <v>60</v>
      </c>
      <c r="CR443" s="145" t="str">
        <f ca="1">INDIRECT(ADDRESS(11+(MATCH(RIGHT(Table11[[#This Row],[spawner_sku]],LEN(Table11[[#This Row],[spawner_sku]])-FIND("/",Table11[[#This Row],[spawner_sku]])),Table28[Entity Prefab],0)),25,1,1,"Entities"))</f>
        <v>no</v>
      </c>
      <c r="CS443" s="72">
        <v>2</v>
      </c>
      <c r="CT443" s="72">
        <v>4</v>
      </c>
      <c r="CU443" s="72" t="b">
        <v>0</v>
      </c>
      <c r="DS443" t="s">
        <v>512</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237</v>
      </c>
      <c r="C444">
        <v>1</v>
      </c>
      <c r="D444">
        <v>270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433</v>
      </c>
      <c r="BQ444">
        <v>1</v>
      </c>
      <c r="BR444">
        <v>220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CL444" t="s">
        <v>378</v>
      </c>
      <c r="CM444">
        <v>3</v>
      </c>
      <c r="CN444">
        <v>120</v>
      </c>
      <c r="CO444">
        <v>80</v>
      </c>
      <c r="CP444" s="75">
        <f ca="1">INDIRECT(ADDRESS(11+(MATCH(RIGHT(Table11[[#This Row],[spawner_sku]],LEN(Table11[[#This Row],[spawner_sku]])-FIND("/",Table11[[#This Row],[spawner_sku]])),Table1[Entity Prefab],0)),10,1,1,"Entities"))</f>
        <v>25</v>
      </c>
      <c r="CQ444">
        <f ca="1">ROUND((Table11[[#This Row],[XP]]*Table11[[#This Row],[entity_spawned (AVG)]])*(Table11[[#This Row],[activating_chance]]/100),0)</f>
        <v>60</v>
      </c>
      <c r="CR444" s="145" t="str">
        <f ca="1">INDIRECT(ADDRESS(11+(MATCH(RIGHT(Table11[[#This Row],[spawner_sku]],LEN(Table11[[#This Row],[spawner_sku]])-FIND("/",Table11[[#This Row],[spawner_sku]])),Table28[Entity Prefab],0)),25,1,1,"Entities"))</f>
        <v>no</v>
      </c>
      <c r="CS444" s="72">
        <v>2</v>
      </c>
      <c r="CT444" s="72">
        <v>4</v>
      </c>
      <c r="CU444" s="72" t="b">
        <v>0</v>
      </c>
      <c r="DS444" t="s">
        <v>512</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237</v>
      </c>
      <c r="C445">
        <v>1</v>
      </c>
      <c r="D445">
        <v>230</v>
      </c>
      <c r="E445">
        <v>100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83</v>
      </c>
      <c r="H445" s="72" t="str">
        <f ca="1">INDIRECT(ADDRESS(11+(MATCH(RIGHT(Table245[[#This Row],[spawner_sku]],LEN(Table245[[#This Row],[spawner_sku]])-FIND("/",Table245[[#This Row],[spawner_sku]])),Table28[Entity Prefab],0)),24,1,1,"Entities"))</f>
        <v>no</v>
      </c>
      <c r="I445" s="72">
        <v>1</v>
      </c>
      <c r="J445" s="72">
        <v>1</v>
      </c>
      <c r="K445" s="72" t="b">
        <v>0</v>
      </c>
      <c r="BP445" t="s">
        <v>433</v>
      </c>
      <c r="BQ445">
        <v>1</v>
      </c>
      <c r="BR445">
        <v>220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CL445" t="s">
        <v>378</v>
      </c>
      <c r="CM445">
        <v>3</v>
      </c>
      <c r="CN445">
        <v>120</v>
      </c>
      <c r="CO445">
        <v>100</v>
      </c>
      <c r="CP445" s="75">
        <f ca="1">INDIRECT(ADDRESS(11+(MATCH(RIGHT(Table11[[#This Row],[spawner_sku]],LEN(Table11[[#This Row],[spawner_sku]])-FIND("/",Table11[[#This Row],[spawner_sku]])),Table1[Entity Prefab],0)),10,1,1,"Entities"))</f>
        <v>25</v>
      </c>
      <c r="CQ445">
        <f ca="1">ROUND((Table11[[#This Row],[XP]]*Table11[[#This Row],[entity_spawned (AVG)]])*(Table11[[#This Row],[activating_chance]]/100),0)</f>
        <v>75</v>
      </c>
      <c r="CR445" s="145" t="str">
        <f ca="1">INDIRECT(ADDRESS(11+(MATCH(RIGHT(Table11[[#This Row],[spawner_sku]],LEN(Table11[[#This Row],[spawner_sku]])-FIND("/",Table11[[#This Row],[spawner_sku]])),Table28[Entity Prefab],0)),25,1,1,"Entities"))</f>
        <v>no</v>
      </c>
      <c r="CS445" s="72">
        <v>2</v>
      </c>
      <c r="CT445" s="72">
        <v>4</v>
      </c>
      <c r="CU445" s="72" t="b">
        <v>0</v>
      </c>
      <c r="DS445" t="s">
        <v>512</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row>
    <row r="446" spans="2:143" x14ac:dyDescent="0.25">
      <c r="B446" s="73" t="s">
        <v>237</v>
      </c>
      <c r="C446">
        <v>1</v>
      </c>
      <c r="D446">
        <v>240</v>
      </c>
      <c r="E446">
        <v>40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33</v>
      </c>
      <c r="H446" s="72" t="str">
        <f ca="1">INDIRECT(ADDRESS(11+(MATCH(RIGHT(Table245[[#This Row],[spawner_sku]],LEN(Table245[[#This Row],[spawner_sku]])-FIND("/",Table245[[#This Row],[spawner_sku]])),Table28[Entity Prefab],0)),24,1,1,"Entities"))</f>
        <v>no</v>
      </c>
      <c r="I446" s="72">
        <v>1</v>
      </c>
      <c r="J446" s="72">
        <v>1</v>
      </c>
      <c r="K446" s="72" t="b">
        <v>0</v>
      </c>
      <c r="BP446" t="s">
        <v>433</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CL446" t="s">
        <v>378</v>
      </c>
      <c r="CM446">
        <v>3</v>
      </c>
      <c r="CN446">
        <v>120</v>
      </c>
      <c r="CO446">
        <v>80</v>
      </c>
      <c r="CP446" s="75">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5" t="str">
        <f ca="1">INDIRECT(ADDRESS(11+(MATCH(RIGHT(Table11[[#This Row],[spawner_sku]],LEN(Table11[[#This Row],[spawner_sku]])-FIND("/",Table11[[#This Row],[spawner_sku]])),Table28[Entity Prefab],0)),25,1,1,"Entities"))</f>
        <v>no</v>
      </c>
      <c r="CS446" s="72">
        <v>2</v>
      </c>
      <c r="CT446" s="72">
        <v>4</v>
      </c>
      <c r="CU446" s="72" t="b">
        <v>0</v>
      </c>
      <c r="DS446" t="s">
        <v>512</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row>
    <row r="447" spans="2:143" x14ac:dyDescent="0.25">
      <c r="B447" s="73" t="s">
        <v>237</v>
      </c>
      <c r="C447">
        <v>1</v>
      </c>
      <c r="D447">
        <v>250</v>
      </c>
      <c r="E447">
        <v>100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83</v>
      </c>
      <c r="H447" s="72" t="str">
        <f ca="1">INDIRECT(ADDRESS(11+(MATCH(RIGHT(Table245[[#This Row],[spawner_sku]],LEN(Table245[[#This Row],[spawner_sku]])-FIND("/",Table245[[#This Row],[spawner_sku]])),Table28[Entity Prefab],0)),24,1,1,"Entities"))</f>
        <v>no</v>
      </c>
      <c r="I447" s="72">
        <v>1</v>
      </c>
      <c r="J447" s="72">
        <v>1</v>
      </c>
      <c r="K447" s="72" t="b">
        <v>0</v>
      </c>
      <c r="BP447" t="s">
        <v>489</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CL447" t="s">
        <v>378</v>
      </c>
      <c r="CM447">
        <v>3</v>
      </c>
      <c r="CN447">
        <v>120</v>
      </c>
      <c r="CO447">
        <v>80</v>
      </c>
      <c r="CP447" s="75">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5" t="str">
        <f ca="1">INDIRECT(ADDRESS(11+(MATCH(RIGHT(Table11[[#This Row],[spawner_sku]],LEN(Table11[[#This Row],[spawner_sku]])-FIND("/",Table11[[#This Row],[spawner_sku]])),Table28[Entity Prefab],0)),25,1,1,"Entities"))</f>
        <v>no</v>
      </c>
      <c r="CS447" s="72">
        <v>2</v>
      </c>
      <c r="CT447" s="72">
        <v>4</v>
      </c>
      <c r="CU447" s="72" t="b">
        <v>0</v>
      </c>
      <c r="DS447" t="s">
        <v>434</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row>
    <row r="448" spans="2:143" x14ac:dyDescent="0.25">
      <c r="B448" s="73" t="s">
        <v>237</v>
      </c>
      <c r="C448">
        <v>1</v>
      </c>
      <c r="D448">
        <v>230</v>
      </c>
      <c r="E448">
        <v>60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50</v>
      </c>
      <c r="H448" s="72" t="str">
        <f ca="1">INDIRECT(ADDRESS(11+(MATCH(RIGHT(Table245[[#This Row],[spawner_sku]],LEN(Table245[[#This Row],[spawner_sku]])-FIND("/",Table245[[#This Row],[spawner_sku]])),Table28[Entity Prefab],0)),24,1,1,"Entities"))</f>
        <v>no</v>
      </c>
      <c r="I448" s="72">
        <v>1</v>
      </c>
      <c r="J448" s="72">
        <v>1</v>
      </c>
      <c r="K448" s="72" t="b">
        <v>0</v>
      </c>
      <c r="BP448" t="s">
        <v>489</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CL448" t="s">
        <v>378</v>
      </c>
      <c r="CM448">
        <v>3</v>
      </c>
      <c r="CN448">
        <v>120</v>
      </c>
      <c r="CO448">
        <v>80</v>
      </c>
      <c r="CP448" s="75">
        <f ca="1">INDIRECT(ADDRESS(11+(MATCH(RIGHT(Table11[[#This Row],[spawner_sku]],LEN(Table11[[#This Row],[spawner_sku]])-FIND("/",Table11[[#This Row],[spawner_sku]])),Table1[Entity Prefab],0)),10,1,1,"Entities"))</f>
        <v>25</v>
      </c>
      <c r="CQ448">
        <f ca="1">ROUND((Table11[[#This Row],[XP]]*Table11[[#This Row],[entity_spawned (AVG)]])*(Table11[[#This Row],[activating_chance]]/100),0)</f>
        <v>60</v>
      </c>
      <c r="CR448" s="145" t="str">
        <f ca="1">INDIRECT(ADDRESS(11+(MATCH(RIGHT(Table11[[#This Row],[spawner_sku]],LEN(Table11[[#This Row],[spawner_sku]])-FIND("/",Table11[[#This Row],[spawner_sku]])),Table28[Entity Prefab],0)),25,1,1,"Entities"))</f>
        <v>no</v>
      </c>
      <c r="CS448" s="72">
        <v>2</v>
      </c>
      <c r="CT448" s="72">
        <v>4</v>
      </c>
      <c r="CU448" s="72" t="b">
        <v>0</v>
      </c>
      <c r="DS448" t="s">
        <v>434</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row>
    <row r="449" spans="2:133" x14ac:dyDescent="0.25">
      <c r="B449" s="73" t="s">
        <v>323</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487</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CL449" t="s">
        <v>429</v>
      </c>
      <c r="CM449">
        <v>2.5</v>
      </c>
      <c r="CN449">
        <v>120</v>
      </c>
      <c r="CO449">
        <v>100</v>
      </c>
      <c r="CP449" s="75">
        <f ca="1">INDIRECT(ADDRESS(11+(MATCH(RIGHT(Table11[[#This Row],[spawner_sku]],LEN(Table11[[#This Row],[spawner_sku]])-FIND("/",Table11[[#This Row],[spawner_sku]])),Table1[Entity Prefab],0)),10,1,1,"Entities"))</f>
        <v>25</v>
      </c>
      <c r="CQ449">
        <f ca="1">ROUND((Table11[[#This Row],[XP]]*Table11[[#This Row],[entity_spawned (AVG)]])*(Table11[[#This Row],[activating_chance]]/100),0)</f>
        <v>63</v>
      </c>
      <c r="CR449" s="145" t="str">
        <f ca="1">INDIRECT(ADDRESS(11+(MATCH(RIGHT(Table11[[#This Row],[spawner_sku]],LEN(Table11[[#This Row],[spawner_sku]])-FIND("/",Table11[[#This Row],[spawner_sku]])),Table28[Entity Prefab],0)),25,1,1,"Entities"))</f>
        <v>no</v>
      </c>
      <c r="CS449" s="72">
        <v>2</v>
      </c>
      <c r="CT449" s="72">
        <v>3</v>
      </c>
      <c r="CU449" s="72" t="b">
        <v>0</v>
      </c>
      <c r="DS449" t="s">
        <v>434</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row>
    <row r="450" spans="2:133" x14ac:dyDescent="0.25">
      <c r="B450" s="73" t="s">
        <v>323</v>
      </c>
      <c r="C450">
        <v>1</v>
      </c>
      <c r="D450">
        <v>230</v>
      </c>
      <c r="E450">
        <v>60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50</v>
      </c>
      <c r="H450" s="72" t="str">
        <f ca="1">INDIRECT(ADDRESS(11+(MATCH(RIGHT(Table245[[#This Row],[spawner_sku]],LEN(Table245[[#This Row],[spawner_sku]])-FIND("/",Table245[[#This Row],[spawner_sku]])),Table28[Entity Prefab],0)),24,1,1,"Entities"))</f>
        <v>no</v>
      </c>
      <c r="I450" s="72">
        <v>1</v>
      </c>
      <c r="J450" s="72">
        <v>1</v>
      </c>
      <c r="K450" s="72" t="b">
        <v>0</v>
      </c>
      <c r="BP450" t="s">
        <v>3863</v>
      </c>
      <c r="BQ450">
        <v>1</v>
      </c>
      <c r="BR450">
        <v>210</v>
      </c>
      <c r="BS450">
        <v>100</v>
      </c>
      <c r="BT450" s="75">
        <f ca="1">INDIRECT(ADDRESS(11+(MATCH(RIGHT(Table61011[[#This Row],[spawner_sku]],LEN(Table61011[[#This Row],[spawner_sku]])-FIND("/",Table61011[[#This Row],[spawner_sku]])),Table1[Entity Prefab],0)),10,1,1,"Entities"))</f>
        <v>83</v>
      </c>
      <c r="BU450" s="75">
        <f ca="1">ROUND((Table61011[[#This Row],[XP]]*Table61011[[#This Row],[entity_spawned (AVG)]])*(Table61011[[#This Row],[activating_chance]]/100),0)</f>
        <v>83</v>
      </c>
      <c r="BV450" s="72" t="str">
        <f ca="1">INDIRECT(ADDRESS(11+(MATCH(RIGHT(Table61011[[#This Row],[spawner_sku]],LEN(Table61011[[#This Row],[spawner_sku]])-FIND("/",Table61011[[#This Row],[spawner_sku]])),Table28[Entity Prefab],0)),24,1,1,"Entities"))</f>
        <v>no</v>
      </c>
      <c r="BW450" s="72">
        <v>1</v>
      </c>
      <c r="BX450" s="72">
        <v>1</v>
      </c>
      <c r="BY450" s="72" t="b">
        <v>0</v>
      </c>
      <c r="BZ450" s="72"/>
      <c r="CL450" t="s">
        <v>429</v>
      </c>
      <c r="CM450">
        <v>5.5</v>
      </c>
      <c r="CN450">
        <v>120</v>
      </c>
      <c r="CO450">
        <v>30</v>
      </c>
      <c r="CP450" s="75">
        <f ca="1">INDIRECT(ADDRESS(11+(MATCH(RIGHT(Table11[[#This Row],[spawner_sku]],LEN(Table11[[#This Row],[spawner_sku]])-FIND("/",Table11[[#This Row],[spawner_sku]])),Table1[Entity Prefab],0)),10,1,1,"Entities"))</f>
        <v>25</v>
      </c>
      <c r="CQ450">
        <f ca="1">ROUND((Table11[[#This Row],[XP]]*Table11[[#This Row],[entity_spawned (AVG)]])*(Table11[[#This Row],[activating_chance]]/100),0)</f>
        <v>41</v>
      </c>
      <c r="CR450" s="145" t="str">
        <f ca="1">INDIRECT(ADDRESS(11+(MATCH(RIGHT(Table11[[#This Row],[spawner_sku]],LEN(Table11[[#This Row],[spawner_sku]])-FIND("/",Table11[[#This Row],[spawner_sku]])),Table28[Entity Prefab],0)),25,1,1,"Entities"))</f>
        <v>no</v>
      </c>
      <c r="CS450" s="72">
        <v>5</v>
      </c>
      <c r="CT450" s="72">
        <v>6</v>
      </c>
      <c r="CU450" s="72" t="b">
        <v>1</v>
      </c>
      <c r="DS450" t="s">
        <v>434</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row>
    <row r="451" spans="2:133" x14ac:dyDescent="0.25">
      <c r="B451" s="73" t="s">
        <v>323</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Z451" s="72"/>
      <c r="CL451" t="s">
        <v>429</v>
      </c>
      <c r="CM451">
        <v>5</v>
      </c>
      <c r="CN451">
        <v>120</v>
      </c>
      <c r="CO451">
        <v>30</v>
      </c>
      <c r="CP451" s="75">
        <f ca="1">INDIRECT(ADDRESS(11+(MATCH(RIGHT(Table11[[#This Row],[spawner_sku]],LEN(Table11[[#This Row],[spawner_sku]])-FIND("/",Table11[[#This Row],[spawner_sku]])),Table1[Entity Prefab],0)),10,1,1,"Entities"))</f>
        <v>25</v>
      </c>
      <c r="CQ451">
        <f ca="1">ROUND((Table11[[#This Row],[XP]]*Table11[[#This Row],[entity_spawned (AVG)]])*(Table11[[#This Row],[activating_chance]]/100),0)</f>
        <v>38</v>
      </c>
      <c r="CR451" s="145" t="str">
        <f ca="1">INDIRECT(ADDRESS(11+(MATCH(RIGHT(Table11[[#This Row],[spawner_sku]],LEN(Table11[[#This Row],[spawner_sku]])-FIND("/",Table11[[#This Row],[spawner_sku]])),Table28[Entity Prefab],0)),25,1,1,"Entities"))</f>
        <v>no</v>
      </c>
      <c r="CS451" s="72">
        <v>5</v>
      </c>
      <c r="CT451" s="72">
        <v>5</v>
      </c>
      <c r="CU451" s="72" t="b">
        <v>1</v>
      </c>
      <c r="DS451" t="s">
        <v>434</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row>
    <row r="452" spans="2:133" x14ac:dyDescent="0.25">
      <c r="B452" s="73" t="s">
        <v>238</v>
      </c>
      <c r="C452">
        <v>1</v>
      </c>
      <c r="D452">
        <v>270</v>
      </c>
      <c r="E452">
        <v>40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33</v>
      </c>
      <c r="H452" s="72" t="str">
        <f ca="1">INDIRECT(ADDRESS(11+(MATCH(RIGHT(Table245[[#This Row],[spawner_sku]],LEN(Table245[[#This Row],[spawner_sku]])-FIND("/",Table245[[#This Row],[spawner_sku]])),Table28[Entity Prefab],0)),24,1,1,"Entities"))</f>
        <v>no</v>
      </c>
      <c r="I452" s="72">
        <v>1</v>
      </c>
      <c r="J452" s="72">
        <v>1</v>
      </c>
      <c r="K452" s="72" t="b">
        <v>0</v>
      </c>
      <c r="BZ452" s="72"/>
      <c r="CL452" t="s">
        <v>2437</v>
      </c>
      <c r="CM452">
        <v>1</v>
      </c>
      <c r="CN452">
        <v>120</v>
      </c>
      <c r="CO452">
        <v>100</v>
      </c>
      <c r="CP452" s="75">
        <f ca="1">INDIRECT(ADDRESS(11+(MATCH(RIGHT(Table11[[#This Row],[spawner_sku]],LEN(Table11[[#This Row],[spawner_sku]])-FIND("/",Table11[[#This Row],[spawner_sku]])),Table1[Entity Prefab],0)),10,1,1,"Entities"))</f>
        <v>50</v>
      </c>
      <c r="CQ452">
        <f ca="1">ROUND((Table11[[#This Row],[XP]]*Table11[[#This Row],[entity_spawned (AVG)]])*(Table11[[#This Row],[activating_chance]]/100),0)</f>
        <v>50</v>
      </c>
      <c r="CR452" s="145" t="str">
        <f ca="1">INDIRECT(ADDRESS(11+(MATCH(RIGHT(Table11[[#This Row],[spawner_sku]],LEN(Table11[[#This Row],[spawner_sku]])-FIND("/",Table11[[#This Row],[spawner_sku]])),Table28[Entity Prefab],0)),25,1,1,"Entities"))</f>
        <v>no</v>
      </c>
      <c r="CS452" s="72">
        <v>1</v>
      </c>
      <c r="CT452" s="72">
        <v>1</v>
      </c>
      <c r="CU452" s="72" t="b">
        <v>0</v>
      </c>
      <c r="DS452" t="s">
        <v>434</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row>
    <row r="453" spans="2:133" x14ac:dyDescent="0.25">
      <c r="B453" s="73" t="s">
        <v>238</v>
      </c>
      <c r="C453">
        <v>1</v>
      </c>
      <c r="D453">
        <v>240</v>
      </c>
      <c r="E453">
        <v>100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83</v>
      </c>
      <c r="H453" s="72" t="str">
        <f ca="1">INDIRECT(ADDRESS(11+(MATCH(RIGHT(Table245[[#This Row],[spawner_sku]],LEN(Table245[[#This Row],[spawner_sku]])-FIND("/",Table245[[#This Row],[spawner_sku]])),Table28[Entity Prefab],0)),24,1,1,"Entities"))</f>
        <v>no</v>
      </c>
      <c r="I453" s="72">
        <v>1</v>
      </c>
      <c r="J453" s="72">
        <v>1</v>
      </c>
      <c r="K453" s="72" t="b">
        <v>0</v>
      </c>
      <c r="BZ453" s="72"/>
      <c r="CL453" t="s">
        <v>2437</v>
      </c>
      <c r="CM453">
        <v>1</v>
      </c>
      <c r="CN453">
        <v>120</v>
      </c>
      <c r="CO453">
        <v>100</v>
      </c>
      <c r="CP453" s="75">
        <f ca="1">INDIRECT(ADDRESS(11+(MATCH(RIGHT(Table11[[#This Row],[spawner_sku]],LEN(Table11[[#This Row],[spawner_sku]])-FIND("/",Table11[[#This Row],[spawner_sku]])),Table1[Entity Prefab],0)),10,1,1,"Entities"))</f>
        <v>50</v>
      </c>
      <c r="CQ453">
        <f ca="1">ROUND((Table11[[#This Row],[XP]]*Table11[[#This Row],[entity_spawned (AVG)]])*(Table11[[#This Row],[activating_chance]]/100),0)</f>
        <v>50</v>
      </c>
      <c r="CR453" s="145" t="str">
        <f ca="1">INDIRECT(ADDRESS(11+(MATCH(RIGHT(Table11[[#This Row],[spawner_sku]],LEN(Table11[[#This Row],[spawner_sku]])-FIND("/",Table11[[#This Row],[spawner_sku]])),Table28[Entity Prefab],0)),25,1,1,"Entities"))</f>
        <v>no</v>
      </c>
      <c r="CS453" s="72">
        <v>1</v>
      </c>
      <c r="CT453" s="72">
        <v>1</v>
      </c>
      <c r="CU453" s="72" t="b">
        <v>0</v>
      </c>
      <c r="DS453" t="s">
        <v>434</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row>
    <row r="454" spans="2:133" x14ac:dyDescent="0.25">
      <c r="B454" s="73" t="s">
        <v>238</v>
      </c>
      <c r="C454">
        <v>1</v>
      </c>
      <c r="D454">
        <v>180</v>
      </c>
      <c r="E454">
        <v>100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83</v>
      </c>
      <c r="H454" s="72" t="str">
        <f ca="1">INDIRECT(ADDRESS(11+(MATCH(RIGHT(Table245[[#This Row],[spawner_sku]],LEN(Table245[[#This Row],[spawner_sku]])-FIND("/",Table245[[#This Row],[spawner_sku]])),Table28[Entity Prefab],0)),24,1,1,"Entities"))</f>
        <v>no</v>
      </c>
      <c r="I454" s="72">
        <v>1</v>
      </c>
      <c r="J454" s="72">
        <v>1</v>
      </c>
      <c r="K454" s="72" t="b">
        <v>0</v>
      </c>
      <c r="BZ454" s="72"/>
      <c r="CL454" t="s">
        <v>2437</v>
      </c>
      <c r="CM454">
        <v>1</v>
      </c>
      <c r="CN454">
        <v>120</v>
      </c>
      <c r="CO454">
        <v>100</v>
      </c>
      <c r="CP454" s="75">
        <f ca="1">INDIRECT(ADDRESS(11+(MATCH(RIGHT(Table11[[#This Row],[spawner_sku]],LEN(Table11[[#This Row],[spawner_sku]])-FIND("/",Table11[[#This Row],[spawner_sku]])),Table1[Entity Prefab],0)),10,1,1,"Entities"))</f>
        <v>50</v>
      </c>
      <c r="CQ454">
        <f ca="1">ROUND((Table11[[#This Row],[XP]]*Table11[[#This Row],[entity_spawned (AVG)]])*(Table11[[#This Row],[activating_chance]]/100),0)</f>
        <v>50</v>
      </c>
      <c r="CR454" s="145" t="str">
        <f ca="1">INDIRECT(ADDRESS(11+(MATCH(RIGHT(Table11[[#This Row],[spawner_sku]],LEN(Table11[[#This Row],[spawner_sku]])-FIND("/",Table11[[#This Row],[spawner_sku]])),Table28[Entity Prefab],0)),25,1,1,"Entities"))</f>
        <v>no</v>
      </c>
      <c r="CS454" s="72">
        <v>1</v>
      </c>
      <c r="CT454" s="72">
        <v>1</v>
      </c>
      <c r="CU454" s="72" t="b">
        <v>0</v>
      </c>
      <c r="DS454" t="s">
        <v>434</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row>
    <row r="455" spans="2:133" x14ac:dyDescent="0.25">
      <c r="B455" s="73" t="s">
        <v>238</v>
      </c>
      <c r="C455">
        <v>1</v>
      </c>
      <c r="D455">
        <v>280</v>
      </c>
      <c r="E455">
        <v>20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17</v>
      </c>
      <c r="H455" s="72" t="str">
        <f ca="1">INDIRECT(ADDRESS(11+(MATCH(RIGHT(Table245[[#This Row],[spawner_sku]],LEN(Table245[[#This Row],[spawner_sku]])-FIND("/",Table245[[#This Row],[spawner_sku]])),Table28[Entity Prefab],0)),24,1,1,"Entities"))</f>
        <v>no</v>
      </c>
      <c r="I455" s="72">
        <v>1</v>
      </c>
      <c r="J455" s="72">
        <v>1</v>
      </c>
      <c r="K455" s="72" t="b">
        <v>0</v>
      </c>
      <c r="BZ455" s="72"/>
      <c r="CL455" t="s">
        <v>2437</v>
      </c>
      <c r="CM455">
        <v>1</v>
      </c>
      <c r="CN455">
        <v>120</v>
      </c>
      <c r="CO455">
        <v>100</v>
      </c>
      <c r="CP455" s="75">
        <f ca="1">INDIRECT(ADDRESS(11+(MATCH(RIGHT(Table11[[#This Row],[spawner_sku]],LEN(Table11[[#This Row],[spawner_sku]])-FIND("/",Table11[[#This Row],[spawner_sku]])),Table1[Entity Prefab],0)),10,1,1,"Entities"))</f>
        <v>50</v>
      </c>
      <c r="CQ455">
        <f ca="1">ROUND((Table11[[#This Row],[XP]]*Table11[[#This Row],[entity_spawned (AVG)]])*(Table11[[#This Row],[activating_chance]]/100),0)</f>
        <v>50</v>
      </c>
      <c r="CR455" s="145" t="str">
        <f ca="1">INDIRECT(ADDRESS(11+(MATCH(RIGHT(Table11[[#This Row],[spawner_sku]],LEN(Table11[[#This Row],[spawner_sku]])-FIND("/",Table11[[#This Row],[spawner_sku]])),Table28[Entity Prefab],0)),25,1,1,"Entities"))</f>
        <v>no</v>
      </c>
      <c r="CS455" s="72">
        <v>1</v>
      </c>
      <c r="CT455" s="72">
        <v>1</v>
      </c>
      <c r="CU455" s="72" t="b">
        <v>0</v>
      </c>
      <c r="DS455" t="s">
        <v>434</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row>
    <row r="456" spans="2:133" x14ac:dyDescent="0.25">
      <c r="B456" s="73" t="s">
        <v>332</v>
      </c>
      <c r="C456">
        <v>1</v>
      </c>
      <c r="D456">
        <v>180</v>
      </c>
      <c r="E456">
        <v>100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50</v>
      </c>
      <c r="H456" s="72" t="str">
        <f ca="1">INDIRECT(ADDRESS(11+(MATCH(RIGHT(Table245[[#This Row],[spawner_sku]],LEN(Table245[[#This Row],[spawner_sku]])-FIND("/",Table245[[#This Row],[spawner_sku]])),Table28[Entity Prefab],0)),24,1,1,"Entities"))</f>
        <v>no</v>
      </c>
      <c r="I456" s="72">
        <v>1</v>
      </c>
      <c r="J456" s="72">
        <v>1</v>
      </c>
      <c r="K456" s="72" t="b">
        <v>0</v>
      </c>
      <c r="BZ456" s="72"/>
      <c r="CL456" t="s">
        <v>2437</v>
      </c>
      <c r="CM456">
        <v>1</v>
      </c>
      <c r="CN456">
        <v>120</v>
      </c>
      <c r="CO456">
        <v>70</v>
      </c>
      <c r="CP456" s="75">
        <f ca="1">INDIRECT(ADDRESS(11+(MATCH(RIGHT(Table11[[#This Row],[spawner_sku]],LEN(Table11[[#This Row],[spawner_sku]])-FIND("/",Table11[[#This Row],[spawner_sku]])),Table1[Entity Prefab],0)),10,1,1,"Entities"))</f>
        <v>50</v>
      </c>
      <c r="CQ456">
        <f ca="1">ROUND((Table11[[#This Row],[XP]]*Table11[[#This Row],[entity_spawned (AVG)]])*(Table11[[#This Row],[activating_chance]]/100),0)</f>
        <v>35</v>
      </c>
      <c r="CR456" s="145" t="str">
        <f ca="1">INDIRECT(ADDRESS(11+(MATCH(RIGHT(Table11[[#This Row],[spawner_sku]],LEN(Table11[[#This Row],[spawner_sku]])-FIND("/",Table11[[#This Row],[spawner_sku]])),Table28[Entity Prefab],0)),25,1,1,"Entities"))</f>
        <v>no</v>
      </c>
      <c r="CS456" s="72">
        <v>1</v>
      </c>
      <c r="CT456" s="72">
        <v>1</v>
      </c>
      <c r="CU456" s="72" t="b">
        <v>0</v>
      </c>
      <c r="DS456" t="s">
        <v>434</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row>
    <row r="457" spans="2:133" x14ac:dyDescent="0.25">
      <c r="B457" s="73" t="s">
        <v>239</v>
      </c>
      <c r="C457">
        <v>1</v>
      </c>
      <c r="D457">
        <v>190</v>
      </c>
      <c r="E457">
        <v>60</v>
      </c>
      <c r="F457" s="75">
        <f ca="1">INDIRECT(ADDRESS(11+(MATCH(RIGHT(Table245[[#This Row],[spawner_sku]],LEN(Table245[[#This Row],[spawner_sku]])-FIND("/",Table245[[#This Row],[spawner_sku]])),Table1[Entity Prefab],0)),10,1,1,"Entities"))</f>
        <v>75</v>
      </c>
      <c r="G457" s="75">
        <f ca="1">ROUND((Table245[[#This Row],[XP]]*Table245[[#This Row],[entity_spawned (AVG)]])*(Table245[[#This Row],[activating_chance]]/100),0)</f>
        <v>45</v>
      </c>
      <c r="H457" s="72" t="str">
        <f ca="1">INDIRECT(ADDRESS(11+(MATCH(RIGHT(Table245[[#This Row],[spawner_sku]],LEN(Table245[[#This Row],[spawner_sku]])-FIND("/",Table245[[#This Row],[spawner_sku]])),Table28[Entity Prefab],0)),24,1,1,"Entities"))</f>
        <v>no</v>
      </c>
      <c r="I457" s="72">
        <v>1</v>
      </c>
      <c r="J457" s="72">
        <v>1</v>
      </c>
      <c r="K457" s="72" t="b">
        <v>0</v>
      </c>
      <c r="BZ457" s="72"/>
      <c r="CL457" t="s">
        <v>2437</v>
      </c>
      <c r="CM457">
        <v>1</v>
      </c>
      <c r="CN457">
        <v>120</v>
      </c>
      <c r="CO457">
        <v>100</v>
      </c>
      <c r="CP457" s="75">
        <f ca="1">INDIRECT(ADDRESS(11+(MATCH(RIGHT(Table11[[#This Row],[spawner_sku]],LEN(Table11[[#This Row],[spawner_sku]])-FIND("/",Table11[[#This Row],[spawner_sku]])),Table1[Entity Prefab],0)),10,1,1,"Entities"))</f>
        <v>50</v>
      </c>
      <c r="CQ457">
        <f ca="1">ROUND((Table11[[#This Row],[XP]]*Table11[[#This Row],[entity_spawned (AVG)]])*(Table11[[#This Row],[activating_chance]]/100),0)</f>
        <v>50</v>
      </c>
      <c r="CR457" s="145" t="str">
        <f ca="1">INDIRECT(ADDRESS(11+(MATCH(RIGHT(Table11[[#This Row],[spawner_sku]],LEN(Table11[[#This Row],[spawner_sku]])-FIND("/",Table11[[#This Row],[spawner_sku]])),Table28[Entity Prefab],0)),25,1,1,"Entities"))</f>
        <v>no</v>
      </c>
      <c r="CS457" s="72">
        <v>1</v>
      </c>
      <c r="CT457" s="72">
        <v>1</v>
      </c>
      <c r="CU457" s="72" t="b">
        <v>0</v>
      </c>
      <c r="DS457" t="s">
        <v>434</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row>
    <row r="458" spans="2:133" x14ac:dyDescent="0.25">
      <c r="B458" s="73" t="s">
        <v>239</v>
      </c>
      <c r="C458">
        <v>2</v>
      </c>
      <c r="D458">
        <v>160</v>
      </c>
      <c r="E458">
        <v>100</v>
      </c>
      <c r="F458" s="75">
        <f ca="1">INDIRECT(ADDRESS(11+(MATCH(RIGHT(Table245[[#This Row],[spawner_sku]],LEN(Table245[[#This Row],[spawner_sku]])-FIND("/",Table245[[#This Row],[spawner_sku]])),Table1[Entity Prefab],0)),10,1,1,"Entities"))</f>
        <v>75</v>
      </c>
      <c r="G458" s="75">
        <f ca="1">ROUND((Table245[[#This Row],[XP]]*Table245[[#This Row],[entity_spawned (AVG)]])*(Table245[[#This Row],[activating_chance]]/100),0)</f>
        <v>150</v>
      </c>
      <c r="H458" s="72" t="str">
        <f ca="1">INDIRECT(ADDRESS(11+(MATCH(RIGHT(Table245[[#This Row],[spawner_sku]],LEN(Table245[[#This Row],[spawner_sku]])-FIND("/",Table245[[#This Row],[spawner_sku]])),Table28[Entity Prefab],0)),24,1,1,"Entities"))</f>
        <v>no</v>
      </c>
      <c r="I458" s="72">
        <v>2</v>
      </c>
      <c r="J458" s="72">
        <v>2</v>
      </c>
      <c r="K458" s="72" t="b">
        <v>0</v>
      </c>
      <c r="BZ458" s="72"/>
      <c r="CL458" t="s">
        <v>2437</v>
      </c>
      <c r="CM458">
        <v>1</v>
      </c>
      <c r="CN458">
        <v>120</v>
      </c>
      <c r="CO458">
        <v>100</v>
      </c>
      <c r="CP458" s="75">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5" t="str">
        <f ca="1">INDIRECT(ADDRESS(11+(MATCH(RIGHT(Table11[[#This Row],[spawner_sku]],LEN(Table11[[#This Row],[spawner_sku]])-FIND("/",Table11[[#This Row],[spawner_sku]])),Table28[Entity Prefab],0)),25,1,1,"Entities"))</f>
        <v>no</v>
      </c>
      <c r="CS458" s="72">
        <v>1</v>
      </c>
      <c r="CT458" s="72">
        <v>1</v>
      </c>
      <c r="CU458" s="72" t="b">
        <v>0</v>
      </c>
      <c r="DS458" t="s">
        <v>434</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row>
    <row r="459" spans="2:133" x14ac:dyDescent="0.25">
      <c r="B459" s="73" t="s">
        <v>239</v>
      </c>
      <c r="C459">
        <v>2</v>
      </c>
      <c r="D459">
        <v>170</v>
      </c>
      <c r="E459">
        <v>100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150</v>
      </c>
      <c r="H459" s="72" t="str">
        <f ca="1">INDIRECT(ADDRESS(11+(MATCH(RIGHT(Table245[[#This Row],[spawner_sku]],LEN(Table245[[#This Row],[spawner_sku]])-FIND("/",Table245[[#This Row],[spawner_sku]])),Table28[Entity Prefab],0)),24,1,1,"Entities"))</f>
        <v>no</v>
      </c>
      <c r="I459" s="72">
        <v>2</v>
      </c>
      <c r="J459" s="72">
        <v>2</v>
      </c>
      <c r="K459" s="72" t="b">
        <v>0</v>
      </c>
      <c r="BZ459" s="72"/>
      <c r="CL459" t="s">
        <v>498</v>
      </c>
      <c r="CM459">
        <v>1</v>
      </c>
      <c r="CN459">
        <v>260</v>
      </c>
      <c r="CO459">
        <v>100</v>
      </c>
      <c r="CP459" s="75">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5" t="str">
        <f ca="1">INDIRECT(ADDRESS(11+(MATCH(RIGHT(Table11[[#This Row],[spawner_sku]],LEN(Table11[[#This Row],[spawner_sku]])-FIND("/",Table11[[#This Row],[spawner_sku]])),Table28[Entity Prefab],0)),25,1,1,"Entities"))</f>
        <v>no</v>
      </c>
      <c r="CS459" s="72">
        <v>1</v>
      </c>
      <c r="CT459" s="72">
        <v>1</v>
      </c>
      <c r="CU459" s="72" t="b">
        <v>0</v>
      </c>
      <c r="DS459" t="s">
        <v>434</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row>
    <row r="460" spans="2:133" x14ac:dyDescent="0.25">
      <c r="B460" s="73" t="s">
        <v>239</v>
      </c>
      <c r="C460">
        <v>1</v>
      </c>
      <c r="D460">
        <v>160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75</v>
      </c>
      <c r="H460" s="72" t="str">
        <f ca="1">INDIRECT(ADDRESS(11+(MATCH(RIGHT(Table245[[#This Row],[spawner_sku]],LEN(Table245[[#This Row],[spawner_sku]])-FIND("/",Table245[[#This Row],[spawner_sku]])),Table28[Entity Prefab],0)),24,1,1,"Entities"))</f>
        <v>no</v>
      </c>
      <c r="I460" s="72">
        <v>1</v>
      </c>
      <c r="J460" s="72">
        <v>1</v>
      </c>
      <c r="K460" s="72" t="b">
        <v>0</v>
      </c>
      <c r="BZ460" s="72"/>
      <c r="CL460" t="s">
        <v>498</v>
      </c>
      <c r="CM460">
        <v>1</v>
      </c>
      <c r="CN460">
        <v>260</v>
      </c>
      <c r="CO460">
        <v>100</v>
      </c>
      <c r="CP460" s="75">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5" t="str">
        <f ca="1">INDIRECT(ADDRESS(11+(MATCH(RIGHT(Table11[[#This Row],[spawner_sku]],LEN(Table11[[#This Row],[spawner_sku]])-FIND("/",Table11[[#This Row],[spawner_sku]])),Table28[Entity Prefab],0)),25,1,1,"Entities"))</f>
        <v>no</v>
      </c>
      <c r="CS460" s="72">
        <v>1</v>
      </c>
      <c r="CT460" s="72">
        <v>1</v>
      </c>
      <c r="CU460" s="72" t="b">
        <v>0</v>
      </c>
      <c r="DS460" t="s">
        <v>434</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row>
    <row r="461" spans="2:133" x14ac:dyDescent="0.25">
      <c r="B461" s="73" t="s">
        <v>239</v>
      </c>
      <c r="C461">
        <v>2</v>
      </c>
      <c r="D461">
        <v>160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150</v>
      </c>
      <c r="H461" s="72" t="str">
        <f ca="1">INDIRECT(ADDRESS(11+(MATCH(RIGHT(Table245[[#This Row],[spawner_sku]],LEN(Table245[[#This Row],[spawner_sku]])-FIND("/",Table245[[#This Row],[spawner_sku]])),Table28[Entity Prefab],0)),24,1,1,"Entities"))</f>
        <v>no</v>
      </c>
      <c r="I461" s="72">
        <v>2</v>
      </c>
      <c r="J461" s="72">
        <v>2</v>
      </c>
      <c r="K461" s="72" t="b">
        <v>0</v>
      </c>
      <c r="BZ461" s="72"/>
      <c r="CL461" t="s">
        <v>498</v>
      </c>
      <c r="CM461">
        <v>1</v>
      </c>
      <c r="CN461">
        <v>260</v>
      </c>
      <c r="CO461">
        <v>100</v>
      </c>
      <c r="CP461" s="75">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5" t="str">
        <f ca="1">INDIRECT(ADDRESS(11+(MATCH(RIGHT(Table11[[#This Row],[spawner_sku]],LEN(Table11[[#This Row],[spawner_sku]])-FIND("/",Table11[[#This Row],[spawner_sku]])),Table28[Entity Prefab],0)),25,1,1,"Entities"))</f>
        <v>no</v>
      </c>
      <c r="CS461" s="72">
        <v>1</v>
      </c>
      <c r="CT461" s="72">
        <v>1</v>
      </c>
      <c r="CU461" s="72" t="b">
        <v>0</v>
      </c>
      <c r="DS461" t="s">
        <v>434</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row>
    <row r="462" spans="2:133" x14ac:dyDescent="0.25">
      <c r="B462" s="73" t="s">
        <v>239</v>
      </c>
      <c r="C462">
        <v>1</v>
      </c>
      <c r="D462">
        <v>180</v>
      </c>
      <c r="E462">
        <v>60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45</v>
      </c>
      <c r="H462" s="72" t="str">
        <f ca="1">INDIRECT(ADDRESS(11+(MATCH(RIGHT(Table245[[#This Row],[spawner_sku]],LEN(Table245[[#This Row],[spawner_sku]])-FIND("/",Table245[[#This Row],[spawner_sku]])),Table28[Entity Prefab],0)),24,1,1,"Entities"))</f>
        <v>no</v>
      </c>
      <c r="I462" s="72">
        <v>1</v>
      </c>
      <c r="J462" s="72">
        <v>1</v>
      </c>
      <c r="K462" s="72" t="b">
        <v>0</v>
      </c>
      <c r="BZ462" s="72"/>
      <c r="CL462" t="s">
        <v>498</v>
      </c>
      <c r="CM462">
        <v>1</v>
      </c>
      <c r="CN462">
        <v>260</v>
      </c>
      <c r="CO462">
        <v>100</v>
      </c>
      <c r="CP462" s="75">
        <f ca="1">INDIRECT(ADDRESS(11+(MATCH(RIGHT(Table11[[#This Row],[spawner_sku]],LEN(Table11[[#This Row],[spawner_sku]])-FIND("/",Table11[[#This Row],[spawner_sku]])),Table1[Entity Prefab],0)),10,1,1,"Entities"))</f>
        <v>50</v>
      </c>
      <c r="CQ462">
        <f ca="1">ROUND((Table11[[#This Row],[XP]]*Table11[[#This Row],[entity_spawned (AVG)]])*(Table11[[#This Row],[activating_chance]]/100),0)</f>
        <v>50</v>
      </c>
      <c r="CR462" s="145" t="str">
        <f ca="1">INDIRECT(ADDRESS(11+(MATCH(RIGHT(Table11[[#This Row],[spawner_sku]],LEN(Table11[[#This Row],[spawner_sku]])-FIND("/",Table11[[#This Row],[spawner_sku]])),Table28[Entity Prefab],0)),25,1,1,"Entities"))</f>
        <v>no</v>
      </c>
      <c r="CS462" s="72">
        <v>1</v>
      </c>
      <c r="CT462" s="72">
        <v>1</v>
      </c>
      <c r="CU462" s="72" t="b">
        <v>0</v>
      </c>
      <c r="DS462" t="s">
        <v>424</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row>
    <row r="463" spans="2:133" x14ac:dyDescent="0.25">
      <c r="B463" s="73" t="s">
        <v>239</v>
      </c>
      <c r="C463">
        <v>2</v>
      </c>
      <c r="D463">
        <v>160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CL463" t="s">
        <v>498</v>
      </c>
      <c r="CM463">
        <v>1</v>
      </c>
      <c r="CN463">
        <v>260</v>
      </c>
      <c r="CO463">
        <v>80</v>
      </c>
      <c r="CP463" s="75">
        <f ca="1">INDIRECT(ADDRESS(11+(MATCH(RIGHT(Table11[[#This Row],[spawner_sku]],LEN(Table11[[#This Row],[spawner_sku]])-FIND("/",Table11[[#This Row],[spawner_sku]])),Table1[Entity Prefab],0)),10,1,1,"Entities"))</f>
        <v>50</v>
      </c>
      <c r="CQ463">
        <f ca="1">ROUND((Table11[[#This Row],[XP]]*Table11[[#This Row],[entity_spawned (AVG)]])*(Table11[[#This Row],[activating_chance]]/100),0)</f>
        <v>40</v>
      </c>
      <c r="CR463" s="145" t="str">
        <f ca="1">INDIRECT(ADDRESS(11+(MATCH(RIGHT(Table11[[#This Row],[spawner_sku]],LEN(Table11[[#This Row],[spawner_sku]])-FIND("/",Table11[[#This Row],[spawner_sku]])),Table28[Entity Prefab],0)),25,1,1,"Entities"))</f>
        <v>no</v>
      </c>
      <c r="CS463" s="72">
        <v>1</v>
      </c>
      <c r="CT463" s="72">
        <v>1</v>
      </c>
      <c r="CU463" s="72" t="b">
        <v>0</v>
      </c>
      <c r="DS463" t="s">
        <v>424</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row>
    <row r="464" spans="2:133" x14ac:dyDescent="0.25">
      <c r="B464" s="73" t="s">
        <v>239</v>
      </c>
      <c r="C464">
        <v>1</v>
      </c>
      <c r="D464">
        <v>180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75</v>
      </c>
      <c r="H464" s="72" t="str">
        <f ca="1">INDIRECT(ADDRESS(11+(MATCH(RIGHT(Table245[[#This Row],[spawner_sku]],LEN(Table245[[#This Row],[spawner_sku]])-FIND("/",Table245[[#This Row],[spawner_sku]])),Table28[Entity Prefab],0)),24,1,1,"Entities"))</f>
        <v>no</v>
      </c>
      <c r="I464" s="72">
        <v>1</v>
      </c>
      <c r="J464" s="72">
        <v>1</v>
      </c>
      <c r="K464" s="72" t="b">
        <v>0</v>
      </c>
      <c r="BZ464" s="72"/>
      <c r="CL464" t="s">
        <v>498</v>
      </c>
      <c r="CM464">
        <v>1</v>
      </c>
      <c r="CN464">
        <v>270</v>
      </c>
      <c r="CO464">
        <v>20</v>
      </c>
      <c r="CP464" s="75">
        <f ca="1">INDIRECT(ADDRESS(11+(MATCH(RIGHT(Table11[[#This Row],[spawner_sku]],LEN(Table11[[#This Row],[spawner_sku]])-FIND("/",Table11[[#This Row],[spawner_sku]])),Table1[Entity Prefab],0)),10,1,1,"Entities"))</f>
        <v>50</v>
      </c>
      <c r="CQ464">
        <f ca="1">ROUND((Table11[[#This Row],[XP]]*Table11[[#This Row],[entity_spawned (AVG)]])*(Table11[[#This Row],[activating_chance]]/100),0)</f>
        <v>10</v>
      </c>
      <c r="CR464" s="145" t="str">
        <f ca="1">INDIRECT(ADDRESS(11+(MATCH(RIGHT(Table11[[#This Row],[spawner_sku]],LEN(Table11[[#This Row],[spawner_sku]])-FIND("/",Table11[[#This Row],[spawner_sku]])),Table28[Entity Prefab],0)),25,1,1,"Entities"))</f>
        <v>no</v>
      </c>
      <c r="CS464" s="72">
        <v>1</v>
      </c>
      <c r="CT464" s="72">
        <v>1</v>
      </c>
      <c r="CU464" s="72" t="b">
        <v>0</v>
      </c>
      <c r="DS464" t="s">
        <v>424</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row>
    <row r="465" spans="2:133" x14ac:dyDescent="0.25">
      <c r="B465" s="73" t="s">
        <v>239</v>
      </c>
      <c r="C465">
        <v>1</v>
      </c>
      <c r="D465">
        <v>190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75</v>
      </c>
      <c r="H465" s="72" t="str">
        <f ca="1">INDIRECT(ADDRESS(11+(MATCH(RIGHT(Table245[[#This Row],[spawner_sku]],LEN(Table245[[#This Row],[spawner_sku]])-FIND("/",Table245[[#This Row],[spawner_sku]])),Table28[Entity Prefab],0)),24,1,1,"Entities"))</f>
        <v>no</v>
      </c>
      <c r="I465" s="72">
        <v>1</v>
      </c>
      <c r="J465" s="72">
        <v>1</v>
      </c>
      <c r="K465" s="72" t="b">
        <v>0</v>
      </c>
      <c r="BZ465" s="72"/>
      <c r="CL465" t="s">
        <v>498</v>
      </c>
      <c r="CM465">
        <v>1</v>
      </c>
      <c r="CN465">
        <v>260</v>
      </c>
      <c r="CO465">
        <v>100</v>
      </c>
      <c r="CP465" s="75">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5" t="str">
        <f ca="1">INDIRECT(ADDRESS(11+(MATCH(RIGHT(Table11[[#This Row],[spawner_sku]],LEN(Table11[[#This Row],[spawner_sku]])-FIND("/",Table11[[#This Row],[spawner_sku]])),Table28[Entity Prefab],0)),25,1,1,"Entities"))</f>
        <v>no</v>
      </c>
      <c r="CS465" s="72">
        <v>1</v>
      </c>
      <c r="CT465" s="72">
        <v>1</v>
      </c>
      <c r="CU465" s="72" t="b">
        <v>0</v>
      </c>
      <c r="DS465" t="s">
        <v>424</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row>
    <row r="466" spans="2:133" x14ac:dyDescent="0.25">
      <c r="B466" s="73" t="s">
        <v>239</v>
      </c>
      <c r="C466">
        <v>2</v>
      </c>
      <c r="D466">
        <v>220</v>
      </c>
      <c r="E466">
        <v>40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60</v>
      </c>
      <c r="H466" s="72" t="str">
        <f ca="1">INDIRECT(ADDRESS(11+(MATCH(RIGHT(Table245[[#This Row],[spawner_sku]],LEN(Table245[[#This Row],[spawner_sku]])-FIND("/",Table245[[#This Row],[spawner_sku]])),Table28[Entity Prefab],0)),24,1,1,"Entities"))</f>
        <v>no</v>
      </c>
      <c r="I466" s="72">
        <v>2</v>
      </c>
      <c r="J466" s="72">
        <v>2</v>
      </c>
      <c r="K466" s="72" t="b">
        <v>0</v>
      </c>
      <c r="BZ466" s="72"/>
      <c r="CL466" t="s">
        <v>498</v>
      </c>
      <c r="CM466">
        <v>1</v>
      </c>
      <c r="CN466">
        <v>260</v>
      </c>
      <c r="CO466">
        <v>100</v>
      </c>
      <c r="CP466" s="75">
        <f ca="1">INDIRECT(ADDRESS(11+(MATCH(RIGHT(Table11[[#This Row],[spawner_sku]],LEN(Table11[[#This Row],[spawner_sku]])-FIND("/",Table11[[#This Row],[spawner_sku]])),Table1[Entity Prefab],0)),10,1,1,"Entities"))</f>
        <v>50</v>
      </c>
      <c r="CQ466">
        <f ca="1">ROUND((Table11[[#This Row],[XP]]*Table11[[#This Row],[entity_spawned (AVG)]])*(Table11[[#This Row],[activating_chance]]/100),0)</f>
        <v>50</v>
      </c>
      <c r="CR466" s="145" t="str">
        <f ca="1">INDIRECT(ADDRESS(11+(MATCH(RIGHT(Table11[[#This Row],[spawner_sku]],LEN(Table11[[#This Row],[spawner_sku]])-FIND("/",Table11[[#This Row],[spawner_sku]])),Table28[Entity Prefab],0)),25,1,1,"Entities"))</f>
        <v>no</v>
      </c>
      <c r="CS466" s="72">
        <v>1</v>
      </c>
      <c r="CT466" s="72">
        <v>1</v>
      </c>
      <c r="CU466" s="72" t="b">
        <v>0</v>
      </c>
      <c r="DS466" t="s">
        <v>424</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row>
    <row r="467" spans="2:133" x14ac:dyDescent="0.25">
      <c r="B467" s="73" t="s">
        <v>239</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Z467" s="72"/>
      <c r="CL467" t="s">
        <v>498</v>
      </c>
      <c r="CM467">
        <v>1</v>
      </c>
      <c r="CN467">
        <v>260</v>
      </c>
      <c r="CO467">
        <v>70</v>
      </c>
      <c r="CP467" s="75">
        <f ca="1">INDIRECT(ADDRESS(11+(MATCH(RIGHT(Table11[[#This Row],[spawner_sku]],LEN(Table11[[#This Row],[spawner_sku]])-FIND("/",Table11[[#This Row],[spawner_sku]])),Table1[Entity Prefab],0)),10,1,1,"Entities"))</f>
        <v>50</v>
      </c>
      <c r="CQ467">
        <f ca="1">ROUND((Table11[[#This Row],[XP]]*Table11[[#This Row],[entity_spawned (AVG)]])*(Table11[[#This Row],[activating_chance]]/100),0)</f>
        <v>35</v>
      </c>
      <c r="CR467" s="145" t="str">
        <f ca="1">INDIRECT(ADDRESS(11+(MATCH(RIGHT(Table11[[#This Row],[spawner_sku]],LEN(Table11[[#This Row],[spawner_sku]])-FIND("/",Table11[[#This Row],[spawner_sku]])),Table28[Entity Prefab],0)),25,1,1,"Entities"))</f>
        <v>no</v>
      </c>
      <c r="CS467" s="72">
        <v>1</v>
      </c>
      <c r="CT467" s="72">
        <v>1</v>
      </c>
      <c r="CU467" s="72" t="b">
        <v>0</v>
      </c>
      <c r="DS467" t="s">
        <v>424</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row>
    <row r="468" spans="2:133" x14ac:dyDescent="0.25">
      <c r="B468" s="73" t="s">
        <v>239</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CL468" t="s">
        <v>498</v>
      </c>
      <c r="CM468">
        <v>1</v>
      </c>
      <c r="CN468">
        <v>260</v>
      </c>
      <c r="CO468">
        <v>100</v>
      </c>
      <c r="CP468" s="75">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5" t="str">
        <f ca="1">INDIRECT(ADDRESS(11+(MATCH(RIGHT(Table11[[#This Row],[spawner_sku]],LEN(Table11[[#This Row],[spawner_sku]])-FIND("/",Table11[[#This Row],[spawner_sku]])),Table28[Entity Prefab],0)),25,1,1,"Entities"))</f>
        <v>no</v>
      </c>
      <c r="CS468" s="72">
        <v>1</v>
      </c>
      <c r="CT468" s="72">
        <v>1</v>
      </c>
      <c r="CU468" s="72" t="b">
        <v>0</v>
      </c>
      <c r="DS468" t="s">
        <v>424</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row>
    <row r="469" spans="2:133" x14ac:dyDescent="0.25">
      <c r="B469" s="73" t="s">
        <v>239</v>
      </c>
      <c r="C469">
        <v>1</v>
      </c>
      <c r="D469">
        <v>160</v>
      </c>
      <c r="E469">
        <v>60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45</v>
      </c>
      <c r="H469" s="72" t="str">
        <f ca="1">INDIRECT(ADDRESS(11+(MATCH(RIGHT(Table245[[#This Row],[spawner_sku]],LEN(Table245[[#This Row],[spawner_sku]])-FIND("/",Table245[[#This Row],[spawner_sku]])),Table28[Entity Prefab],0)),24,1,1,"Entities"))</f>
        <v>no</v>
      </c>
      <c r="I469" s="72">
        <v>1</v>
      </c>
      <c r="J469" s="72">
        <v>1</v>
      </c>
      <c r="K469" s="72" t="b">
        <v>0</v>
      </c>
      <c r="BZ469" s="72"/>
      <c r="CL469" t="s">
        <v>498</v>
      </c>
      <c r="CM469">
        <v>1</v>
      </c>
      <c r="CN469">
        <v>260</v>
      </c>
      <c r="CO469">
        <v>100</v>
      </c>
      <c r="CP469" s="75">
        <f ca="1">INDIRECT(ADDRESS(11+(MATCH(RIGHT(Table11[[#This Row],[spawner_sku]],LEN(Table11[[#This Row],[spawner_sku]])-FIND("/",Table11[[#This Row],[spawner_sku]])),Table1[Entity Prefab],0)),10,1,1,"Entities"))</f>
        <v>50</v>
      </c>
      <c r="CQ469">
        <f ca="1">ROUND((Table11[[#This Row],[XP]]*Table11[[#This Row],[entity_spawned (AVG)]])*(Table11[[#This Row],[activating_chance]]/100),0)</f>
        <v>50</v>
      </c>
      <c r="CR469" s="145" t="str">
        <f ca="1">INDIRECT(ADDRESS(11+(MATCH(RIGHT(Table11[[#This Row],[spawner_sku]],LEN(Table11[[#This Row],[spawner_sku]])-FIND("/",Table11[[#This Row],[spawner_sku]])),Table28[Entity Prefab],0)),25,1,1,"Entities"))</f>
        <v>no</v>
      </c>
      <c r="CS469" s="72">
        <v>1</v>
      </c>
      <c r="CT469" s="72">
        <v>1</v>
      </c>
      <c r="CU469" s="72" t="b">
        <v>0</v>
      </c>
      <c r="DS469" t="s">
        <v>424</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row>
    <row r="470" spans="2:133" x14ac:dyDescent="0.25">
      <c r="B470" s="73" t="s">
        <v>239</v>
      </c>
      <c r="C470">
        <v>1</v>
      </c>
      <c r="D470">
        <v>160</v>
      </c>
      <c r="E470">
        <v>30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23</v>
      </c>
      <c r="H470" s="72" t="str">
        <f ca="1">INDIRECT(ADDRESS(11+(MATCH(RIGHT(Table245[[#This Row],[spawner_sku]],LEN(Table245[[#This Row],[spawner_sku]])-FIND("/",Table245[[#This Row],[spawner_sku]])),Table28[Entity Prefab],0)),24,1,1,"Entities"))</f>
        <v>no</v>
      </c>
      <c r="I470" s="72">
        <v>1</v>
      </c>
      <c r="J470" s="72">
        <v>1</v>
      </c>
      <c r="K470" s="72" t="b">
        <v>0</v>
      </c>
      <c r="BZ470" s="72"/>
      <c r="CL470" t="s">
        <v>498</v>
      </c>
      <c r="CM470">
        <v>1</v>
      </c>
      <c r="CN470">
        <v>260</v>
      </c>
      <c r="CO470">
        <v>100</v>
      </c>
      <c r="CP470" s="75">
        <f ca="1">INDIRECT(ADDRESS(11+(MATCH(RIGHT(Table11[[#This Row],[spawner_sku]],LEN(Table11[[#This Row],[spawner_sku]])-FIND("/",Table11[[#This Row],[spawner_sku]])),Table1[Entity Prefab],0)),10,1,1,"Entities"))</f>
        <v>50</v>
      </c>
      <c r="CQ470">
        <f ca="1">ROUND((Table11[[#This Row],[XP]]*Table11[[#This Row],[entity_spawned (AVG)]])*(Table11[[#This Row],[activating_chance]]/100),0)</f>
        <v>50</v>
      </c>
      <c r="CR470" s="145" t="str">
        <f ca="1">INDIRECT(ADDRESS(11+(MATCH(RIGHT(Table11[[#This Row],[spawner_sku]],LEN(Table11[[#This Row],[spawner_sku]])-FIND("/",Table11[[#This Row],[spawner_sku]])),Table28[Entity Prefab],0)),25,1,1,"Entities"))</f>
        <v>no</v>
      </c>
      <c r="CS470" s="72">
        <v>1</v>
      </c>
      <c r="CT470" s="72">
        <v>1</v>
      </c>
      <c r="CU470" s="72" t="b">
        <v>0</v>
      </c>
      <c r="DS470" t="s">
        <v>424</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row>
    <row r="471" spans="2:133" x14ac:dyDescent="0.25">
      <c r="B471" s="73" t="s">
        <v>239</v>
      </c>
      <c r="C471">
        <v>1</v>
      </c>
      <c r="D471">
        <v>220</v>
      </c>
      <c r="E471">
        <v>75</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56</v>
      </c>
      <c r="H471" s="72" t="str">
        <f ca="1">INDIRECT(ADDRESS(11+(MATCH(RIGHT(Table245[[#This Row],[spawner_sku]],LEN(Table245[[#This Row],[spawner_sku]])-FIND("/",Table245[[#This Row],[spawner_sku]])),Table28[Entity Prefab],0)),24,1,1,"Entities"))</f>
        <v>no</v>
      </c>
      <c r="I471" s="72">
        <v>1</v>
      </c>
      <c r="J471" s="72">
        <v>1</v>
      </c>
      <c r="K471" s="72" t="b">
        <v>0</v>
      </c>
      <c r="BZ471" s="72"/>
      <c r="CL471" t="s">
        <v>498</v>
      </c>
      <c r="CM471">
        <v>1</v>
      </c>
      <c r="CN471">
        <v>260</v>
      </c>
      <c r="CO471">
        <v>80</v>
      </c>
      <c r="CP471" s="75">
        <f ca="1">INDIRECT(ADDRESS(11+(MATCH(RIGHT(Table11[[#This Row],[spawner_sku]],LEN(Table11[[#This Row],[spawner_sku]])-FIND("/",Table11[[#This Row],[spawner_sku]])),Table1[Entity Prefab],0)),10,1,1,"Entities"))</f>
        <v>50</v>
      </c>
      <c r="CQ471">
        <f ca="1">ROUND((Table11[[#This Row],[XP]]*Table11[[#This Row],[entity_spawned (AVG)]])*(Table11[[#This Row],[activating_chance]]/100),0)</f>
        <v>40</v>
      </c>
      <c r="CR471" s="145" t="str">
        <f ca="1">INDIRECT(ADDRESS(11+(MATCH(RIGHT(Table11[[#This Row],[spawner_sku]],LEN(Table11[[#This Row],[spawner_sku]])-FIND("/",Table11[[#This Row],[spawner_sku]])),Table28[Entity Prefab],0)),25,1,1,"Entities"))</f>
        <v>no</v>
      </c>
      <c r="CS471" s="72">
        <v>1</v>
      </c>
      <c r="CT471" s="72">
        <v>1</v>
      </c>
      <c r="CU471" s="72" t="b">
        <v>0</v>
      </c>
      <c r="DS471" t="s">
        <v>424</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row>
    <row r="472" spans="2:133" x14ac:dyDescent="0.25">
      <c r="B472" s="73" t="s">
        <v>239</v>
      </c>
      <c r="C472">
        <v>1</v>
      </c>
      <c r="D472">
        <v>240</v>
      </c>
      <c r="E472">
        <v>75</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56</v>
      </c>
      <c r="H472" s="72" t="str">
        <f ca="1">INDIRECT(ADDRESS(11+(MATCH(RIGHT(Table245[[#This Row],[spawner_sku]],LEN(Table245[[#This Row],[spawner_sku]])-FIND("/",Table245[[#This Row],[spawner_sku]])),Table28[Entity Prefab],0)),24,1,1,"Entities"))</f>
        <v>no</v>
      </c>
      <c r="I472" s="72">
        <v>1</v>
      </c>
      <c r="J472" s="72">
        <v>1</v>
      </c>
      <c r="K472" s="72" t="b">
        <v>0</v>
      </c>
      <c r="BZ472" s="72"/>
      <c r="CL472" t="s">
        <v>498</v>
      </c>
      <c r="CM472">
        <v>1</v>
      </c>
      <c r="CN472">
        <v>260</v>
      </c>
      <c r="CO472">
        <v>60</v>
      </c>
      <c r="CP472" s="75">
        <f ca="1">INDIRECT(ADDRESS(11+(MATCH(RIGHT(Table11[[#This Row],[spawner_sku]],LEN(Table11[[#This Row],[spawner_sku]])-FIND("/",Table11[[#This Row],[spawner_sku]])),Table1[Entity Prefab],0)),10,1,1,"Entities"))</f>
        <v>50</v>
      </c>
      <c r="CQ472">
        <f ca="1">ROUND((Table11[[#This Row],[XP]]*Table11[[#This Row],[entity_spawned (AVG)]])*(Table11[[#This Row],[activating_chance]]/100),0)</f>
        <v>30</v>
      </c>
      <c r="CR472" s="145" t="str">
        <f ca="1">INDIRECT(ADDRESS(11+(MATCH(RIGHT(Table11[[#This Row],[spawner_sku]],LEN(Table11[[#This Row],[spawner_sku]])-FIND("/",Table11[[#This Row],[spawner_sku]])),Table28[Entity Prefab],0)),25,1,1,"Entities"))</f>
        <v>no</v>
      </c>
      <c r="CS472" s="72">
        <v>1</v>
      </c>
      <c r="CT472" s="72">
        <v>1</v>
      </c>
      <c r="CU472" s="72" t="b">
        <v>0</v>
      </c>
      <c r="DS472" t="s">
        <v>424</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row>
    <row r="473" spans="2:133" x14ac:dyDescent="0.25">
      <c r="B473" s="73" t="s">
        <v>239</v>
      </c>
      <c r="C473">
        <v>1</v>
      </c>
      <c r="D473">
        <v>160</v>
      </c>
      <c r="E473">
        <v>80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60</v>
      </c>
      <c r="H473" s="72" t="str">
        <f ca="1">INDIRECT(ADDRESS(11+(MATCH(RIGHT(Table245[[#This Row],[spawner_sku]],LEN(Table245[[#This Row],[spawner_sku]])-FIND("/",Table245[[#This Row],[spawner_sku]])),Table28[Entity Prefab],0)),24,1,1,"Entities"))</f>
        <v>no</v>
      </c>
      <c r="I473" s="72">
        <v>1</v>
      </c>
      <c r="J473" s="72">
        <v>1</v>
      </c>
      <c r="K473" s="72" t="b">
        <v>0</v>
      </c>
      <c r="BZ473" s="72"/>
      <c r="CL473" t="s">
        <v>498</v>
      </c>
      <c r="CM473">
        <v>1</v>
      </c>
      <c r="CN473">
        <v>260</v>
      </c>
      <c r="CO473">
        <v>100</v>
      </c>
      <c r="CP473" s="75">
        <f ca="1">INDIRECT(ADDRESS(11+(MATCH(RIGHT(Table11[[#This Row],[spawner_sku]],LEN(Table11[[#This Row],[spawner_sku]])-FIND("/",Table11[[#This Row],[spawner_sku]])),Table1[Entity Prefab],0)),10,1,1,"Entities"))</f>
        <v>50</v>
      </c>
      <c r="CQ473">
        <f ca="1">ROUND((Table11[[#This Row],[XP]]*Table11[[#This Row],[entity_spawned (AVG)]])*(Table11[[#This Row],[activating_chance]]/100),0)</f>
        <v>50</v>
      </c>
      <c r="CR473" s="145" t="str">
        <f ca="1">INDIRECT(ADDRESS(11+(MATCH(RIGHT(Table11[[#This Row],[spawner_sku]],LEN(Table11[[#This Row],[spawner_sku]])-FIND("/",Table11[[#This Row],[spawner_sku]])),Table28[Entity Prefab],0)),25,1,1,"Entities"))</f>
        <v>no</v>
      </c>
      <c r="CS473" s="72">
        <v>1</v>
      </c>
      <c r="CT473" s="72">
        <v>1</v>
      </c>
      <c r="CU473" s="72" t="b">
        <v>0</v>
      </c>
      <c r="DS473" t="s">
        <v>424</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row>
    <row r="474" spans="2:133" x14ac:dyDescent="0.25">
      <c r="B474" s="73" t="s">
        <v>239</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CL474" t="s">
        <v>498</v>
      </c>
      <c r="CM474">
        <v>1</v>
      </c>
      <c r="CN474">
        <v>260</v>
      </c>
      <c r="CO474">
        <v>100</v>
      </c>
      <c r="CP474" s="75">
        <f ca="1">INDIRECT(ADDRESS(11+(MATCH(RIGHT(Table11[[#This Row],[spawner_sku]],LEN(Table11[[#This Row],[spawner_sku]])-FIND("/",Table11[[#This Row],[spawner_sku]])),Table1[Entity Prefab],0)),10,1,1,"Entities"))</f>
        <v>50</v>
      </c>
      <c r="CQ474">
        <f ca="1">ROUND((Table11[[#This Row],[XP]]*Table11[[#This Row],[entity_spawned (AVG)]])*(Table11[[#This Row],[activating_chance]]/100),0)</f>
        <v>50</v>
      </c>
      <c r="CR474" s="145" t="str">
        <f ca="1">INDIRECT(ADDRESS(11+(MATCH(RIGHT(Table11[[#This Row],[spawner_sku]],LEN(Table11[[#This Row],[spawner_sku]])-FIND("/",Table11[[#This Row],[spawner_sku]])),Table28[Entity Prefab],0)),25,1,1,"Entities"))</f>
        <v>no</v>
      </c>
      <c r="CS474" s="72">
        <v>1</v>
      </c>
      <c r="CT474" s="72">
        <v>1</v>
      </c>
      <c r="CU474" s="72" t="b">
        <v>0</v>
      </c>
      <c r="DS474" t="s">
        <v>424</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row>
    <row r="475" spans="2:133" x14ac:dyDescent="0.25">
      <c r="B475" s="73" t="s">
        <v>239</v>
      </c>
      <c r="C475">
        <v>1</v>
      </c>
      <c r="D475">
        <v>160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CL475" t="s">
        <v>493</v>
      </c>
      <c r="CM475">
        <v>1</v>
      </c>
      <c r="CN475">
        <v>300</v>
      </c>
      <c r="CO475">
        <v>70</v>
      </c>
      <c r="CP475" s="75">
        <f ca="1">INDIRECT(ADDRESS(11+(MATCH(RIGHT(Table11[[#This Row],[spawner_sku]],LEN(Table11[[#This Row],[spawner_sku]])-FIND("/",Table11[[#This Row],[spawner_sku]])),Table1[Entity Prefab],0)),10,1,1,"Entities"))</f>
        <v>105</v>
      </c>
      <c r="CQ475">
        <f ca="1">ROUND((Table11[[#This Row],[XP]]*Table11[[#This Row],[entity_spawned (AVG)]])*(Table11[[#This Row],[activating_chance]]/100),0)</f>
        <v>74</v>
      </c>
      <c r="CR475" s="145" t="str">
        <f ca="1">INDIRECT(ADDRESS(11+(MATCH(RIGHT(Table11[[#This Row],[spawner_sku]],LEN(Table11[[#This Row],[spawner_sku]])-FIND("/",Table11[[#This Row],[spawner_sku]])),Table28[Entity Prefab],0)),25,1,1,"Entities"))</f>
        <v>no</v>
      </c>
      <c r="CS475" s="72">
        <v>1</v>
      </c>
      <c r="CT475" s="72">
        <v>1</v>
      </c>
      <c r="CU475" s="72" t="b">
        <v>0</v>
      </c>
      <c r="DS475" t="s">
        <v>424</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row>
    <row r="476" spans="2:133" x14ac:dyDescent="0.25">
      <c r="B476" s="73" t="s">
        <v>239</v>
      </c>
      <c r="C476">
        <v>1</v>
      </c>
      <c r="D476">
        <v>190</v>
      </c>
      <c r="E476">
        <v>80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60</v>
      </c>
      <c r="H476" s="72" t="str">
        <f ca="1">INDIRECT(ADDRESS(11+(MATCH(RIGHT(Table245[[#This Row],[spawner_sku]],LEN(Table245[[#This Row],[spawner_sku]])-FIND("/",Table245[[#This Row],[spawner_sku]])),Table28[Entity Prefab],0)),24,1,1,"Entities"))</f>
        <v>no</v>
      </c>
      <c r="I476" s="72">
        <v>1</v>
      </c>
      <c r="J476" s="72">
        <v>1</v>
      </c>
      <c r="K476" s="72" t="b">
        <v>0</v>
      </c>
      <c r="BZ476" s="72"/>
      <c r="CL476" t="s">
        <v>493</v>
      </c>
      <c r="CM476">
        <v>1</v>
      </c>
      <c r="CN476">
        <v>300</v>
      </c>
      <c r="CO476">
        <v>70</v>
      </c>
      <c r="CP476" s="75">
        <f ca="1">INDIRECT(ADDRESS(11+(MATCH(RIGHT(Table11[[#This Row],[spawner_sku]],LEN(Table11[[#This Row],[spawner_sku]])-FIND("/",Table11[[#This Row],[spawner_sku]])),Table1[Entity Prefab],0)),10,1,1,"Entities"))</f>
        <v>105</v>
      </c>
      <c r="CQ476">
        <f ca="1">ROUND((Table11[[#This Row],[XP]]*Table11[[#This Row],[entity_spawned (AVG)]])*(Table11[[#This Row],[activating_chance]]/100),0)</f>
        <v>74</v>
      </c>
      <c r="CR476" s="145" t="str">
        <f ca="1">INDIRECT(ADDRESS(11+(MATCH(RIGHT(Table11[[#This Row],[spawner_sku]],LEN(Table11[[#This Row],[spawner_sku]])-FIND("/",Table11[[#This Row],[spawner_sku]])),Table28[Entity Prefab],0)),25,1,1,"Entities"))</f>
        <v>no</v>
      </c>
      <c r="CS476" s="72">
        <v>1</v>
      </c>
      <c r="CT476" s="72">
        <v>1</v>
      </c>
      <c r="CU476" s="72" t="b">
        <v>0</v>
      </c>
      <c r="DS476" t="s">
        <v>424</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row>
    <row r="477" spans="2:133" x14ac:dyDescent="0.25">
      <c r="B477" s="73" t="s">
        <v>239</v>
      </c>
      <c r="C477">
        <v>1</v>
      </c>
      <c r="D477">
        <v>160</v>
      </c>
      <c r="E477">
        <v>60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45</v>
      </c>
      <c r="H477" s="72" t="str">
        <f ca="1">INDIRECT(ADDRESS(11+(MATCH(RIGHT(Table245[[#This Row],[spawner_sku]],LEN(Table245[[#This Row],[spawner_sku]])-FIND("/",Table245[[#This Row],[spawner_sku]])),Table28[Entity Prefab],0)),24,1,1,"Entities"))</f>
        <v>no</v>
      </c>
      <c r="I477" s="72">
        <v>1</v>
      </c>
      <c r="J477" s="72">
        <v>1</v>
      </c>
      <c r="K477" s="72" t="b">
        <v>0</v>
      </c>
      <c r="BZ477" s="72"/>
      <c r="CL477" t="s">
        <v>493</v>
      </c>
      <c r="CM477">
        <v>1</v>
      </c>
      <c r="CN477">
        <v>300</v>
      </c>
      <c r="CO477">
        <v>100</v>
      </c>
      <c r="CP477" s="75">
        <f ca="1">INDIRECT(ADDRESS(11+(MATCH(RIGHT(Table11[[#This Row],[spawner_sku]],LEN(Table11[[#This Row],[spawner_sku]])-FIND("/",Table11[[#This Row],[spawner_sku]])),Table1[Entity Prefab],0)),10,1,1,"Entities"))</f>
        <v>105</v>
      </c>
      <c r="CQ477">
        <f ca="1">ROUND((Table11[[#This Row],[XP]]*Table11[[#This Row],[entity_spawned (AVG)]])*(Table11[[#This Row],[activating_chance]]/100),0)</f>
        <v>105</v>
      </c>
      <c r="CR477" s="145" t="str">
        <f ca="1">INDIRECT(ADDRESS(11+(MATCH(RIGHT(Table11[[#This Row],[spawner_sku]],LEN(Table11[[#This Row],[spawner_sku]])-FIND("/",Table11[[#This Row],[spawner_sku]])),Table28[Entity Prefab],0)),25,1,1,"Entities"))</f>
        <v>no</v>
      </c>
      <c r="CS477" s="72">
        <v>1</v>
      </c>
      <c r="CT477" s="72">
        <v>1</v>
      </c>
      <c r="CU477" s="72" t="b">
        <v>0</v>
      </c>
      <c r="DS477" t="s">
        <v>424</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row>
    <row r="478" spans="2:133" x14ac:dyDescent="0.25">
      <c r="B478" s="73" t="s">
        <v>239</v>
      </c>
      <c r="C478">
        <v>2</v>
      </c>
      <c r="D478">
        <v>200</v>
      </c>
      <c r="E478">
        <v>100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150</v>
      </c>
      <c r="H478" s="72" t="str">
        <f ca="1">INDIRECT(ADDRESS(11+(MATCH(RIGHT(Table245[[#This Row],[spawner_sku]],LEN(Table245[[#This Row],[spawner_sku]])-FIND("/",Table245[[#This Row],[spawner_sku]])),Table28[Entity Prefab],0)),24,1,1,"Entities"))</f>
        <v>no</v>
      </c>
      <c r="I478" s="72">
        <v>2</v>
      </c>
      <c r="J478" s="72">
        <v>2</v>
      </c>
      <c r="K478" s="72" t="b">
        <v>0</v>
      </c>
      <c r="BZ478" s="72"/>
      <c r="CL478" t="s">
        <v>493</v>
      </c>
      <c r="CM478">
        <v>1</v>
      </c>
      <c r="CN478">
        <v>300</v>
      </c>
      <c r="CO478">
        <v>100</v>
      </c>
      <c r="CP478" s="75">
        <f ca="1">INDIRECT(ADDRESS(11+(MATCH(RIGHT(Table11[[#This Row],[spawner_sku]],LEN(Table11[[#This Row],[spawner_sku]])-FIND("/",Table11[[#This Row],[spawner_sku]])),Table1[Entity Prefab],0)),10,1,1,"Entities"))</f>
        <v>105</v>
      </c>
      <c r="CQ478">
        <f ca="1">ROUND((Table11[[#This Row],[XP]]*Table11[[#This Row],[entity_spawned (AVG)]])*(Table11[[#This Row],[activating_chance]]/100),0)</f>
        <v>105</v>
      </c>
      <c r="CR478" s="145" t="str">
        <f ca="1">INDIRECT(ADDRESS(11+(MATCH(RIGHT(Table11[[#This Row],[spawner_sku]],LEN(Table11[[#This Row],[spawner_sku]])-FIND("/",Table11[[#This Row],[spawner_sku]])),Table28[Entity Prefab],0)),25,1,1,"Entities"))</f>
        <v>no</v>
      </c>
      <c r="CS478" s="72">
        <v>1</v>
      </c>
      <c r="CT478" s="72">
        <v>1</v>
      </c>
      <c r="CU478" s="72" t="b">
        <v>0</v>
      </c>
      <c r="DS478" t="s">
        <v>424</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row>
    <row r="479" spans="2:133" x14ac:dyDescent="0.25">
      <c r="B479" s="73" t="s">
        <v>239</v>
      </c>
      <c r="C479">
        <v>1</v>
      </c>
      <c r="D479">
        <v>80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CL479" t="s">
        <v>493</v>
      </c>
      <c r="CM479">
        <v>1</v>
      </c>
      <c r="CN479">
        <v>300</v>
      </c>
      <c r="CO479">
        <v>70</v>
      </c>
      <c r="CP479" s="75">
        <f ca="1">INDIRECT(ADDRESS(11+(MATCH(RIGHT(Table11[[#This Row],[spawner_sku]],LEN(Table11[[#This Row],[spawner_sku]])-FIND("/",Table11[[#This Row],[spawner_sku]])),Table1[Entity Prefab],0)),10,1,1,"Entities"))</f>
        <v>105</v>
      </c>
      <c r="CQ479">
        <f ca="1">ROUND((Table11[[#This Row],[XP]]*Table11[[#This Row],[entity_spawned (AVG)]])*(Table11[[#This Row],[activating_chance]]/100),0)</f>
        <v>74</v>
      </c>
      <c r="CR479" s="145" t="str">
        <f ca="1">INDIRECT(ADDRESS(11+(MATCH(RIGHT(Table11[[#This Row],[spawner_sku]],LEN(Table11[[#This Row],[spawner_sku]])-FIND("/",Table11[[#This Row],[spawner_sku]])),Table28[Entity Prefab],0)),25,1,1,"Entities"))</f>
        <v>no</v>
      </c>
      <c r="CS479" s="72">
        <v>1</v>
      </c>
      <c r="CT479" s="72">
        <v>1</v>
      </c>
      <c r="CU479" s="72" t="b">
        <v>0</v>
      </c>
      <c r="DS479" t="s">
        <v>424</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row>
    <row r="480" spans="2:133" x14ac:dyDescent="0.25">
      <c r="B480" s="73" t="s">
        <v>319</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CL480" t="s">
        <v>493</v>
      </c>
      <c r="CM480">
        <v>1</v>
      </c>
      <c r="CN480">
        <v>300</v>
      </c>
      <c r="CO480">
        <v>100</v>
      </c>
      <c r="CP480" s="75">
        <f ca="1">INDIRECT(ADDRESS(11+(MATCH(RIGHT(Table11[[#This Row],[spawner_sku]],LEN(Table11[[#This Row],[spawner_sku]])-FIND("/",Table11[[#This Row],[spawner_sku]])),Table1[Entity Prefab],0)),10,1,1,"Entities"))</f>
        <v>105</v>
      </c>
      <c r="CQ480">
        <f ca="1">ROUND((Table11[[#This Row],[XP]]*Table11[[#This Row],[entity_spawned (AVG)]])*(Table11[[#This Row],[activating_chance]]/100),0)</f>
        <v>105</v>
      </c>
      <c r="CR480" s="145" t="str">
        <f ca="1">INDIRECT(ADDRESS(11+(MATCH(RIGHT(Table11[[#This Row],[spawner_sku]],LEN(Table11[[#This Row],[spawner_sku]])-FIND("/",Table11[[#This Row],[spawner_sku]])),Table28[Entity Prefab],0)),25,1,1,"Entities"))</f>
        <v>no</v>
      </c>
      <c r="CS480" s="72">
        <v>1</v>
      </c>
      <c r="CT480" s="72">
        <v>1</v>
      </c>
      <c r="CU480" s="72" t="b">
        <v>0</v>
      </c>
      <c r="DS480" t="s">
        <v>424</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row>
    <row r="481" spans="2:133" x14ac:dyDescent="0.25">
      <c r="B481" s="73" t="s">
        <v>319</v>
      </c>
      <c r="C481">
        <v>1</v>
      </c>
      <c r="D481">
        <v>200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CL481" t="s">
        <v>497</v>
      </c>
      <c r="CM481">
        <v>1</v>
      </c>
      <c r="CN481">
        <v>240</v>
      </c>
      <c r="CO481">
        <v>100</v>
      </c>
      <c r="CP481" s="75">
        <f ca="1">INDIRECT(ADDRESS(11+(MATCH(RIGHT(Table11[[#This Row],[spawner_sku]],LEN(Table11[[#This Row],[spawner_sku]])-FIND("/",Table11[[#This Row],[spawner_sku]])),Table1[Entity Prefab],0)),10,1,1,"Entities"))</f>
        <v>70</v>
      </c>
      <c r="CQ481">
        <f ca="1">ROUND((Table11[[#This Row],[XP]]*Table11[[#This Row],[entity_spawned (AVG)]])*(Table11[[#This Row],[activating_chance]]/100),0)</f>
        <v>70</v>
      </c>
      <c r="CR481" s="145" t="str">
        <f ca="1">INDIRECT(ADDRESS(11+(MATCH(RIGHT(Table11[[#This Row],[spawner_sku]],LEN(Table11[[#This Row],[spawner_sku]])-FIND("/",Table11[[#This Row],[spawner_sku]])),Table28[Entity Prefab],0)),25,1,1,"Entities"))</f>
        <v>yes</v>
      </c>
      <c r="CS481" s="72">
        <v>1</v>
      </c>
      <c r="CT481" s="72">
        <v>1</v>
      </c>
      <c r="CU481" s="72" t="b">
        <v>0</v>
      </c>
      <c r="DS481" t="s">
        <v>424</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row>
    <row r="482" spans="2:133" x14ac:dyDescent="0.25">
      <c r="B482" s="73" t="s">
        <v>319</v>
      </c>
      <c r="C482">
        <v>1</v>
      </c>
      <c r="D482">
        <v>160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CL482" t="s">
        <v>497</v>
      </c>
      <c r="CM482">
        <v>1</v>
      </c>
      <c r="CN482">
        <v>240</v>
      </c>
      <c r="CO482">
        <v>100</v>
      </c>
      <c r="CP482" s="75">
        <f ca="1">INDIRECT(ADDRESS(11+(MATCH(RIGHT(Table11[[#This Row],[spawner_sku]],LEN(Table11[[#This Row],[spawner_sku]])-FIND("/",Table11[[#This Row],[spawner_sku]])),Table1[Entity Prefab],0)),10,1,1,"Entities"))</f>
        <v>70</v>
      </c>
      <c r="CQ482">
        <f ca="1">ROUND((Table11[[#This Row],[XP]]*Table11[[#This Row],[entity_spawned (AVG)]])*(Table11[[#This Row],[activating_chance]]/100),0)</f>
        <v>70</v>
      </c>
      <c r="CR482" s="145" t="str">
        <f ca="1">INDIRECT(ADDRESS(11+(MATCH(RIGHT(Table11[[#This Row],[spawner_sku]],LEN(Table11[[#This Row],[spawner_sku]])-FIND("/",Table11[[#This Row],[spawner_sku]])),Table28[Entity Prefab],0)),25,1,1,"Entities"))</f>
        <v>yes</v>
      </c>
      <c r="CS482" s="72">
        <v>1</v>
      </c>
      <c r="CT482" s="72">
        <v>1</v>
      </c>
      <c r="CU482" s="72" t="b">
        <v>0</v>
      </c>
      <c r="DS482" t="s">
        <v>424</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row>
    <row r="483" spans="2:133" x14ac:dyDescent="0.25">
      <c r="B483" s="73" t="s">
        <v>319</v>
      </c>
      <c r="C483">
        <v>1</v>
      </c>
      <c r="D483">
        <v>210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CL483" t="s">
        <v>497</v>
      </c>
      <c r="CM483">
        <v>1</v>
      </c>
      <c r="CN483">
        <v>310</v>
      </c>
      <c r="CO483">
        <v>100</v>
      </c>
      <c r="CP483" s="75">
        <f ca="1">INDIRECT(ADDRESS(11+(MATCH(RIGHT(Table11[[#This Row],[spawner_sku]],LEN(Table11[[#This Row],[spawner_sku]])-FIND("/",Table11[[#This Row],[spawner_sku]])),Table1[Entity Prefab],0)),10,1,1,"Entities"))</f>
        <v>70</v>
      </c>
      <c r="CQ483">
        <f ca="1">ROUND((Table11[[#This Row],[XP]]*Table11[[#This Row],[entity_spawned (AVG)]])*(Table11[[#This Row],[activating_chance]]/100),0)</f>
        <v>70</v>
      </c>
      <c r="CR483" s="145" t="str">
        <f ca="1">INDIRECT(ADDRESS(11+(MATCH(RIGHT(Table11[[#This Row],[spawner_sku]],LEN(Table11[[#This Row],[spawner_sku]])-FIND("/",Table11[[#This Row],[spawner_sku]])),Table28[Entity Prefab],0)),25,1,1,"Entities"))</f>
        <v>yes</v>
      </c>
      <c r="CS483" s="72">
        <v>1</v>
      </c>
      <c r="CT483" s="72">
        <v>1</v>
      </c>
      <c r="CU483" s="72" t="b">
        <v>0</v>
      </c>
      <c r="DS483" t="s">
        <v>424</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row>
    <row r="484" spans="2:133" x14ac:dyDescent="0.25">
      <c r="B484" s="73" t="s">
        <v>240</v>
      </c>
      <c r="C484">
        <v>1</v>
      </c>
      <c r="D484">
        <v>190</v>
      </c>
      <c r="E484">
        <v>100</v>
      </c>
      <c r="F484" s="75">
        <f ca="1">INDIRECT(ADDRESS(11+(MATCH(RIGHT(Table245[[#This Row],[spawner_sku]],LEN(Table245[[#This Row],[spawner_sku]])-FIND("/",Table245[[#This Row],[spawner_sku]])),Table1[Entity Prefab],0)),10,1,1,"Entities"))</f>
        <v>70</v>
      </c>
      <c r="G484" s="75">
        <f ca="1">ROUND((Table245[[#This Row],[XP]]*Table245[[#This Row],[entity_spawned (AVG)]])*(Table245[[#This Row],[activating_chance]]/100),0)</f>
        <v>70</v>
      </c>
      <c r="H484" s="72" t="str">
        <f ca="1">INDIRECT(ADDRESS(11+(MATCH(RIGHT(Table245[[#This Row],[spawner_sku]],LEN(Table245[[#This Row],[spawner_sku]])-FIND("/",Table245[[#This Row],[spawner_sku]])),Table28[Entity Prefab],0)),24,1,1,"Entities"))</f>
        <v>yes</v>
      </c>
      <c r="I484" s="72">
        <v>1</v>
      </c>
      <c r="J484" s="72">
        <v>1</v>
      </c>
      <c r="K484" s="72" t="b">
        <v>0</v>
      </c>
      <c r="CL484" t="s">
        <v>494</v>
      </c>
      <c r="CM484">
        <v>1</v>
      </c>
      <c r="CN484">
        <v>310</v>
      </c>
      <c r="CO484">
        <v>100</v>
      </c>
      <c r="CP484" s="75">
        <f ca="1">INDIRECT(ADDRESS(11+(MATCH(RIGHT(Table11[[#This Row],[spawner_sku]],LEN(Table11[[#This Row],[spawner_sku]])-FIND("/",Table11[[#This Row],[spawner_sku]])),Table1[Entity Prefab],0)),10,1,1,"Entities"))</f>
        <v>70</v>
      </c>
      <c r="CQ484">
        <f ca="1">ROUND((Table11[[#This Row],[XP]]*Table11[[#This Row],[entity_spawned (AVG)]])*(Table11[[#This Row],[activating_chance]]/100),0)</f>
        <v>70</v>
      </c>
      <c r="CR484" s="145" t="str">
        <f ca="1">INDIRECT(ADDRESS(11+(MATCH(RIGHT(Table11[[#This Row],[spawner_sku]],LEN(Table11[[#This Row],[spawner_sku]])-FIND("/",Table11[[#This Row],[spawner_sku]])),Table28[Entity Prefab],0)),25,1,1,"Entities"))</f>
        <v>yes</v>
      </c>
      <c r="CS484" s="72">
        <v>1</v>
      </c>
      <c r="CT484" s="72">
        <v>1</v>
      </c>
      <c r="CU484" s="72" t="b">
        <v>0</v>
      </c>
      <c r="DS484" t="s">
        <v>424</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row>
    <row r="485" spans="2:133" x14ac:dyDescent="0.25">
      <c r="B485" s="73" t="s">
        <v>241</v>
      </c>
      <c r="C485">
        <v>1</v>
      </c>
      <c r="D485">
        <v>175</v>
      </c>
      <c r="E485">
        <v>100</v>
      </c>
      <c r="F485" s="75">
        <f ca="1">INDIRECT(ADDRESS(11+(MATCH(RIGHT(Table245[[#This Row],[spawner_sku]],LEN(Table245[[#This Row],[spawner_sku]])-FIND("/",Table245[[#This Row],[spawner_sku]])),Table1[Entity Prefab],0)),10,1,1,"Entities"))</f>
        <v>70</v>
      </c>
      <c r="G485" s="75">
        <f ca="1">ROUND((Table245[[#This Row],[XP]]*Table245[[#This Row],[entity_spawned (AVG)]])*(Table245[[#This Row],[activating_chance]]/100),0)</f>
        <v>70</v>
      </c>
      <c r="H485" s="72" t="str">
        <f ca="1">INDIRECT(ADDRESS(11+(MATCH(RIGHT(Table245[[#This Row],[spawner_sku]],LEN(Table245[[#This Row],[spawner_sku]])-FIND("/",Table245[[#This Row],[spawner_sku]])),Table28[Entity Prefab],0)),24,1,1,"Entities"))</f>
        <v>yes</v>
      </c>
      <c r="I485" s="72">
        <v>1</v>
      </c>
      <c r="J485" s="72">
        <v>1</v>
      </c>
      <c r="K485" s="72" t="b">
        <v>0</v>
      </c>
      <c r="CL485" t="s">
        <v>494</v>
      </c>
      <c r="CM485">
        <v>1</v>
      </c>
      <c r="CN485">
        <v>310</v>
      </c>
      <c r="CO485">
        <v>100</v>
      </c>
      <c r="CP485" s="75">
        <f ca="1">INDIRECT(ADDRESS(11+(MATCH(RIGHT(Table11[[#This Row],[spawner_sku]],LEN(Table11[[#This Row],[spawner_sku]])-FIND("/",Table11[[#This Row],[spawner_sku]])),Table1[Entity Prefab],0)),10,1,1,"Entities"))</f>
        <v>70</v>
      </c>
      <c r="CQ485">
        <f ca="1">ROUND((Table11[[#This Row],[XP]]*Table11[[#This Row],[entity_spawned (AVG)]])*(Table11[[#This Row],[activating_chance]]/100),0)</f>
        <v>70</v>
      </c>
      <c r="CR485" s="145" t="str">
        <f ca="1">INDIRECT(ADDRESS(11+(MATCH(RIGHT(Table11[[#This Row],[spawner_sku]],LEN(Table11[[#This Row],[spawner_sku]])-FIND("/",Table11[[#This Row],[spawner_sku]])),Table28[Entity Prefab],0)),25,1,1,"Entities"))</f>
        <v>yes</v>
      </c>
      <c r="CS485" s="72">
        <v>1</v>
      </c>
      <c r="CT485" s="72">
        <v>1</v>
      </c>
      <c r="CU485" s="72" t="b">
        <v>0</v>
      </c>
      <c r="DS485" t="s">
        <v>424</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row>
    <row r="486" spans="2:133" x14ac:dyDescent="0.25">
      <c r="B486" s="73" t="s">
        <v>241</v>
      </c>
      <c r="C486">
        <v>1</v>
      </c>
      <c r="D486">
        <v>220</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CL486" t="s">
        <v>494</v>
      </c>
      <c r="CM486">
        <v>1</v>
      </c>
      <c r="CN486">
        <v>310</v>
      </c>
      <c r="CO486">
        <v>100</v>
      </c>
      <c r="CP486" s="75">
        <f ca="1">INDIRECT(ADDRESS(11+(MATCH(RIGHT(Table11[[#This Row],[spawner_sku]],LEN(Table11[[#This Row],[spawner_sku]])-FIND("/",Table11[[#This Row],[spawner_sku]])),Table1[Entity Prefab],0)),10,1,1,"Entities"))</f>
        <v>70</v>
      </c>
      <c r="CQ486">
        <f ca="1">ROUND((Table11[[#This Row],[XP]]*Table11[[#This Row],[entity_spawned (AVG)]])*(Table11[[#This Row],[activating_chance]]/100),0)</f>
        <v>70</v>
      </c>
      <c r="CR486" s="145" t="str">
        <f ca="1">INDIRECT(ADDRESS(11+(MATCH(RIGHT(Table11[[#This Row],[spawner_sku]],LEN(Table11[[#This Row],[spawner_sku]])-FIND("/",Table11[[#This Row],[spawner_sku]])),Table28[Entity Prefab],0)),25,1,1,"Entities"))</f>
        <v>yes</v>
      </c>
      <c r="CS486" s="72">
        <v>1</v>
      </c>
      <c r="CT486" s="72">
        <v>1</v>
      </c>
      <c r="CU486" s="72" t="b">
        <v>0</v>
      </c>
      <c r="DS486" t="s">
        <v>424</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row>
    <row r="487" spans="2:133" x14ac:dyDescent="0.25">
      <c r="B487" s="73" t="s">
        <v>241</v>
      </c>
      <c r="C487">
        <v>1</v>
      </c>
      <c r="D487">
        <v>175</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CL487" t="s">
        <v>494</v>
      </c>
      <c r="CM487">
        <v>1</v>
      </c>
      <c r="CN487">
        <v>310</v>
      </c>
      <c r="CO487">
        <v>100</v>
      </c>
      <c r="CP487" s="75">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5" t="str">
        <f ca="1">INDIRECT(ADDRESS(11+(MATCH(RIGHT(Table11[[#This Row],[spawner_sku]],LEN(Table11[[#This Row],[spawner_sku]])-FIND("/",Table11[[#This Row],[spawner_sku]])),Table28[Entity Prefab],0)),25,1,1,"Entities"))</f>
        <v>yes</v>
      </c>
      <c r="CS487" s="72">
        <v>1</v>
      </c>
      <c r="CT487" s="72">
        <v>1</v>
      </c>
      <c r="CU487" s="72" t="b">
        <v>0</v>
      </c>
      <c r="DS487" t="s">
        <v>424</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row>
    <row r="488" spans="2:133" x14ac:dyDescent="0.25">
      <c r="B488" s="73" t="s">
        <v>241</v>
      </c>
      <c r="C488">
        <v>1</v>
      </c>
      <c r="D488">
        <v>190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CL488" t="s">
        <v>494</v>
      </c>
      <c r="CM488">
        <v>1</v>
      </c>
      <c r="CN488">
        <v>310</v>
      </c>
      <c r="CO488">
        <v>100</v>
      </c>
      <c r="CP488" s="75">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5" t="str">
        <f ca="1">INDIRECT(ADDRESS(11+(MATCH(RIGHT(Table11[[#This Row],[spawner_sku]],LEN(Table11[[#This Row],[spawner_sku]])-FIND("/",Table11[[#This Row],[spawner_sku]])),Table28[Entity Prefab],0)),25,1,1,"Entities"))</f>
        <v>yes</v>
      </c>
      <c r="CS488" s="72">
        <v>1</v>
      </c>
      <c r="CT488" s="72">
        <v>1</v>
      </c>
      <c r="CU488" s="72" t="b">
        <v>0</v>
      </c>
      <c r="DS488" t="s">
        <v>424</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row>
    <row r="489" spans="2:133" x14ac:dyDescent="0.25">
      <c r="B489" s="73" t="s">
        <v>241</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CL489" t="s">
        <v>494</v>
      </c>
      <c r="CM489">
        <v>1</v>
      </c>
      <c r="CN489">
        <v>310</v>
      </c>
      <c r="CO489">
        <v>100</v>
      </c>
      <c r="CP489" s="75">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5" t="str">
        <f ca="1">INDIRECT(ADDRESS(11+(MATCH(RIGHT(Table11[[#This Row],[spawner_sku]],LEN(Table11[[#This Row],[spawner_sku]])-FIND("/",Table11[[#This Row],[spawner_sku]])),Table28[Entity Prefab],0)),25,1,1,"Entities"))</f>
        <v>yes</v>
      </c>
      <c r="CS489" s="72">
        <v>1</v>
      </c>
      <c r="CT489" s="72">
        <v>1</v>
      </c>
      <c r="CU489" s="72" t="b">
        <v>0</v>
      </c>
      <c r="DS489" t="s">
        <v>424</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row>
    <row r="490" spans="2:133" x14ac:dyDescent="0.25">
      <c r="B490" s="73" t="s">
        <v>241</v>
      </c>
      <c r="C490">
        <v>1</v>
      </c>
      <c r="D490">
        <v>190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CL490" t="s">
        <v>494</v>
      </c>
      <c r="CM490">
        <v>1</v>
      </c>
      <c r="CN490">
        <v>310</v>
      </c>
      <c r="CO490">
        <v>100</v>
      </c>
      <c r="CP490" s="75">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5" t="str">
        <f ca="1">INDIRECT(ADDRESS(11+(MATCH(RIGHT(Table11[[#This Row],[spawner_sku]],LEN(Table11[[#This Row],[spawner_sku]])-FIND("/",Table11[[#This Row],[spawner_sku]])),Table28[Entity Prefab],0)),25,1,1,"Entities"))</f>
        <v>yes</v>
      </c>
      <c r="CS490" s="72">
        <v>1</v>
      </c>
      <c r="CT490" s="72">
        <v>1</v>
      </c>
      <c r="CU490" s="72" t="b">
        <v>0</v>
      </c>
      <c r="DS490" t="s">
        <v>424</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row>
    <row r="491" spans="2:133" x14ac:dyDescent="0.25">
      <c r="B491" s="73" t="s">
        <v>241</v>
      </c>
      <c r="C491">
        <v>1</v>
      </c>
      <c r="D491">
        <v>220</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CL491" t="s">
        <v>240</v>
      </c>
      <c r="CM491">
        <v>1</v>
      </c>
      <c r="CN491">
        <v>170</v>
      </c>
      <c r="CO491">
        <v>100</v>
      </c>
      <c r="CP491" s="75">
        <f ca="1">INDIRECT(ADDRESS(11+(MATCH(RIGHT(Table11[[#This Row],[spawner_sku]],LEN(Table11[[#This Row],[spawner_sku]])-FIND("/",Table11[[#This Row],[spawner_sku]])),Table1[Entity Prefab],0)),10,1,1,"Entities"))</f>
        <v>70</v>
      </c>
      <c r="CQ491">
        <f ca="1">ROUND((Table11[[#This Row],[XP]]*Table11[[#This Row],[entity_spawned (AVG)]])*(Table11[[#This Row],[activating_chance]]/100),0)</f>
        <v>70</v>
      </c>
      <c r="CR491" s="145" t="str">
        <f ca="1">INDIRECT(ADDRESS(11+(MATCH(RIGHT(Table11[[#This Row],[spawner_sku]],LEN(Table11[[#This Row],[spawner_sku]])-FIND("/",Table11[[#This Row],[spawner_sku]])),Table28[Entity Prefab],0)),25,1,1,"Entities"))</f>
        <v>yes</v>
      </c>
      <c r="CS491" s="72">
        <v>1</v>
      </c>
      <c r="CT491" s="72">
        <v>1</v>
      </c>
      <c r="CU491" s="72" t="b">
        <v>0</v>
      </c>
      <c r="DS491" t="s">
        <v>424</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row>
    <row r="492" spans="2:133" x14ac:dyDescent="0.25">
      <c r="B492" s="73" t="s">
        <v>241</v>
      </c>
      <c r="C492">
        <v>1</v>
      </c>
      <c r="D492">
        <v>170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CL492" t="s">
        <v>240</v>
      </c>
      <c r="CM492">
        <v>1</v>
      </c>
      <c r="CN492">
        <v>170</v>
      </c>
      <c r="CO492">
        <v>75</v>
      </c>
      <c r="CP492" s="75">
        <f ca="1">INDIRECT(ADDRESS(11+(MATCH(RIGHT(Table11[[#This Row],[spawner_sku]],LEN(Table11[[#This Row],[spawner_sku]])-FIND("/",Table11[[#This Row],[spawner_sku]])),Table1[Entity Prefab],0)),10,1,1,"Entities"))</f>
        <v>70</v>
      </c>
      <c r="CQ492">
        <f ca="1">ROUND((Table11[[#This Row],[XP]]*Table11[[#This Row],[entity_spawned (AVG)]])*(Table11[[#This Row],[activating_chance]]/100),0)</f>
        <v>53</v>
      </c>
      <c r="CR492" s="145" t="str">
        <f ca="1">INDIRECT(ADDRESS(11+(MATCH(RIGHT(Table11[[#This Row],[spawner_sku]],LEN(Table11[[#This Row],[spawner_sku]])-FIND("/",Table11[[#This Row],[spawner_sku]])),Table28[Entity Prefab],0)),25,1,1,"Entities"))</f>
        <v>yes</v>
      </c>
      <c r="CS492" s="72">
        <v>1</v>
      </c>
      <c r="CT492" s="72">
        <v>1</v>
      </c>
      <c r="CU492" s="72" t="b">
        <v>0</v>
      </c>
      <c r="DS492" t="s">
        <v>424</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row>
    <row r="493" spans="2:133" x14ac:dyDescent="0.25">
      <c r="B493" s="73" t="s">
        <v>241</v>
      </c>
      <c r="C493">
        <v>1</v>
      </c>
      <c r="D493">
        <v>190</v>
      </c>
      <c r="E493">
        <v>80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56</v>
      </c>
      <c r="H493" s="72" t="str">
        <f ca="1">INDIRECT(ADDRESS(11+(MATCH(RIGHT(Table245[[#This Row],[spawner_sku]],LEN(Table245[[#This Row],[spawner_sku]])-FIND("/",Table245[[#This Row],[spawner_sku]])),Table28[Entity Prefab],0)),24,1,1,"Entities"))</f>
        <v>yes</v>
      </c>
      <c r="I493" s="72">
        <v>1</v>
      </c>
      <c r="J493" s="72">
        <v>1</v>
      </c>
      <c r="K493" s="72" t="b">
        <v>0</v>
      </c>
      <c r="CL493" t="s">
        <v>240</v>
      </c>
      <c r="CM493">
        <v>1</v>
      </c>
      <c r="CN493">
        <v>170</v>
      </c>
      <c r="CO493">
        <v>100</v>
      </c>
      <c r="CP493" s="75">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5" t="str">
        <f ca="1">INDIRECT(ADDRESS(11+(MATCH(RIGHT(Table11[[#This Row],[spawner_sku]],LEN(Table11[[#This Row],[spawner_sku]])-FIND("/",Table11[[#This Row],[spawner_sku]])),Table28[Entity Prefab],0)),25,1,1,"Entities"))</f>
        <v>yes</v>
      </c>
      <c r="CS493" s="72">
        <v>1</v>
      </c>
      <c r="CT493" s="72">
        <v>1</v>
      </c>
      <c r="CU493" s="72" t="b">
        <v>0</v>
      </c>
      <c r="DS493" t="s">
        <v>424</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row>
    <row r="494" spans="2:133" x14ac:dyDescent="0.25">
      <c r="B494" s="73" t="s">
        <v>241</v>
      </c>
      <c r="C494">
        <v>1</v>
      </c>
      <c r="D494">
        <v>220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CL494" t="s">
        <v>240</v>
      </c>
      <c r="CM494">
        <v>1</v>
      </c>
      <c r="CN494">
        <v>170</v>
      </c>
      <c r="CO494">
        <v>100</v>
      </c>
      <c r="CP494" s="75">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5" t="str">
        <f ca="1">INDIRECT(ADDRESS(11+(MATCH(RIGHT(Table11[[#This Row],[spawner_sku]],LEN(Table11[[#This Row],[spawner_sku]])-FIND("/",Table11[[#This Row],[spawner_sku]])),Table28[Entity Prefab],0)),25,1,1,"Entities"))</f>
        <v>yes</v>
      </c>
      <c r="CS494" s="72">
        <v>1</v>
      </c>
      <c r="CT494" s="72">
        <v>1</v>
      </c>
      <c r="CU494" s="72" t="b">
        <v>0</v>
      </c>
      <c r="DS494" t="s">
        <v>424</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row>
    <row r="495" spans="2:133" x14ac:dyDescent="0.25">
      <c r="B495" s="73" t="s">
        <v>241</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CL495" t="s">
        <v>241</v>
      </c>
      <c r="CM495">
        <v>1</v>
      </c>
      <c r="CN495">
        <v>170</v>
      </c>
      <c r="CO495">
        <v>100</v>
      </c>
      <c r="CP495" s="75">
        <f ca="1">INDIRECT(ADDRESS(11+(MATCH(RIGHT(Table11[[#This Row],[spawner_sku]],LEN(Table11[[#This Row],[spawner_sku]])-FIND("/",Table11[[#This Row],[spawner_sku]])),Table1[Entity Prefab],0)),10,1,1,"Entities"))</f>
        <v>70</v>
      </c>
      <c r="CQ495">
        <f ca="1">ROUND((Table11[[#This Row],[XP]]*Table11[[#This Row],[entity_spawned (AVG)]])*(Table11[[#This Row],[activating_chance]]/100),0)</f>
        <v>70</v>
      </c>
      <c r="CR495" s="145" t="str">
        <f ca="1">INDIRECT(ADDRESS(11+(MATCH(RIGHT(Table11[[#This Row],[spawner_sku]],LEN(Table11[[#This Row],[spawner_sku]])-FIND("/",Table11[[#This Row],[spawner_sku]])),Table28[Entity Prefab],0)),25,1,1,"Entities"))</f>
        <v>yes</v>
      </c>
      <c r="CS495" s="72">
        <v>1</v>
      </c>
      <c r="CT495" s="72">
        <v>1</v>
      </c>
      <c r="CU495" s="72" t="b">
        <v>0</v>
      </c>
      <c r="DS495" t="s">
        <v>424</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row>
    <row r="496" spans="2:133" x14ac:dyDescent="0.25">
      <c r="B496" s="73" t="s">
        <v>241</v>
      </c>
      <c r="C496">
        <v>1</v>
      </c>
      <c r="D496">
        <v>175</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CL496" t="s">
        <v>241</v>
      </c>
      <c r="CM496">
        <v>1</v>
      </c>
      <c r="CN496">
        <v>170</v>
      </c>
      <c r="CO496">
        <v>10</v>
      </c>
      <c r="CP496" s="75">
        <f ca="1">INDIRECT(ADDRESS(11+(MATCH(RIGHT(Table11[[#This Row],[spawner_sku]],LEN(Table11[[#This Row],[spawner_sku]])-FIND("/",Table11[[#This Row],[spawner_sku]])),Table1[Entity Prefab],0)),10,1,1,"Entities"))</f>
        <v>70</v>
      </c>
      <c r="CQ496">
        <f ca="1">ROUND((Table11[[#This Row],[XP]]*Table11[[#This Row],[entity_spawned (AVG)]])*(Table11[[#This Row],[activating_chance]]/100),0)</f>
        <v>7</v>
      </c>
      <c r="CR496" s="145" t="str">
        <f ca="1">INDIRECT(ADDRESS(11+(MATCH(RIGHT(Table11[[#This Row],[spawner_sku]],LEN(Table11[[#This Row],[spawner_sku]])-FIND("/",Table11[[#This Row],[spawner_sku]])),Table28[Entity Prefab],0)),25,1,1,"Entities"))</f>
        <v>yes</v>
      </c>
      <c r="CS496" s="72">
        <v>1</v>
      </c>
      <c r="CT496" s="72">
        <v>1</v>
      </c>
      <c r="CU496" s="72" t="b">
        <v>0</v>
      </c>
      <c r="DS496" t="s">
        <v>424</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row>
    <row r="497" spans="2:133" x14ac:dyDescent="0.25">
      <c r="B497" s="73" t="s">
        <v>241</v>
      </c>
      <c r="C497">
        <v>1</v>
      </c>
      <c r="D497">
        <v>120</v>
      </c>
      <c r="E497">
        <v>80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56</v>
      </c>
      <c r="H497" s="72" t="str">
        <f ca="1">INDIRECT(ADDRESS(11+(MATCH(RIGHT(Table245[[#This Row],[spawner_sku]],LEN(Table245[[#This Row],[spawner_sku]])-FIND("/",Table245[[#This Row],[spawner_sku]])),Table28[Entity Prefab],0)),24,1,1,"Entities"))</f>
        <v>yes</v>
      </c>
      <c r="I497" s="72">
        <v>1</v>
      </c>
      <c r="J497" s="72">
        <v>1</v>
      </c>
      <c r="K497" s="72" t="b">
        <v>0</v>
      </c>
      <c r="CL497" t="s">
        <v>241</v>
      </c>
      <c r="CM497">
        <v>1</v>
      </c>
      <c r="CN497">
        <v>170</v>
      </c>
      <c r="CO497">
        <v>80</v>
      </c>
      <c r="CP497" s="75">
        <f ca="1">INDIRECT(ADDRESS(11+(MATCH(RIGHT(Table11[[#This Row],[spawner_sku]],LEN(Table11[[#This Row],[spawner_sku]])-FIND("/",Table11[[#This Row],[spawner_sku]])),Table1[Entity Prefab],0)),10,1,1,"Entities"))</f>
        <v>70</v>
      </c>
      <c r="CQ497">
        <f ca="1">ROUND((Table11[[#This Row],[XP]]*Table11[[#This Row],[entity_spawned (AVG)]])*(Table11[[#This Row],[activating_chance]]/100),0)</f>
        <v>56</v>
      </c>
      <c r="CR497" s="145" t="str">
        <f ca="1">INDIRECT(ADDRESS(11+(MATCH(RIGHT(Table11[[#This Row],[spawner_sku]],LEN(Table11[[#This Row],[spawner_sku]])-FIND("/",Table11[[#This Row],[spawner_sku]])),Table28[Entity Prefab],0)),25,1,1,"Entities"))</f>
        <v>yes</v>
      </c>
      <c r="CS497" s="72">
        <v>1</v>
      </c>
      <c r="CT497" s="72">
        <v>1</v>
      </c>
      <c r="CU497" s="72" t="b">
        <v>0</v>
      </c>
      <c r="DS497" t="s">
        <v>233</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row>
    <row r="498" spans="2:133" x14ac:dyDescent="0.25">
      <c r="B498" s="73" t="s">
        <v>241</v>
      </c>
      <c r="C498">
        <v>1</v>
      </c>
      <c r="D498">
        <v>190</v>
      </c>
      <c r="E498">
        <v>90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63</v>
      </c>
      <c r="H498" s="72" t="str">
        <f ca="1">INDIRECT(ADDRESS(11+(MATCH(RIGHT(Table245[[#This Row],[spawner_sku]],LEN(Table245[[#This Row],[spawner_sku]])-FIND("/",Table245[[#This Row],[spawner_sku]])),Table28[Entity Prefab],0)),24,1,1,"Entities"))</f>
        <v>yes</v>
      </c>
      <c r="I498" s="72">
        <v>1</v>
      </c>
      <c r="J498" s="72">
        <v>1</v>
      </c>
      <c r="K498" s="72" t="b">
        <v>0</v>
      </c>
      <c r="CL498" t="s">
        <v>241</v>
      </c>
      <c r="CM498">
        <v>1</v>
      </c>
      <c r="CN498">
        <v>170</v>
      </c>
      <c r="CO498">
        <v>100</v>
      </c>
      <c r="CP498" s="75">
        <f ca="1">INDIRECT(ADDRESS(11+(MATCH(RIGHT(Table11[[#This Row],[spawner_sku]],LEN(Table11[[#This Row],[spawner_sku]])-FIND("/",Table11[[#This Row],[spawner_sku]])),Table1[Entity Prefab],0)),10,1,1,"Entities"))</f>
        <v>70</v>
      </c>
      <c r="CQ498">
        <f ca="1">ROUND((Table11[[#This Row],[XP]]*Table11[[#This Row],[entity_spawned (AVG)]])*(Table11[[#This Row],[activating_chance]]/100),0)</f>
        <v>70</v>
      </c>
      <c r="CR498" s="145" t="str">
        <f ca="1">INDIRECT(ADDRESS(11+(MATCH(RIGHT(Table11[[#This Row],[spawner_sku]],LEN(Table11[[#This Row],[spawner_sku]])-FIND("/",Table11[[#This Row],[spawner_sku]])),Table28[Entity Prefab],0)),25,1,1,"Entities"))</f>
        <v>yes</v>
      </c>
      <c r="CS498" s="72">
        <v>1</v>
      </c>
      <c r="CT498" s="72">
        <v>1</v>
      </c>
      <c r="CU498" s="72" t="b">
        <v>0</v>
      </c>
      <c r="DS498" t="s">
        <v>233</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row>
    <row r="499" spans="2:133" x14ac:dyDescent="0.25">
      <c r="B499" s="73" t="s">
        <v>241</v>
      </c>
      <c r="C499">
        <v>1</v>
      </c>
      <c r="D499">
        <v>190</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CL499" t="s">
        <v>241</v>
      </c>
      <c r="CM499">
        <v>1</v>
      </c>
      <c r="CN499">
        <v>170</v>
      </c>
      <c r="CO499">
        <v>10</v>
      </c>
      <c r="CP499" s="75">
        <f ca="1">INDIRECT(ADDRESS(11+(MATCH(RIGHT(Table11[[#This Row],[spawner_sku]],LEN(Table11[[#This Row],[spawner_sku]])-FIND("/",Table11[[#This Row],[spawner_sku]])),Table1[Entity Prefab],0)),10,1,1,"Entities"))</f>
        <v>70</v>
      </c>
      <c r="CQ499">
        <f ca="1">ROUND((Table11[[#This Row],[XP]]*Table11[[#This Row],[entity_spawned (AVG)]])*(Table11[[#This Row],[activating_chance]]/100),0)</f>
        <v>7</v>
      </c>
      <c r="CR499" s="145" t="str">
        <f ca="1">INDIRECT(ADDRESS(11+(MATCH(RIGHT(Table11[[#This Row],[spawner_sku]],LEN(Table11[[#This Row],[spawner_sku]])-FIND("/",Table11[[#This Row],[spawner_sku]])),Table28[Entity Prefab],0)),25,1,1,"Entities"))</f>
        <v>yes</v>
      </c>
      <c r="CS499" s="72">
        <v>1</v>
      </c>
      <c r="CT499" s="72">
        <v>1</v>
      </c>
      <c r="CU499" s="72" t="b">
        <v>0</v>
      </c>
      <c r="DS499" t="s">
        <v>233</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row>
    <row r="500" spans="2:133" x14ac:dyDescent="0.25">
      <c r="B500" s="73" t="s">
        <v>241</v>
      </c>
      <c r="C500">
        <v>1</v>
      </c>
      <c r="D500">
        <v>175</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CL500" t="s">
        <v>241</v>
      </c>
      <c r="CM500">
        <v>1</v>
      </c>
      <c r="CN500">
        <v>170</v>
      </c>
      <c r="CO500">
        <v>100</v>
      </c>
      <c r="CP500" s="75">
        <f ca="1">INDIRECT(ADDRESS(11+(MATCH(RIGHT(Table11[[#This Row],[spawner_sku]],LEN(Table11[[#This Row],[spawner_sku]])-FIND("/",Table11[[#This Row],[spawner_sku]])),Table1[Entity Prefab],0)),10,1,1,"Entities"))</f>
        <v>70</v>
      </c>
      <c r="CQ500">
        <f ca="1">ROUND((Table11[[#This Row],[XP]]*Table11[[#This Row],[entity_spawned (AVG)]])*(Table11[[#This Row],[activating_chance]]/100),0)</f>
        <v>70</v>
      </c>
      <c r="CR500" s="145" t="str">
        <f ca="1">INDIRECT(ADDRESS(11+(MATCH(RIGHT(Table11[[#This Row],[spawner_sku]],LEN(Table11[[#This Row],[spawner_sku]])-FIND("/",Table11[[#This Row],[spawner_sku]])),Table28[Entity Prefab],0)),25,1,1,"Entities"))</f>
        <v>yes</v>
      </c>
      <c r="CS500" s="72">
        <v>1</v>
      </c>
      <c r="CT500" s="72">
        <v>1</v>
      </c>
      <c r="CU500" s="72" t="b">
        <v>0</v>
      </c>
      <c r="DS500" t="s">
        <v>233</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row>
    <row r="501" spans="2:133" x14ac:dyDescent="0.25">
      <c r="B501" s="73" t="s">
        <v>241</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CL501" t="s">
        <v>241</v>
      </c>
      <c r="CM501">
        <v>1</v>
      </c>
      <c r="CN501">
        <v>170</v>
      </c>
      <c r="CO501">
        <v>80</v>
      </c>
      <c r="CP501" s="75">
        <f ca="1">INDIRECT(ADDRESS(11+(MATCH(RIGHT(Table11[[#This Row],[spawner_sku]],LEN(Table11[[#This Row],[spawner_sku]])-FIND("/",Table11[[#This Row],[spawner_sku]])),Table1[Entity Prefab],0)),10,1,1,"Entities"))</f>
        <v>70</v>
      </c>
      <c r="CQ501">
        <f ca="1">ROUND((Table11[[#This Row],[XP]]*Table11[[#This Row],[entity_spawned (AVG)]])*(Table11[[#This Row],[activating_chance]]/100),0)</f>
        <v>56</v>
      </c>
      <c r="CR501" s="145" t="str">
        <f ca="1">INDIRECT(ADDRESS(11+(MATCH(RIGHT(Table11[[#This Row],[spawner_sku]],LEN(Table11[[#This Row],[spawner_sku]])-FIND("/",Table11[[#This Row],[spawner_sku]])),Table28[Entity Prefab],0)),25,1,1,"Entities"))</f>
        <v>yes</v>
      </c>
      <c r="CS501" s="72">
        <v>1</v>
      </c>
      <c r="CT501" s="72">
        <v>1</v>
      </c>
      <c r="CU501" s="72" t="b">
        <v>0</v>
      </c>
      <c r="DS501" t="s">
        <v>233</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row>
    <row r="502" spans="2:133" x14ac:dyDescent="0.25">
      <c r="B502" s="73" t="s">
        <v>241</v>
      </c>
      <c r="C502">
        <v>1</v>
      </c>
      <c r="D502">
        <v>220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CL502" t="s">
        <v>241</v>
      </c>
      <c r="CM502">
        <v>1</v>
      </c>
      <c r="CN502">
        <v>170</v>
      </c>
      <c r="CO502">
        <v>30</v>
      </c>
      <c r="CP502" s="75">
        <f ca="1">INDIRECT(ADDRESS(11+(MATCH(RIGHT(Table11[[#This Row],[spawner_sku]],LEN(Table11[[#This Row],[spawner_sku]])-FIND("/",Table11[[#This Row],[spawner_sku]])),Table1[Entity Prefab],0)),10,1,1,"Entities"))</f>
        <v>70</v>
      </c>
      <c r="CQ502">
        <f ca="1">ROUND((Table11[[#This Row],[XP]]*Table11[[#This Row],[entity_spawned (AVG)]])*(Table11[[#This Row],[activating_chance]]/100),0)</f>
        <v>21</v>
      </c>
      <c r="CR502" s="145" t="str">
        <f ca="1">INDIRECT(ADDRESS(11+(MATCH(RIGHT(Table11[[#This Row],[spawner_sku]],LEN(Table11[[#This Row],[spawner_sku]])-FIND("/",Table11[[#This Row],[spawner_sku]])),Table28[Entity Prefab],0)),25,1,1,"Entities"))</f>
        <v>yes</v>
      </c>
      <c r="CS502" s="72">
        <v>1</v>
      </c>
      <c r="CT502" s="72">
        <v>1</v>
      </c>
      <c r="CU502" s="72" t="b">
        <v>0</v>
      </c>
      <c r="DS502" t="s">
        <v>233</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row>
    <row r="503" spans="2:133" x14ac:dyDescent="0.25">
      <c r="B503" s="73" t="s">
        <v>241</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CL503" t="s">
        <v>241</v>
      </c>
      <c r="CM503">
        <v>1</v>
      </c>
      <c r="CN503">
        <v>170</v>
      </c>
      <c r="CO503">
        <v>100</v>
      </c>
      <c r="CP503" s="75">
        <f ca="1">INDIRECT(ADDRESS(11+(MATCH(RIGHT(Table11[[#This Row],[spawner_sku]],LEN(Table11[[#This Row],[spawner_sku]])-FIND("/",Table11[[#This Row],[spawner_sku]])),Table1[Entity Prefab],0)),10,1,1,"Entities"))</f>
        <v>70</v>
      </c>
      <c r="CQ503">
        <f ca="1">ROUND((Table11[[#This Row],[XP]]*Table11[[#This Row],[entity_spawned (AVG)]])*(Table11[[#This Row],[activating_chance]]/100),0)</f>
        <v>70</v>
      </c>
      <c r="CR503" s="145" t="str">
        <f ca="1">INDIRECT(ADDRESS(11+(MATCH(RIGHT(Table11[[#This Row],[spawner_sku]],LEN(Table11[[#This Row],[spawner_sku]])-FIND("/",Table11[[#This Row],[spawner_sku]])),Table28[Entity Prefab],0)),25,1,1,"Entities"))</f>
        <v>yes</v>
      </c>
      <c r="CS503" s="72">
        <v>1</v>
      </c>
      <c r="CT503" s="72">
        <v>1</v>
      </c>
      <c r="CU503" s="72" t="b">
        <v>0</v>
      </c>
      <c r="DS503" t="s">
        <v>233</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row>
    <row r="504" spans="2:133" x14ac:dyDescent="0.25">
      <c r="B504" s="73" t="s">
        <v>241</v>
      </c>
      <c r="C504">
        <v>1</v>
      </c>
      <c r="D504">
        <v>190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CL504" t="s">
        <v>241</v>
      </c>
      <c r="CM504">
        <v>1</v>
      </c>
      <c r="CN504">
        <v>170</v>
      </c>
      <c r="CO504">
        <v>80</v>
      </c>
      <c r="CP504" s="75">
        <f ca="1">INDIRECT(ADDRESS(11+(MATCH(RIGHT(Table11[[#This Row],[spawner_sku]],LEN(Table11[[#This Row],[spawner_sku]])-FIND("/",Table11[[#This Row],[spawner_sku]])),Table1[Entity Prefab],0)),10,1,1,"Entities"))</f>
        <v>70</v>
      </c>
      <c r="CQ504">
        <f ca="1">ROUND((Table11[[#This Row],[XP]]*Table11[[#This Row],[entity_spawned (AVG)]])*(Table11[[#This Row],[activating_chance]]/100),0)</f>
        <v>56</v>
      </c>
      <c r="CR504" s="145" t="str">
        <f ca="1">INDIRECT(ADDRESS(11+(MATCH(RIGHT(Table11[[#This Row],[spawner_sku]],LEN(Table11[[#This Row],[spawner_sku]])-FIND("/",Table11[[#This Row],[spawner_sku]])),Table28[Entity Prefab],0)),25,1,1,"Entities"))</f>
        <v>yes</v>
      </c>
      <c r="CS504" s="72">
        <v>1</v>
      </c>
      <c r="CT504" s="72">
        <v>1</v>
      </c>
      <c r="CU504" s="72" t="b">
        <v>0</v>
      </c>
      <c r="DS504" t="s">
        <v>233</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row>
    <row r="505" spans="2:133" x14ac:dyDescent="0.25">
      <c r="B505" s="73" t="s">
        <v>241</v>
      </c>
      <c r="C505">
        <v>1</v>
      </c>
      <c r="D505">
        <v>190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CL505" t="s">
        <v>242</v>
      </c>
      <c r="CM505">
        <v>1</v>
      </c>
      <c r="CN505">
        <v>150</v>
      </c>
      <c r="CO505">
        <v>100</v>
      </c>
      <c r="CP505" s="75">
        <f ca="1">INDIRECT(ADDRESS(11+(MATCH(RIGHT(Table11[[#This Row],[spawner_sku]],LEN(Table11[[#This Row],[spawner_sku]])-FIND("/",Table11[[#This Row],[spawner_sku]])),Table1[Entity Prefab],0)),10,1,1,"Entities"))</f>
        <v>25</v>
      </c>
      <c r="CQ505">
        <f ca="1">ROUND((Table11[[#This Row],[XP]]*Table11[[#This Row],[entity_spawned (AVG)]])*(Table11[[#This Row],[activating_chance]]/100),0)</f>
        <v>25</v>
      </c>
      <c r="CR505" s="145" t="str">
        <f ca="1">INDIRECT(ADDRESS(11+(MATCH(RIGHT(Table11[[#This Row],[spawner_sku]],LEN(Table11[[#This Row],[spawner_sku]])-FIND("/",Table11[[#This Row],[spawner_sku]])),Table28[Entity Prefab],0)),25,1,1,"Entities"))</f>
        <v>no</v>
      </c>
      <c r="CS505" s="72">
        <v>1</v>
      </c>
      <c r="CT505" s="72">
        <v>1</v>
      </c>
      <c r="CU505" s="72" t="b">
        <v>0</v>
      </c>
      <c r="DS505" t="s">
        <v>233</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row>
    <row r="506" spans="2:133" x14ac:dyDescent="0.25">
      <c r="B506" s="73" t="s">
        <v>241</v>
      </c>
      <c r="C506">
        <v>1</v>
      </c>
      <c r="D506">
        <v>190</v>
      </c>
      <c r="E506">
        <v>40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28</v>
      </c>
      <c r="H506" s="72" t="str">
        <f ca="1">INDIRECT(ADDRESS(11+(MATCH(RIGHT(Table245[[#This Row],[spawner_sku]],LEN(Table245[[#This Row],[spawner_sku]])-FIND("/",Table245[[#This Row],[spawner_sku]])),Table28[Entity Prefab],0)),24,1,1,"Entities"))</f>
        <v>yes</v>
      </c>
      <c r="I506" s="72">
        <v>1</v>
      </c>
      <c r="J506" s="72">
        <v>1</v>
      </c>
      <c r="K506" s="72" t="b">
        <v>0</v>
      </c>
      <c r="CL506" t="s">
        <v>242</v>
      </c>
      <c r="CM506">
        <v>1</v>
      </c>
      <c r="CN506">
        <v>130</v>
      </c>
      <c r="CO506">
        <v>100</v>
      </c>
      <c r="CP506" s="75">
        <f ca="1">INDIRECT(ADDRESS(11+(MATCH(RIGHT(Table11[[#This Row],[spawner_sku]],LEN(Table11[[#This Row],[spawner_sku]])-FIND("/",Table11[[#This Row],[spawner_sku]])),Table1[Entity Prefab],0)),10,1,1,"Entities"))</f>
        <v>25</v>
      </c>
      <c r="CQ506">
        <f ca="1">ROUND((Table11[[#This Row],[XP]]*Table11[[#This Row],[entity_spawned (AVG)]])*(Table11[[#This Row],[activating_chance]]/100),0)</f>
        <v>25</v>
      </c>
      <c r="CR506" s="145" t="str">
        <f ca="1">INDIRECT(ADDRESS(11+(MATCH(RIGHT(Table11[[#This Row],[spawner_sku]],LEN(Table11[[#This Row],[spawner_sku]])-FIND("/",Table11[[#This Row],[spawner_sku]])),Table28[Entity Prefab],0)),25,1,1,"Entities"))</f>
        <v>no</v>
      </c>
      <c r="CS506" s="72">
        <v>1</v>
      </c>
      <c r="CT506" s="72">
        <v>1</v>
      </c>
      <c r="CU506" s="72" t="b">
        <v>0</v>
      </c>
      <c r="DS506" t="s">
        <v>233</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row>
    <row r="507" spans="2:133" x14ac:dyDescent="0.25">
      <c r="B507" s="73" t="s">
        <v>241</v>
      </c>
      <c r="C507">
        <v>1</v>
      </c>
      <c r="D507">
        <v>175</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CL507" t="s">
        <v>242</v>
      </c>
      <c r="CM507">
        <v>1</v>
      </c>
      <c r="CN507">
        <v>150</v>
      </c>
      <c r="CO507">
        <v>100</v>
      </c>
      <c r="CP507" s="75">
        <f ca="1">INDIRECT(ADDRESS(11+(MATCH(RIGHT(Table11[[#This Row],[spawner_sku]],LEN(Table11[[#This Row],[spawner_sku]])-FIND("/",Table11[[#This Row],[spawner_sku]])),Table1[Entity Prefab],0)),10,1,1,"Entities"))</f>
        <v>25</v>
      </c>
      <c r="CQ507">
        <f ca="1">ROUND((Table11[[#This Row],[XP]]*Table11[[#This Row],[entity_spawned (AVG)]])*(Table11[[#This Row],[activating_chance]]/100),0)</f>
        <v>25</v>
      </c>
      <c r="CR507" s="145" t="str">
        <f ca="1">INDIRECT(ADDRESS(11+(MATCH(RIGHT(Table11[[#This Row],[spawner_sku]],LEN(Table11[[#This Row],[spawner_sku]])-FIND("/",Table11[[#This Row],[spawner_sku]])),Table28[Entity Prefab],0)),25,1,1,"Entities"))</f>
        <v>no</v>
      </c>
      <c r="CS507" s="72">
        <v>1</v>
      </c>
      <c r="CT507" s="72">
        <v>1</v>
      </c>
      <c r="CU507" s="72" t="b">
        <v>0</v>
      </c>
      <c r="DS507" t="s">
        <v>233</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row>
    <row r="508" spans="2:133" x14ac:dyDescent="0.25">
      <c r="B508" s="73" t="s">
        <v>241</v>
      </c>
      <c r="C508">
        <v>1</v>
      </c>
      <c r="D508">
        <v>190</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CL508" t="s">
        <v>242</v>
      </c>
      <c r="CM508">
        <v>1</v>
      </c>
      <c r="CN508">
        <v>150</v>
      </c>
      <c r="CO508">
        <v>100</v>
      </c>
      <c r="CP508" s="75">
        <f ca="1">INDIRECT(ADDRESS(11+(MATCH(RIGHT(Table11[[#This Row],[spawner_sku]],LEN(Table11[[#This Row],[spawner_sku]])-FIND("/",Table11[[#This Row],[spawner_sku]])),Table1[Entity Prefab],0)),10,1,1,"Entities"))</f>
        <v>25</v>
      </c>
      <c r="CQ508">
        <f ca="1">ROUND((Table11[[#This Row],[XP]]*Table11[[#This Row],[entity_spawned (AVG)]])*(Table11[[#This Row],[activating_chance]]/100),0)</f>
        <v>25</v>
      </c>
      <c r="CR508" s="145" t="str">
        <f ca="1">INDIRECT(ADDRESS(11+(MATCH(RIGHT(Table11[[#This Row],[spawner_sku]],LEN(Table11[[#This Row],[spawner_sku]])-FIND("/",Table11[[#This Row],[spawner_sku]])),Table28[Entity Prefab],0)),25,1,1,"Entities"))</f>
        <v>no</v>
      </c>
      <c r="CS508" s="72">
        <v>1</v>
      </c>
      <c r="CT508" s="72">
        <v>1</v>
      </c>
      <c r="CU508" s="72" t="b">
        <v>0</v>
      </c>
      <c r="DS508" t="s">
        <v>233</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row>
    <row r="509" spans="2:133" x14ac:dyDescent="0.25">
      <c r="B509" s="73" t="s">
        <v>242</v>
      </c>
      <c r="C509">
        <v>1</v>
      </c>
      <c r="D509">
        <v>130</v>
      </c>
      <c r="E509">
        <v>100</v>
      </c>
      <c r="F509" s="75">
        <f ca="1">INDIRECT(ADDRESS(11+(MATCH(RIGHT(Table245[[#This Row],[spawner_sku]],LEN(Table245[[#This Row],[spawner_sku]])-FIND("/",Table245[[#This Row],[spawner_sku]])),Table1[Entity Prefab],0)),10,1,1,"Entities"))</f>
        <v>25</v>
      </c>
      <c r="G509" s="75">
        <f ca="1">ROUND((Table245[[#This Row],[XP]]*Table245[[#This Row],[entity_spawned (AVG)]])*(Table245[[#This Row],[activating_chance]]/100),0)</f>
        <v>25</v>
      </c>
      <c r="H509" s="72" t="str">
        <f ca="1">INDIRECT(ADDRESS(11+(MATCH(RIGHT(Table245[[#This Row],[spawner_sku]],LEN(Table245[[#This Row],[spawner_sku]])-FIND("/",Table245[[#This Row],[spawner_sku]])),Table28[Entity Prefab],0)),24,1,1,"Entities"))</f>
        <v>no</v>
      </c>
      <c r="I509" s="72">
        <v>1</v>
      </c>
      <c r="J509" s="72">
        <v>1</v>
      </c>
      <c r="K509" s="72" t="b">
        <v>0</v>
      </c>
      <c r="CL509" t="s">
        <v>242</v>
      </c>
      <c r="CM509">
        <v>1</v>
      </c>
      <c r="CN509">
        <v>150</v>
      </c>
      <c r="CO509">
        <v>100</v>
      </c>
      <c r="CP509" s="75">
        <f ca="1">INDIRECT(ADDRESS(11+(MATCH(RIGHT(Table11[[#This Row],[spawner_sku]],LEN(Table11[[#This Row],[spawner_sku]])-FIND("/",Table11[[#This Row],[spawner_sku]])),Table1[Entity Prefab],0)),10,1,1,"Entities"))</f>
        <v>25</v>
      </c>
      <c r="CQ509">
        <f ca="1">ROUND((Table11[[#This Row],[XP]]*Table11[[#This Row],[entity_spawned (AVG)]])*(Table11[[#This Row],[activating_chance]]/100),0)</f>
        <v>25</v>
      </c>
      <c r="CR509" s="145" t="str">
        <f ca="1">INDIRECT(ADDRESS(11+(MATCH(RIGHT(Table11[[#This Row],[spawner_sku]],LEN(Table11[[#This Row],[spawner_sku]])-FIND("/",Table11[[#This Row],[spawner_sku]])),Table28[Entity Prefab],0)),25,1,1,"Entities"))</f>
        <v>no</v>
      </c>
      <c r="CS509" s="72">
        <v>1</v>
      </c>
      <c r="CT509" s="72">
        <v>1</v>
      </c>
      <c r="CU509" s="72" t="b">
        <v>0</v>
      </c>
      <c r="DS509" t="s">
        <v>233</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row>
    <row r="510" spans="2:133" x14ac:dyDescent="0.25">
      <c r="B510" s="73" t="s">
        <v>242</v>
      </c>
      <c r="C510">
        <v>1</v>
      </c>
      <c r="D510">
        <v>190</v>
      </c>
      <c r="E510">
        <v>80</v>
      </c>
      <c r="F510" s="75">
        <f ca="1">INDIRECT(ADDRESS(11+(MATCH(RIGHT(Table245[[#This Row],[spawner_sku]],LEN(Table245[[#This Row],[spawner_sku]])-FIND("/",Table245[[#This Row],[spawner_sku]])),Table1[Entity Prefab],0)),10,1,1,"Entities"))</f>
        <v>25</v>
      </c>
      <c r="G510" s="75">
        <f ca="1">ROUND((Table245[[#This Row],[XP]]*Table245[[#This Row],[entity_spawned (AVG)]])*(Table245[[#This Row],[activating_chance]]/100),0)</f>
        <v>20</v>
      </c>
      <c r="H510" s="72" t="str">
        <f ca="1">INDIRECT(ADDRESS(11+(MATCH(RIGHT(Table245[[#This Row],[spawner_sku]],LEN(Table245[[#This Row],[spawner_sku]])-FIND("/",Table245[[#This Row],[spawner_sku]])),Table28[Entity Prefab],0)),24,1,1,"Entities"))</f>
        <v>no</v>
      </c>
      <c r="I510" s="72">
        <v>1</v>
      </c>
      <c r="J510" s="72">
        <v>1</v>
      </c>
      <c r="K510" s="72" t="b">
        <v>0</v>
      </c>
      <c r="CL510" t="s">
        <v>242</v>
      </c>
      <c r="CM510">
        <v>1</v>
      </c>
      <c r="CN510">
        <v>150</v>
      </c>
      <c r="CO510">
        <v>100</v>
      </c>
      <c r="CP510" s="75">
        <f ca="1">INDIRECT(ADDRESS(11+(MATCH(RIGHT(Table11[[#This Row],[spawner_sku]],LEN(Table11[[#This Row],[spawner_sku]])-FIND("/",Table11[[#This Row],[spawner_sku]])),Table1[Entity Prefab],0)),10,1,1,"Entities"))</f>
        <v>25</v>
      </c>
      <c r="CQ510">
        <f ca="1">ROUND((Table11[[#This Row],[XP]]*Table11[[#This Row],[entity_spawned (AVG)]])*(Table11[[#This Row],[activating_chance]]/100),0)</f>
        <v>25</v>
      </c>
      <c r="CR510" s="145" t="str">
        <f ca="1">INDIRECT(ADDRESS(11+(MATCH(RIGHT(Table11[[#This Row],[spawner_sku]],LEN(Table11[[#This Row],[spawner_sku]])-FIND("/",Table11[[#This Row],[spawner_sku]])),Table28[Entity Prefab],0)),25,1,1,"Entities"))</f>
        <v>no</v>
      </c>
      <c r="CS510" s="72">
        <v>1</v>
      </c>
      <c r="CT510" s="72">
        <v>1</v>
      </c>
      <c r="CU510" s="72" t="b">
        <v>0</v>
      </c>
      <c r="DS510" t="s">
        <v>233</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row>
    <row r="511" spans="2:133" x14ac:dyDescent="0.25">
      <c r="B511" s="73" t="s">
        <v>242</v>
      </c>
      <c r="C511">
        <v>1</v>
      </c>
      <c r="D511">
        <v>170</v>
      </c>
      <c r="E511">
        <v>100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25</v>
      </c>
      <c r="H511" s="72" t="str">
        <f ca="1">INDIRECT(ADDRESS(11+(MATCH(RIGHT(Table245[[#This Row],[spawner_sku]],LEN(Table245[[#This Row],[spawner_sku]])-FIND("/",Table245[[#This Row],[spawner_sku]])),Table28[Entity Prefab],0)),24,1,1,"Entities"))</f>
        <v>no</v>
      </c>
      <c r="I511" s="72">
        <v>1</v>
      </c>
      <c r="J511" s="72">
        <v>1</v>
      </c>
      <c r="K511" s="72" t="b">
        <v>0</v>
      </c>
      <c r="CL511" t="s">
        <v>242</v>
      </c>
      <c r="CM511">
        <v>1</v>
      </c>
      <c r="CN511">
        <v>150</v>
      </c>
      <c r="CO511">
        <v>100</v>
      </c>
      <c r="CP511" s="75">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5" t="str">
        <f ca="1">INDIRECT(ADDRESS(11+(MATCH(RIGHT(Table11[[#This Row],[spawner_sku]],LEN(Table11[[#This Row],[spawner_sku]])-FIND("/",Table11[[#This Row],[spawner_sku]])),Table28[Entity Prefab],0)),25,1,1,"Entities"))</f>
        <v>no</v>
      </c>
      <c r="CS511" s="72">
        <v>1</v>
      </c>
      <c r="CT511" s="72">
        <v>1</v>
      </c>
      <c r="CU511" s="72" t="b">
        <v>0</v>
      </c>
      <c r="DS511" t="s">
        <v>233</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row>
    <row r="512" spans="2:133" x14ac:dyDescent="0.25">
      <c r="B512" s="73" t="s">
        <v>242</v>
      </c>
      <c r="C512">
        <v>2</v>
      </c>
      <c r="D512">
        <v>200</v>
      </c>
      <c r="E512">
        <v>100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50</v>
      </c>
      <c r="H512" s="72" t="str">
        <f ca="1">INDIRECT(ADDRESS(11+(MATCH(RIGHT(Table245[[#This Row],[spawner_sku]],LEN(Table245[[#This Row],[spawner_sku]])-FIND("/",Table245[[#This Row],[spawner_sku]])),Table28[Entity Prefab],0)),24,1,1,"Entities"))</f>
        <v>no</v>
      </c>
      <c r="I512" s="72">
        <v>2</v>
      </c>
      <c r="J512" s="72">
        <v>2</v>
      </c>
      <c r="K512" s="72" t="b">
        <v>0</v>
      </c>
      <c r="CL512" t="s">
        <v>242</v>
      </c>
      <c r="CM512">
        <v>1</v>
      </c>
      <c r="CN512">
        <v>80</v>
      </c>
      <c r="CO512">
        <v>100</v>
      </c>
      <c r="CP512" s="75">
        <f ca="1">INDIRECT(ADDRESS(11+(MATCH(RIGHT(Table11[[#This Row],[spawner_sku]],LEN(Table11[[#This Row],[spawner_sku]])-FIND("/",Table11[[#This Row],[spawner_sku]])),Table1[Entity Prefab],0)),10,1,1,"Entities"))</f>
        <v>25</v>
      </c>
      <c r="CQ512">
        <f ca="1">ROUND((Table11[[#This Row],[XP]]*Table11[[#This Row],[entity_spawned (AVG)]])*(Table11[[#This Row],[activating_chance]]/100),0)</f>
        <v>25</v>
      </c>
      <c r="CR512" s="145" t="str">
        <f ca="1">INDIRECT(ADDRESS(11+(MATCH(RIGHT(Table11[[#This Row],[spawner_sku]],LEN(Table11[[#This Row],[spawner_sku]])-FIND("/",Table11[[#This Row],[spawner_sku]])),Table28[Entity Prefab],0)),25,1,1,"Entities"))</f>
        <v>no</v>
      </c>
      <c r="CS512" s="72">
        <v>1</v>
      </c>
      <c r="CT512" s="72">
        <v>1</v>
      </c>
      <c r="CU512" s="72" t="b">
        <v>0</v>
      </c>
      <c r="DS512" t="s">
        <v>233</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row>
    <row r="513" spans="2:133" x14ac:dyDescent="0.25">
      <c r="B513" s="73" t="s">
        <v>242</v>
      </c>
      <c r="C513">
        <v>1</v>
      </c>
      <c r="D513">
        <v>130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CL513" t="s">
        <v>242</v>
      </c>
      <c r="CM513">
        <v>1</v>
      </c>
      <c r="CN513">
        <v>150</v>
      </c>
      <c r="CO513">
        <v>80</v>
      </c>
      <c r="CP513" s="75">
        <f ca="1">INDIRECT(ADDRESS(11+(MATCH(RIGHT(Table11[[#This Row],[spawner_sku]],LEN(Table11[[#This Row],[spawner_sku]])-FIND("/",Table11[[#This Row],[spawner_sku]])),Table1[Entity Prefab],0)),10,1,1,"Entities"))</f>
        <v>25</v>
      </c>
      <c r="CQ513">
        <f ca="1">ROUND((Table11[[#This Row],[XP]]*Table11[[#This Row],[entity_spawned (AVG)]])*(Table11[[#This Row],[activating_chance]]/100),0)</f>
        <v>20</v>
      </c>
      <c r="CR513" s="145" t="str">
        <f ca="1">INDIRECT(ADDRESS(11+(MATCH(RIGHT(Table11[[#This Row],[spawner_sku]],LEN(Table11[[#This Row],[spawner_sku]])-FIND("/",Table11[[#This Row],[spawner_sku]])),Table28[Entity Prefab],0)),25,1,1,"Entities"))</f>
        <v>no</v>
      </c>
      <c r="CS513" s="72">
        <v>1</v>
      </c>
      <c r="CT513" s="72">
        <v>1</v>
      </c>
      <c r="CU513" s="72" t="b">
        <v>0</v>
      </c>
      <c r="DS513" t="s">
        <v>233</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row>
    <row r="514" spans="2:133" x14ac:dyDescent="0.25">
      <c r="B514" s="73" t="s">
        <v>242</v>
      </c>
      <c r="C514">
        <v>1</v>
      </c>
      <c r="D514">
        <v>170</v>
      </c>
      <c r="E514">
        <v>60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15</v>
      </c>
      <c r="H514" s="72" t="str">
        <f ca="1">INDIRECT(ADDRESS(11+(MATCH(RIGHT(Table245[[#This Row],[spawner_sku]],LEN(Table245[[#This Row],[spawner_sku]])-FIND("/",Table245[[#This Row],[spawner_sku]])),Table28[Entity Prefab],0)),24,1,1,"Entities"))</f>
        <v>no</v>
      </c>
      <c r="I514" s="72">
        <v>1</v>
      </c>
      <c r="J514" s="72">
        <v>1</v>
      </c>
      <c r="K514" s="72" t="b">
        <v>0</v>
      </c>
      <c r="CL514" t="s">
        <v>242</v>
      </c>
      <c r="CM514">
        <v>1</v>
      </c>
      <c r="CN514">
        <v>150</v>
      </c>
      <c r="CO514">
        <v>100</v>
      </c>
      <c r="CP514" s="75">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5" t="str">
        <f ca="1">INDIRECT(ADDRESS(11+(MATCH(RIGHT(Table11[[#This Row],[spawner_sku]],LEN(Table11[[#This Row],[spawner_sku]])-FIND("/",Table11[[#This Row],[spawner_sku]])),Table28[Entity Prefab],0)),25,1,1,"Entities"))</f>
        <v>no</v>
      </c>
      <c r="CS514" s="72">
        <v>1</v>
      </c>
      <c r="CT514" s="72">
        <v>1</v>
      </c>
      <c r="CU514" s="72" t="b">
        <v>0</v>
      </c>
      <c r="DS514" t="s">
        <v>233</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row>
    <row r="515" spans="2:133" x14ac:dyDescent="0.25">
      <c r="B515" s="73" t="s">
        <v>242</v>
      </c>
      <c r="C515">
        <v>1</v>
      </c>
      <c r="D515">
        <v>140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CL515" t="s">
        <v>242</v>
      </c>
      <c r="CM515">
        <v>1</v>
      </c>
      <c r="CN515">
        <v>150</v>
      </c>
      <c r="CO515">
        <v>100</v>
      </c>
      <c r="CP515" s="75">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5" t="str">
        <f ca="1">INDIRECT(ADDRESS(11+(MATCH(RIGHT(Table11[[#This Row],[spawner_sku]],LEN(Table11[[#This Row],[spawner_sku]])-FIND("/",Table11[[#This Row],[spawner_sku]])),Table28[Entity Prefab],0)),25,1,1,"Entities"))</f>
        <v>no</v>
      </c>
      <c r="CS515" s="72">
        <v>1</v>
      </c>
      <c r="CT515" s="72">
        <v>1</v>
      </c>
      <c r="CU515" s="72" t="b">
        <v>0</v>
      </c>
      <c r="DS515" t="s">
        <v>233</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row>
    <row r="516" spans="2:133" x14ac:dyDescent="0.25">
      <c r="B516" s="73" t="s">
        <v>242</v>
      </c>
      <c r="C516">
        <v>1</v>
      </c>
      <c r="D516">
        <v>190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25</v>
      </c>
      <c r="H516" s="72" t="str">
        <f ca="1">INDIRECT(ADDRESS(11+(MATCH(RIGHT(Table245[[#This Row],[spawner_sku]],LEN(Table245[[#This Row],[spawner_sku]])-FIND("/",Table245[[#This Row],[spawner_sku]])),Table28[Entity Prefab],0)),24,1,1,"Entities"))</f>
        <v>no</v>
      </c>
      <c r="I516" s="72">
        <v>1</v>
      </c>
      <c r="J516" s="72">
        <v>1</v>
      </c>
      <c r="K516" s="72" t="b">
        <v>0</v>
      </c>
      <c r="CL516" t="s">
        <v>242</v>
      </c>
      <c r="CM516">
        <v>1</v>
      </c>
      <c r="CN516">
        <v>80</v>
      </c>
      <c r="CO516">
        <v>100</v>
      </c>
      <c r="CP516" s="75">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5" t="str">
        <f ca="1">INDIRECT(ADDRESS(11+(MATCH(RIGHT(Table11[[#This Row],[spawner_sku]],LEN(Table11[[#This Row],[spawner_sku]])-FIND("/",Table11[[#This Row],[spawner_sku]])),Table28[Entity Prefab],0)),25,1,1,"Entities"))</f>
        <v>no</v>
      </c>
      <c r="CS516" s="72">
        <v>1</v>
      </c>
      <c r="CT516" s="72">
        <v>1</v>
      </c>
      <c r="CU516" s="72" t="b">
        <v>0</v>
      </c>
      <c r="DS516" t="s">
        <v>233</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row>
    <row r="517" spans="2:133" x14ac:dyDescent="0.25">
      <c r="B517" s="73" t="s">
        <v>242</v>
      </c>
      <c r="C517">
        <v>1</v>
      </c>
      <c r="D517">
        <v>140</v>
      </c>
      <c r="E517">
        <v>85</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21</v>
      </c>
      <c r="H517" s="72" t="str">
        <f ca="1">INDIRECT(ADDRESS(11+(MATCH(RIGHT(Table245[[#This Row],[spawner_sku]],LEN(Table245[[#This Row],[spawner_sku]])-FIND("/",Table245[[#This Row],[spawner_sku]])),Table28[Entity Prefab],0)),24,1,1,"Entities"))</f>
        <v>no</v>
      </c>
      <c r="I517" s="72">
        <v>1</v>
      </c>
      <c r="J517" s="72">
        <v>1</v>
      </c>
      <c r="K517" s="72" t="b">
        <v>0</v>
      </c>
      <c r="CL517" t="s">
        <v>242</v>
      </c>
      <c r="CM517">
        <v>1</v>
      </c>
      <c r="CN517">
        <v>80</v>
      </c>
      <c r="CO517">
        <v>100</v>
      </c>
      <c r="CP517" s="75">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5" t="str">
        <f ca="1">INDIRECT(ADDRESS(11+(MATCH(RIGHT(Table11[[#This Row],[spawner_sku]],LEN(Table11[[#This Row],[spawner_sku]])-FIND("/",Table11[[#This Row],[spawner_sku]])),Table28[Entity Prefab],0)),25,1,1,"Entities"))</f>
        <v>no</v>
      </c>
      <c r="CS517" s="72">
        <v>1</v>
      </c>
      <c r="CT517" s="72">
        <v>1</v>
      </c>
      <c r="CU517" s="72" t="b">
        <v>0</v>
      </c>
      <c r="DS517" t="s">
        <v>5017</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row>
    <row r="518" spans="2:133" x14ac:dyDescent="0.25">
      <c r="B518" s="73" t="s">
        <v>242</v>
      </c>
      <c r="C518">
        <v>1</v>
      </c>
      <c r="D518">
        <v>190</v>
      </c>
      <c r="E518">
        <v>100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25</v>
      </c>
      <c r="H518" s="72" t="str">
        <f ca="1">INDIRECT(ADDRESS(11+(MATCH(RIGHT(Table245[[#This Row],[spawner_sku]],LEN(Table245[[#This Row],[spawner_sku]])-FIND("/",Table245[[#This Row],[spawner_sku]])),Table28[Entity Prefab],0)),24,1,1,"Entities"))</f>
        <v>no</v>
      </c>
      <c r="I518" s="72">
        <v>1</v>
      </c>
      <c r="J518" s="72">
        <v>1</v>
      </c>
      <c r="K518" s="72" t="b">
        <v>0</v>
      </c>
      <c r="CL518" t="s">
        <v>242</v>
      </c>
      <c r="CM518">
        <v>1</v>
      </c>
      <c r="CN518">
        <v>150</v>
      </c>
      <c r="CO518">
        <v>100</v>
      </c>
      <c r="CP518" s="75">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5" t="str">
        <f ca="1">INDIRECT(ADDRESS(11+(MATCH(RIGHT(Table11[[#This Row],[spawner_sku]],LEN(Table11[[#This Row],[spawner_sku]])-FIND("/",Table11[[#This Row],[spawner_sku]])),Table28[Entity Prefab],0)),25,1,1,"Entities"))</f>
        <v>no</v>
      </c>
      <c r="CS518" s="72">
        <v>1</v>
      </c>
      <c r="CT518" s="72">
        <v>1</v>
      </c>
      <c r="CU518" s="72" t="b">
        <v>0</v>
      </c>
      <c r="DS518" t="s">
        <v>5017</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row>
    <row r="519" spans="2:133" x14ac:dyDescent="0.25">
      <c r="B519" s="73" t="s">
        <v>242</v>
      </c>
      <c r="C519">
        <v>2</v>
      </c>
      <c r="D519">
        <v>140</v>
      </c>
      <c r="E519">
        <v>80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40</v>
      </c>
      <c r="H519" s="72" t="str">
        <f ca="1">INDIRECT(ADDRESS(11+(MATCH(RIGHT(Table245[[#This Row],[spawner_sku]],LEN(Table245[[#This Row],[spawner_sku]])-FIND("/",Table245[[#This Row],[spawner_sku]])),Table28[Entity Prefab],0)),24,1,1,"Entities"))</f>
        <v>no</v>
      </c>
      <c r="I519" s="72">
        <v>1</v>
      </c>
      <c r="J519" s="72">
        <v>3</v>
      </c>
      <c r="K519" s="72" t="b">
        <v>0</v>
      </c>
      <c r="CL519" t="s">
        <v>242</v>
      </c>
      <c r="CM519">
        <v>1</v>
      </c>
      <c r="CN519">
        <v>80</v>
      </c>
      <c r="CO519">
        <v>100</v>
      </c>
      <c r="CP519" s="75">
        <f ca="1">INDIRECT(ADDRESS(11+(MATCH(RIGHT(Table11[[#This Row],[spawner_sku]],LEN(Table11[[#This Row],[spawner_sku]])-FIND("/",Table11[[#This Row],[spawner_sku]])),Table1[Entity Prefab],0)),10,1,1,"Entities"))</f>
        <v>25</v>
      </c>
      <c r="CQ519">
        <f ca="1">ROUND((Table11[[#This Row],[XP]]*Table11[[#This Row],[entity_spawned (AVG)]])*(Table11[[#This Row],[activating_chance]]/100),0)</f>
        <v>25</v>
      </c>
      <c r="CR519" s="145" t="str">
        <f ca="1">INDIRECT(ADDRESS(11+(MATCH(RIGHT(Table11[[#This Row],[spawner_sku]],LEN(Table11[[#This Row],[spawner_sku]])-FIND("/",Table11[[#This Row],[spawner_sku]])),Table28[Entity Prefab],0)),25,1,1,"Entities"))</f>
        <v>no</v>
      </c>
      <c r="CS519" s="72">
        <v>1</v>
      </c>
      <c r="CT519" s="72">
        <v>1</v>
      </c>
      <c r="CU519" s="72" t="b">
        <v>0</v>
      </c>
      <c r="DS519" t="s">
        <v>5017</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row>
    <row r="520" spans="2:133" x14ac:dyDescent="0.25">
      <c r="B520" s="73" t="s">
        <v>242</v>
      </c>
      <c r="C520">
        <v>1</v>
      </c>
      <c r="D520">
        <v>190</v>
      </c>
      <c r="E520">
        <v>90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23</v>
      </c>
      <c r="H520" s="72" t="str">
        <f ca="1">INDIRECT(ADDRESS(11+(MATCH(RIGHT(Table245[[#This Row],[spawner_sku]],LEN(Table245[[#This Row],[spawner_sku]])-FIND("/",Table245[[#This Row],[spawner_sku]])),Table28[Entity Prefab],0)),24,1,1,"Entities"))</f>
        <v>no</v>
      </c>
      <c r="I520" s="72">
        <v>1</v>
      </c>
      <c r="J520" s="72">
        <v>1</v>
      </c>
      <c r="K520" s="72" t="b">
        <v>0</v>
      </c>
      <c r="CL520" t="s">
        <v>242</v>
      </c>
      <c r="CM520">
        <v>1</v>
      </c>
      <c r="CN520">
        <v>150</v>
      </c>
      <c r="CO520">
        <v>30</v>
      </c>
      <c r="CP520" s="75">
        <f ca="1">INDIRECT(ADDRESS(11+(MATCH(RIGHT(Table11[[#This Row],[spawner_sku]],LEN(Table11[[#This Row],[spawner_sku]])-FIND("/",Table11[[#This Row],[spawner_sku]])),Table1[Entity Prefab],0)),10,1,1,"Entities"))</f>
        <v>25</v>
      </c>
      <c r="CQ520">
        <f ca="1">ROUND((Table11[[#This Row],[XP]]*Table11[[#This Row],[entity_spawned (AVG)]])*(Table11[[#This Row],[activating_chance]]/100),0)</f>
        <v>8</v>
      </c>
      <c r="CR520" s="145" t="str">
        <f ca="1">INDIRECT(ADDRESS(11+(MATCH(RIGHT(Table11[[#This Row],[spawner_sku]],LEN(Table11[[#This Row],[spawner_sku]])-FIND("/",Table11[[#This Row],[spawner_sku]])),Table28[Entity Prefab],0)),25,1,1,"Entities"))</f>
        <v>no</v>
      </c>
      <c r="CS520" s="72">
        <v>1</v>
      </c>
      <c r="CT520" s="72">
        <v>1</v>
      </c>
      <c r="CU520" s="72" t="b">
        <v>0</v>
      </c>
      <c r="DS520" t="s">
        <v>5017</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row>
    <row r="521" spans="2:133" x14ac:dyDescent="0.25">
      <c r="B521" s="73" t="s">
        <v>242</v>
      </c>
      <c r="C521">
        <v>2.5</v>
      </c>
      <c r="D521">
        <v>200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63</v>
      </c>
      <c r="H521" s="72" t="str">
        <f ca="1">INDIRECT(ADDRESS(11+(MATCH(RIGHT(Table245[[#This Row],[spawner_sku]],LEN(Table245[[#This Row],[spawner_sku]])-FIND("/",Table245[[#This Row],[spawner_sku]])),Table28[Entity Prefab],0)),24,1,1,"Entities"))</f>
        <v>no</v>
      </c>
      <c r="I521" s="72">
        <v>2</v>
      </c>
      <c r="J521" s="72">
        <v>3</v>
      </c>
      <c r="K521" s="72" t="b">
        <v>0</v>
      </c>
      <c r="CL521" t="s">
        <v>242</v>
      </c>
      <c r="CM521">
        <v>1</v>
      </c>
      <c r="CN521">
        <v>80</v>
      </c>
      <c r="CO521">
        <v>100</v>
      </c>
      <c r="CP521" s="75">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5" t="str">
        <f ca="1">INDIRECT(ADDRESS(11+(MATCH(RIGHT(Table11[[#This Row],[spawner_sku]],LEN(Table11[[#This Row],[spawner_sku]])-FIND("/",Table11[[#This Row],[spawner_sku]])),Table28[Entity Prefab],0)),25,1,1,"Entities"))</f>
        <v>no</v>
      </c>
      <c r="CS521" s="72">
        <v>1</v>
      </c>
      <c r="CT521" s="72">
        <v>1</v>
      </c>
      <c r="CU521" s="72" t="b">
        <v>0</v>
      </c>
      <c r="DS521" t="s">
        <v>5017</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row>
    <row r="522" spans="2:133" x14ac:dyDescent="0.25">
      <c r="B522" s="73" t="s">
        <v>242</v>
      </c>
      <c r="C522">
        <v>1</v>
      </c>
      <c r="D522">
        <v>170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25</v>
      </c>
      <c r="H522" s="72" t="str">
        <f ca="1">INDIRECT(ADDRESS(11+(MATCH(RIGHT(Table245[[#This Row],[spawner_sku]],LEN(Table245[[#This Row],[spawner_sku]])-FIND("/",Table245[[#This Row],[spawner_sku]])),Table28[Entity Prefab],0)),24,1,1,"Entities"))</f>
        <v>no</v>
      </c>
      <c r="I522" s="72">
        <v>1</v>
      </c>
      <c r="J522" s="72">
        <v>1</v>
      </c>
      <c r="K522" s="72" t="b">
        <v>0</v>
      </c>
      <c r="CL522" t="s">
        <v>242</v>
      </c>
      <c r="CM522">
        <v>1</v>
      </c>
      <c r="CN522">
        <v>80</v>
      </c>
      <c r="CO522">
        <v>100</v>
      </c>
      <c r="CP522" s="75">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5" t="str">
        <f ca="1">INDIRECT(ADDRESS(11+(MATCH(RIGHT(Table11[[#This Row],[spawner_sku]],LEN(Table11[[#This Row],[spawner_sku]])-FIND("/",Table11[[#This Row],[spawner_sku]])),Table28[Entity Prefab],0)),25,1,1,"Entities"))</f>
        <v>no</v>
      </c>
      <c r="CS522" s="72">
        <v>1</v>
      </c>
      <c r="CT522" s="72">
        <v>1</v>
      </c>
      <c r="CU522" s="72" t="b">
        <v>0</v>
      </c>
      <c r="DS522" t="s">
        <v>5017</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row>
    <row r="523" spans="2:133" x14ac:dyDescent="0.25">
      <c r="B523" s="73" t="s">
        <v>242</v>
      </c>
      <c r="C523">
        <v>2</v>
      </c>
      <c r="D523">
        <v>155</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50</v>
      </c>
      <c r="H523" s="72" t="str">
        <f ca="1">INDIRECT(ADDRESS(11+(MATCH(RIGHT(Table245[[#This Row],[spawner_sku]],LEN(Table245[[#This Row],[spawner_sku]])-FIND("/",Table245[[#This Row],[spawner_sku]])),Table28[Entity Prefab],0)),24,1,1,"Entities"))</f>
        <v>no</v>
      </c>
      <c r="I523" s="72">
        <v>2</v>
      </c>
      <c r="J523" s="72">
        <v>2</v>
      </c>
      <c r="K523" s="72" t="b">
        <v>0</v>
      </c>
      <c r="CL523" t="s">
        <v>242</v>
      </c>
      <c r="CM523">
        <v>1</v>
      </c>
      <c r="CN523">
        <v>80</v>
      </c>
      <c r="CO523">
        <v>100</v>
      </c>
      <c r="CP523" s="75">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5" t="str">
        <f ca="1">INDIRECT(ADDRESS(11+(MATCH(RIGHT(Table11[[#This Row],[spawner_sku]],LEN(Table11[[#This Row],[spawner_sku]])-FIND("/",Table11[[#This Row],[spawner_sku]])),Table28[Entity Prefab],0)),25,1,1,"Entities"))</f>
        <v>no</v>
      </c>
      <c r="CS523" s="72">
        <v>1</v>
      </c>
      <c r="CT523" s="72">
        <v>1</v>
      </c>
      <c r="CU523" s="72" t="b">
        <v>0</v>
      </c>
      <c r="DS523" t="s">
        <v>5017</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row>
    <row r="524" spans="2:133" x14ac:dyDescent="0.25">
      <c r="B524" s="73" t="s">
        <v>242</v>
      </c>
      <c r="C524">
        <v>1</v>
      </c>
      <c r="D524">
        <v>170</v>
      </c>
      <c r="E524">
        <v>60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15</v>
      </c>
      <c r="H524" s="72" t="str">
        <f ca="1">INDIRECT(ADDRESS(11+(MATCH(RIGHT(Table245[[#This Row],[spawner_sku]],LEN(Table245[[#This Row],[spawner_sku]])-FIND("/",Table245[[#This Row],[spawner_sku]])),Table28[Entity Prefab],0)),24,1,1,"Entities"))</f>
        <v>no</v>
      </c>
      <c r="I524" s="72">
        <v>1</v>
      </c>
      <c r="J524" s="72">
        <v>1</v>
      </c>
      <c r="K524" s="72" t="b">
        <v>0</v>
      </c>
      <c r="CL524" t="s">
        <v>242</v>
      </c>
      <c r="CM524">
        <v>1</v>
      </c>
      <c r="CN524">
        <v>150</v>
      </c>
      <c r="CO524">
        <v>100</v>
      </c>
      <c r="CP524" s="75">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5" t="str">
        <f ca="1">INDIRECT(ADDRESS(11+(MATCH(RIGHT(Table11[[#This Row],[spawner_sku]],LEN(Table11[[#This Row],[spawner_sku]])-FIND("/",Table11[[#This Row],[spawner_sku]])),Table28[Entity Prefab],0)),25,1,1,"Entities"))</f>
        <v>no</v>
      </c>
      <c r="CS524" s="72">
        <v>1</v>
      </c>
      <c r="CT524" s="72">
        <v>1</v>
      </c>
      <c r="CU524" s="72" t="b">
        <v>0</v>
      </c>
      <c r="DS524" t="s">
        <v>466</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row>
    <row r="525" spans="2:133" x14ac:dyDescent="0.25">
      <c r="B525" s="73" t="s">
        <v>242</v>
      </c>
      <c r="C525">
        <v>1</v>
      </c>
      <c r="D525">
        <v>170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CL525" t="s">
        <v>242</v>
      </c>
      <c r="CM525">
        <v>1</v>
      </c>
      <c r="CN525">
        <v>80</v>
      </c>
      <c r="CO525">
        <v>100</v>
      </c>
      <c r="CP525" s="75">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5" t="str">
        <f ca="1">INDIRECT(ADDRESS(11+(MATCH(RIGHT(Table11[[#This Row],[spawner_sku]],LEN(Table11[[#This Row],[spawner_sku]])-FIND("/",Table11[[#This Row],[spawner_sku]])),Table28[Entity Prefab],0)),25,1,1,"Entities"))</f>
        <v>no</v>
      </c>
      <c r="CS525" s="72">
        <v>1</v>
      </c>
      <c r="CT525" s="72">
        <v>1</v>
      </c>
      <c r="CU525" s="72" t="b">
        <v>0</v>
      </c>
      <c r="DS525" t="s">
        <v>466</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row>
    <row r="526" spans="2:133" x14ac:dyDescent="0.25">
      <c r="B526" s="73" t="s">
        <v>242</v>
      </c>
      <c r="C526">
        <v>1</v>
      </c>
      <c r="D526">
        <v>160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CL526" t="s">
        <v>242</v>
      </c>
      <c r="CM526">
        <v>1</v>
      </c>
      <c r="CN526">
        <v>80</v>
      </c>
      <c r="CO526">
        <v>100</v>
      </c>
      <c r="CP526" s="75">
        <f ca="1">INDIRECT(ADDRESS(11+(MATCH(RIGHT(Table11[[#This Row],[spawner_sku]],LEN(Table11[[#This Row],[spawner_sku]])-FIND("/",Table11[[#This Row],[spawner_sku]])),Table1[Entity Prefab],0)),10,1,1,"Entities"))</f>
        <v>25</v>
      </c>
      <c r="CQ526">
        <f ca="1">ROUND((Table11[[#This Row],[XP]]*Table11[[#This Row],[entity_spawned (AVG)]])*(Table11[[#This Row],[activating_chance]]/100),0)</f>
        <v>25</v>
      </c>
      <c r="CR526" s="145" t="str">
        <f ca="1">INDIRECT(ADDRESS(11+(MATCH(RIGHT(Table11[[#This Row],[spawner_sku]],LEN(Table11[[#This Row],[spawner_sku]])-FIND("/",Table11[[#This Row],[spawner_sku]])),Table28[Entity Prefab],0)),25,1,1,"Entities"))</f>
        <v>no</v>
      </c>
      <c r="CS526" s="72">
        <v>1</v>
      </c>
      <c r="CT526" s="72">
        <v>1</v>
      </c>
      <c r="CU526" s="72" t="b">
        <v>0</v>
      </c>
      <c r="DS526" t="s">
        <v>466</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row>
    <row r="527" spans="2:133" x14ac:dyDescent="0.25">
      <c r="B527" s="73" t="s">
        <v>242</v>
      </c>
      <c r="C527">
        <v>1</v>
      </c>
      <c r="D527">
        <v>170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CL527" t="s">
        <v>242</v>
      </c>
      <c r="CM527">
        <v>1</v>
      </c>
      <c r="CN527">
        <v>150</v>
      </c>
      <c r="CO527">
        <v>100</v>
      </c>
      <c r="CP527" s="75">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5" t="str">
        <f ca="1">INDIRECT(ADDRESS(11+(MATCH(RIGHT(Table11[[#This Row],[spawner_sku]],LEN(Table11[[#This Row],[spawner_sku]])-FIND("/",Table11[[#This Row],[spawner_sku]])),Table28[Entity Prefab],0)),25,1,1,"Entities"))</f>
        <v>no</v>
      </c>
      <c r="CS527" s="72">
        <v>1</v>
      </c>
      <c r="CT527" s="72">
        <v>1</v>
      </c>
      <c r="CU527" s="72" t="b">
        <v>0</v>
      </c>
      <c r="DS527" t="s">
        <v>466</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row>
    <row r="528" spans="2:133" x14ac:dyDescent="0.25">
      <c r="B528" s="73" t="s">
        <v>242</v>
      </c>
      <c r="C528">
        <v>1</v>
      </c>
      <c r="D528">
        <v>140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CL528" t="s">
        <v>242</v>
      </c>
      <c r="CM528">
        <v>1</v>
      </c>
      <c r="CN528">
        <v>80</v>
      </c>
      <c r="CO528">
        <v>100</v>
      </c>
      <c r="CP528" s="75">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5" t="str">
        <f ca="1">INDIRECT(ADDRESS(11+(MATCH(RIGHT(Table11[[#This Row],[spawner_sku]],LEN(Table11[[#This Row],[spawner_sku]])-FIND("/",Table11[[#This Row],[spawner_sku]])),Table28[Entity Prefab],0)),25,1,1,"Entities"))</f>
        <v>no</v>
      </c>
      <c r="CS528" s="72">
        <v>1</v>
      </c>
      <c r="CT528" s="72">
        <v>1</v>
      </c>
      <c r="CU528" s="72" t="b">
        <v>0</v>
      </c>
      <c r="DS528" t="s">
        <v>466</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row>
    <row r="529" spans="2:133" x14ac:dyDescent="0.25">
      <c r="B529" s="73" t="s">
        <v>242</v>
      </c>
      <c r="C529">
        <v>1</v>
      </c>
      <c r="D529">
        <v>200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CL529" t="s">
        <v>242</v>
      </c>
      <c r="CM529">
        <v>1</v>
      </c>
      <c r="CN529">
        <v>140</v>
      </c>
      <c r="CO529">
        <v>100</v>
      </c>
      <c r="CP529" s="75">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5" t="str">
        <f ca="1">INDIRECT(ADDRESS(11+(MATCH(RIGHT(Table11[[#This Row],[spawner_sku]],LEN(Table11[[#This Row],[spawner_sku]])-FIND("/",Table11[[#This Row],[spawner_sku]])),Table28[Entity Prefab],0)),25,1,1,"Entities"))</f>
        <v>no</v>
      </c>
      <c r="CS529" s="72">
        <v>1</v>
      </c>
      <c r="CT529" s="72">
        <v>1</v>
      </c>
      <c r="CU529" s="72" t="b">
        <v>0</v>
      </c>
      <c r="DS529" t="s">
        <v>466</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row>
    <row r="530" spans="2:133" x14ac:dyDescent="0.25">
      <c r="B530" s="73" t="s">
        <v>242</v>
      </c>
      <c r="C530">
        <v>1</v>
      </c>
      <c r="D530">
        <v>190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CL530" t="s">
        <v>242</v>
      </c>
      <c r="CM530">
        <v>1</v>
      </c>
      <c r="CN530">
        <v>80</v>
      </c>
      <c r="CO530">
        <v>100</v>
      </c>
      <c r="CP530" s="75">
        <f ca="1">INDIRECT(ADDRESS(11+(MATCH(RIGHT(Table11[[#This Row],[spawner_sku]],LEN(Table11[[#This Row],[spawner_sku]])-FIND("/",Table11[[#This Row],[spawner_sku]])),Table1[Entity Prefab],0)),10,1,1,"Entities"))</f>
        <v>25</v>
      </c>
      <c r="CQ530">
        <f ca="1">ROUND((Table11[[#This Row],[XP]]*Table11[[#This Row],[entity_spawned (AVG)]])*(Table11[[#This Row],[activating_chance]]/100),0)</f>
        <v>25</v>
      </c>
      <c r="CR530" s="145" t="str">
        <f ca="1">INDIRECT(ADDRESS(11+(MATCH(RIGHT(Table11[[#This Row],[spawner_sku]],LEN(Table11[[#This Row],[spawner_sku]])-FIND("/",Table11[[#This Row],[spawner_sku]])),Table28[Entity Prefab],0)),25,1,1,"Entities"))</f>
        <v>no</v>
      </c>
      <c r="CS530" s="72">
        <v>1</v>
      </c>
      <c r="CT530" s="72">
        <v>1</v>
      </c>
      <c r="CU530" s="72" t="b">
        <v>0</v>
      </c>
      <c r="DS530" t="s">
        <v>466</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row>
    <row r="531" spans="2:133" x14ac:dyDescent="0.25">
      <c r="B531" s="73" t="s">
        <v>242</v>
      </c>
      <c r="C531">
        <v>1</v>
      </c>
      <c r="D531">
        <v>140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CL531" t="s">
        <v>242</v>
      </c>
      <c r="CM531">
        <v>1</v>
      </c>
      <c r="CN531">
        <v>165</v>
      </c>
      <c r="CO531">
        <v>80</v>
      </c>
      <c r="CP531" s="75">
        <f ca="1">INDIRECT(ADDRESS(11+(MATCH(RIGHT(Table11[[#This Row],[spawner_sku]],LEN(Table11[[#This Row],[spawner_sku]])-FIND("/",Table11[[#This Row],[spawner_sku]])),Table1[Entity Prefab],0)),10,1,1,"Entities"))</f>
        <v>25</v>
      </c>
      <c r="CQ531">
        <f ca="1">ROUND((Table11[[#This Row],[XP]]*Table11[[#This Row],[entity_spawned (AVG)]])*(Table11[[#This Row],[activating_chance]]/100),0)</f>
        <v>20</v>
      </c>
      <c r="CR531" s="145" t="str">
        <f ca="1">INDIRECT(ADDRESS(11+(MATCH(RIGHT(Table11[[#This Row],[spawner_sku]],LEN(Table11[[#This Row],[spawner_sku]])-FIND("/",Table11[[#This Row],[spawner_sku]])),Table28[Entity Prefab],0)),25,1,1,"Entities"))</f>
        <v>no</v>
      </c>
      <c r="CS531" s="72">
        <v>1</v>
      </c>
      <c r="CT531" s="72">
        <v>1</v>
      </c>
      <c r="CU531" s="72" t="b">
        <v>0</v>
      </c>
      <c r="DS531" t="s">
        <v>466</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row>
    <row r="532" spans="2:133" x14ac:dyDescent="0.25">
      <c r="B532" s="73" t="s">
        <v>242</v>
      </c>
      <c r="C532">
        <v>1</v>
      </c>
      <c r="D532">
        <v>140</v>
      </c>
      <c r="E532">
        <v>60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15</v>
      </c>
      <c r="H532" s="72" t="str">
        <f ca="1">INDIRECT(ADDRESS(11+(MATCH(RIGHT(Table245[[#This Row],[spawner_sku]],LEN(Table245[[#This Row],[spawner_sku]])-FIND("/",Table245[[#This Row],[spawner_sku]])),Table28[Entity Prefab],0)),24,1,1,"Entities"))</f>
        <v>no</v>
      </c>
      <c r="I532" s="72">
        <v>1</v>
      </c>
      <c r="J532" s="72">
        <v>1</v>
      </c>
      <c r="K532" s="72" t="b">
        <v>0</v>
      </c>
      <c r="CL532" t="s">
        <v>242</v>
      </c>
      <c r="CM532">
        <v>1</v>
      </c>
      <c r="CN532">
        <v>150</v>
      </c>
      <c r="CO532">
        <v>100</v>
      </c>
      <c r="CP532" s="75">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5" t="str">
        <f ca="1">INDIRECT(ADDRESS(11+(MATCH(RIGHT(Table11[[#This Row],[spawner_sku]],LEN(Table11[[#This Row],[spawner_sku]])-FIND("/",Table11[[#This Row],[spawner_sku]])),Table28[Entity Prefab],0)),25,1,1,"Entities"))</f>
        <v>no</v>
      </c>
      <c r="CS532" s="72">
        <v>1</v>
      </c>
      <c r="CT532" s="72">
        <v>1</v>
      </c>
      <c r="CU532" s="72" t="b">
        <v>0</v>
      </c>
      <c r="DS532" t="s">
        <v>466</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row>
    <row r="533" spans="2:133" x14ac:dyDescent="0.25">
      <c r="B533" s="73" t="s">
        <v>242</v>
      </c>
      <c r="C533">
        <v>1</v>
      </c>
      <c r="D533">
        <v>120</v>
      </c>
      <c r="E533">
        <v>80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20</v>
      </c>
      <c r="H533" s="72" t="str">
        <f ca="1">INDIRECT(ADDRESS(11+(MATCH(RIGHT(Table245[[#This Row],[spawner_sku]],LEN(Table245[[#This Row],[spawner_sku]])-FIND("/",Table245[[#This Row],[spawner_sku]])),Table28[Entity Prefab],0)),24,1,1,"Entities"))</f>
        <v>no</v>
      </c>
      <c r="I533" s="72">
        <v>1</v>
      </c>
      <c r="J533" s="72">
        <v>1</v>
      </c>
      <c r="K533" s="72" t="b">
        <v>0</v>
      </c>
      <c r="CL533" t="s">
        <v>242</v>
      </c>
      <c r="CM533">
        <v>1</v>
      </c>
      <c r="CN533">
        <v>150</v>
      </c>
      <c r="CO533">
        <v>100</v>
      </c>
      <c r="CP533" s="75">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5" t="str">
        <f ca="1">INDIRECT(ADDRESS(11+(MATCH(RIGHT(Table11[[#This Row],[spawner_sku]],LEN(Table11[[#This Row],[spawner_sku]])-FIND("/",Table11[[#This Row],[spawner_sku]])),Table28[Entity Prefab],0)),25,1,1,"Entities"))</f>
        <v>no</v>
      </c>
      <c r="CS533" s="72">
        <v>1</v>
      </c>
      <c r="CT533" s="72">
        <v>1</v>
      </c>
      <c r="CU533" s="72" t="b">
        <v>0</v>
      </c>
      <c r="DS533" t="s">
        <v>466</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row>
    <row r="534" spans="2:133" x14ac:dyDescent="0.25">
      <c r="B534" s="73" t="s">
        <v>242</v>
      </c>
      <c r="C534">
        <v>1</v>
      </c>
      <c r="D534">
        <v>150</v>
      </c>
      <c r="E534">
        <v>100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25</v>
      </c>
      <c r="H534" s="72" t="str">
        <f ca="1">INDIRECT(ADDRESS(11+(MATCH(RIGHT(Table245[[#This Row],[spawner_sku]],LEN(Table245[[#This Row],[spawner_sku]])-FIND("/",Table245[[#This Row],[spawner_sku]])),Table28[Entity Prefab],0)),24,1,1,"Entities"))</f>
        <v>no</v>
      </c>
      <c r="I534" s="72">
        <v>1</v>
      </c>
      <c r="J534" s="72">
        <v>1</v>
      </c>
      <c r="K534" s="72" t="b">
        <v>0</v>
      </c>
      <c r="CL534" t="s">
        <v>242</v>
      </c>
      <c r="CM534">
        <v>1</v>
      </c>
      <c r="CN534">
        <v>150</v>
      </c>
      <c r="CO534">
        <v>100</v>
      </c>
      <c r="CP534" s="75">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5" t="str">
        <f ca="1">INDIRECT(ADDRESS(11+(MATCH(RIGHT(Table11[[#This Row],[spawner_sku]],LEN(Table11[[#This Row],[spawner_sku]])-FIND("/",Table11[[#This Row],[spawner_sku]])),Table28[Entity Prefab],0)),25,1,1,"Entities"))</f>
        <v>no</v>
      </c>
      <c r="CS534" s="72">
        <v>1</v>
      </c>
      <c r="CT534" s="72">
        <v>1</v>
      </c>
      <c r="CU534" s="72" t="b">
        <v>0</v>
      </c>
      <c r="DS534" t="s">
        <v>466</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row>
    <row r="535" spans="2:133" x14ac:dyDescent="0.25">
      <c r="B535" s="73" t="s">
        <v>242</v>
      </c>
      <c r="C535">
        <v>1</v>
      </c>
      <c r="D535">
        <v>150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CL535" t="s">
        <v>242</v>
      </c>
      <c r="CM535">
        <v>1</v>
      </c>
      <c r="CN535">
        <v>150</v>
      </c>
      <c r="CO535">
        <v>100</v>
      </c>
      <c r="CP535" s="75">
        <f ca="1">INDIRECT(ADDRESS(11+(MATCH(RIGHT(Table11[[#This Row],[spawner_sku]],LEN(Table11[[#This Row],[spawner_sku]])-FIND("/",Table11[[#This Row],[spawner_sku]])),Table1[Entity Prefab],0)),10,1,1,"Entities"))</f>
        <v>25</v>
      </c>
      <c r="CQ535">
        <f ca="1">ROUND((Table11[[#This Row],[XP]]*Table11[[#This Row],[entity_spawned (AVG)]])*(Table11[[#This Row],[activating_chance]]/100),0)</f>
        <v>25</v>
      </c>
      <c r="CR535" s="145" t="str">
        <f ca="1">INDIRECT(ADDRESS(11+(MATCH(RIGHT(Table11[[#This Row],[spawner_sku]],LEN(Table11[[#This Row],[spawner_sku]])-FIND("/",Table11[[#This Row],[spawner_sku]])),Table28[Entity Prefab],0)),25,1,1,"Entities"))</f>
        <v>no</v>
      </c>
      <c r="CS535" s="72">
        <v>1</v>
      </c>
      <c r="CT535" s="72">
        <v>1</v>
      </c>
      <c r="CU535" s="72" t="b">
        <v>0</v>
      </c>
      <c r="DS535" t="s">
        <v>466</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row>
    <row r="536" spans="2:133" x14ac:dyDescent="0.25">
      <c r="B536" s="73" t="s">
        <v>242</v>
      </c>
      <c r="C536">
        <v>3</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75</v>
      </c>
      <c r="H536" s="72" t="str">
        <f ca="1">INDIRECT(ADDRESS(11+(MATCH(RIGHT(Table245[[#This Row],[spawner_sku]],LEN(Table245[[#This Row],[spawner_sku]])-FIND("/",Table245[[#This Row],[spawner_sku]])),Table28[Entity Prefab],0)),24,1,1,"Entities"))</f>
        <v>no</v>
      </c>
      <c r="I536" s="72">
        <v>2</v>
      </c>
      <c r="J536" s="72">
        <v>4</v>
      </c>
      <c r="K536" s="72" t="b">
        <v>0</v>
      </c>
      <c r="CL536" t="s">
        <v>242</v>
      </c>
      <c r="CM536">
        <v>1</v>
      </c>
      <c r="CN536">
        <v>150</v>
      </c>
      <c r="CO536">
        <v>80</v>
      </c>
      <c r="CP536" s="75">
        <f ca="1">INDIRECT(ADDRESS(11+(MATCH(RIGHT(Table11[[#This Row],[spawner_sku]],LEN(Table11[[#This Row],[spawner_sku]])-FIND("/",Table11[[#This Row],[spawner_sku]])),Table1[Entity Prefab],0)),10,1,1,"Entities"))</f>
        <v>25</v>
      </c>
      <c r="CQ536">
        <f ca="1">ROUND((Table11[[#This Row],[XP]]*Table11[[#This Row],[entity_spawned (AVG)]])*(Table11[[#This Row],[activating_chance]]/100),0)</f>
        <v>20</v>
      </c>
      <c r="CR536" s="145" t="str">
        <f ca="1">INDIRECT(ADDRESS(11+(MATCH(RIGHT(Table11[[#This Row],[spawner_sku]],LEN(Table11[[#This Row],[spawner_sku]])-FIND("/",Table11[[#This Row],[spawner_sku]])),Table28[Entity Prefab],0)),25,1,1,"Entities"))</f>
        <v>no</v>
      </c>
      <c r="CS536" s="72">
        <v>1</v>
      </c>
      <c r="CT536" s="72">
        <v>1</v>
      </c>
      <c r="CU536" s="72" t="b">
        <v>0</v>
      </c>
      <c r="DS536" t="s">
        <v>466</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row>
    <row r="537" spans="2:133" x14ac:dyDescent="0.25">
      <c r="B537" s="73" t="s">
        <v>242</v>
      </c>
      <c r="C537">
        <v>1</v>
      </c>
      <c r="D537">
        <v>160</v>
      </c>
      <c r="E537">
        <v>40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10</v>
      </c>
      <c r="H537" s="72" t="str">
        <f ca="1">INDIRECT(ADDRESS(11+(MATCH(RIGHT(Table245[[#This Row],[spawner_sku]],LEN(Table245[[#This Row],[spawner_sku]])-FIND("/",Table245[[#This Row],[spawner_sku]])),Table28[Entity Prefab],0)),24,1,1,"Entities"))</f>
        <v>no</v>
      </c>
      <c r="I537" s="72">
        <v>1</v>
      </c>
      <c r="J537" s="72">
        <v>1</v>
      </c>
      <c r="K537" s="72" t="b">
        <v>0</v>
      </c>
      <c r="CL537" t="s">
        <v>242</v>
      </c>
      <c r="CM537">
        <v>1</v>
      </c>
      <c r="CN537">
        <v>150</v>
      </c>
      <c r="CO537">
        <v>100</v>
      </c>
      <c r="CP537" s="75">
        <f ca="1">INDIRECT(ADDRESS(11+(MATCH(RIGHT(Table11[[#This Row],[spawner_sku]],LEN(Table11[[#This Row],[spawner_sku]])-FIND("/",Table11[[#This Row],[spawner_sku]])),Table1[Entity Prefab],0)),10,1,1,"Entities"))</f>
        <v>25</v>
      </c>
      <c r="CQ537">
        <f ca="1">ROUND((Table11[[#This Row],[XP]]*Table11[[#This Row],[entity_spawned (AVG)]])*(Table11[[#This Row],[activating_chance]]/100),0)</f>
        <v>25</v>
      </c>
      <c r="CR537" s="145" t="str">
        <f ca="1">INDIRECT(ADDRESS(11+(MATCH(RIGHT(Table11[[#This Row],[spawner_sku]],LEN(Table11[[#This Row],[spawner_sku]])-FIND("/",Table11[[#This Row],[spawner_sku]])),Table28[Entity Prefab],0)),25,1,1,"Entities"))</f>
        <v>no</v>
      </c>
      <c r="CS537" s="72">
        <v>1</v>
      </c>
      <c r="CT537" s="72">
        <v>1</v>
      </c>
      <c r="CU537" s="72" t="b">
        <v>0</v>
      </c>
      <c r="DS537" t="s">
        <v>466</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row>
    <row r="538" spans="2:133" x14ac:dyDescent="0.25">
      <c r="B538" s="73" t="s">
        <v>242</v>
      </c>
      <c r="C538">
        <v>1</v>
      </c>
      <c r="D538">
        <v>170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25</v>
      </c>
      <c r="H538" s="72" t="str">
        <f ca="1">INDIRECT(ADDRESS(11+(MATCH(RIGHT(Table245[[#This Row],[spawner_sku]],LEN(Table245[[#This Row],[spawner_sku]])-FIND("/",Table245[[#This Row],[spawner_sku]])),Table28[Entity Prefab],0)),24,1,1,"Entities"))</f>
        <v>no</v>
      </c>
      <c r="I538" s="72">
        <v>1</v>
      </c>
      <c r="J538" s="72">
        <v>1</v>
      </c>
      <c r="K538" s="72" t="b">
        <v>0</v>
      </c>
      <c r="CL538" t="s">
        <v>242</v>
      </c>
      <c r="CM538">
        <v>1</v>
      </c>
      <c r="CN538">
        <v>120</v>
      </c>
      <c r="CO538">
        <v>100</v>
      </c>
      <c r="CP538" s="75">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5" t="str">
        <f ca="1">INDIRECT(ADDRESS(11+(MATCH(RIGHT(Table11[[#This Row],[spawner_sku]],LEN(Table11[[#This Row],[spawner_sku]])-FIND("/",Table11[[#This Row],[spawner_sku]])),Table28[Entity Prefab],0)),25,1,1,"Entities"))</f>
        <v>no</v>
      </c>
      <c r="CS538" s="72">
        <v>1</v>
      </c>
      <c r="CT538" s="72">
        <v>1</v>
      </c>
      <c r="CU538" s="72" t="b">
        <v>0</v>
      </c>
      <c r="DS538" t="s">
        <v>466</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row>
    <row r="539" spans="2:133" x14ac:dyDescent="0.25">
      <c r="B539" s="73" t="s">
        <v>242</v>
      </c>
      <c r="C539">
        <v>1</v>
      </c>
      <c r="D539">
        <v>140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CL539" t="s">
        <v>242</v>
      </c>
      <c r="CM539">
        <v>1</v>
      </c>
      <c r="CN539">
        <v>80</v>
      </c>
      <c r="CO539">
        <v>100</v>
      </c>
      <c r="CP539" s="75">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5" t="str">
        <f ca="1">INDIRECT(ADDRESS(11+(MATCH(RIGHT(Table11[[#This Row],[spawner_sku]],LEN(Table11[[#This Row],[spawner_sku]])-FIND("/",Table11[[#This Row],[spawner_sku]])),Table28[Entity Prefab],0)),25,1,1,"Entities"))</f>
        <v>no</v>
      </c>
      <c r="CS539" s="72">
        <v>1</v>
      </c>
      <c r="CT539" s="72">
        <v>1</v>
      </c>
      <c r="CU539" s="72" t="b">
        <v>0</v>
      </c>
      <c r="DS539" t="s">
        <v>466</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row>
    <row r="540" spans="2:133" x14ac:dyDescent="0.25">
      <c r="B540" s="73" t="s">
        <v>242</v>
      </c>
      <c r="C540">
        <v>2</v>
      </c>
      <c r="D540">
        <v>160</v>
      </c>
      <c r="E540">
        <v>80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40</v>
      </c>
      <c r="H540" s="72" t="str">
        <f ca="1">INDIRECT(ADDRESS(11+(MATCH(RIGHT(Table245[[#This Row],[spawner_sku]],LEN(Table245[[#This Row],[spawner_sku]])-FIND("/",Table245[[#This Row],[spawner_sku]])),Table28[Entity Prefab],0)),24,1,1,"Entities"))</f>
        <v>no</v>
      </c>
      <c r="I540" s="72">
        <v>2</v>
      </c>
      <c r="J540" s="72">
        <v>2</v>
      </c>
      <c r="K540" s="72" t="b">
        <v>0</v>
      </c>
      <c r="CL540" t="s">
        <v>242</v>
      </c>
      <c r="CM540">
        <v>1</v>
      </c>
      <c r="CN540">
        <v>80</v>
      </c>
      <c r="CO540">
        <v>100</v>
      </c>
      <c r="CP540" s="75">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5" t="str">
        <f ca="1">INDIRECT(ADDRESS(11+(MATCH(RIGHT(Table11[[#This Row],[spawner_sku]],LEN(Table11[[#This Row],[spawner_sku]])-FIND("/",Table11[[#This Row],[spawner_sku]])),Table28[Entity Prefab],0)),25,1,1,"Entities"))</f>
        <v>no</v>
      </c>
      <c r="CS540" s="72">
        <v>1</v>
      </c>
      <c r="CT540" s="72">
        <v>1</v>
      </c>
      <c r="CU540" s="72" t="b">
        <v>0</v>
      </c>
      <c r="DS540" t="s">
        <v>466</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row>
    <row r="541" spans="2:133" x14ac:dyDescent="0.25">
      <c r="B541" s="73" t="s">
        <v>242</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CL541" t="s">
        <v>242</v>
      </c>
      <c r="CM541">
        <v>1</v>
      </c>
      <c r="CN541">
        <v>80</v>
      </c>
      <c r="CO541">
        <v>100</v>
      </c>
      <c r="CP541" s="75">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5" t="str">
        <f ca="1">INDIRECT(ADDRESS(11+(MATCH(RIGHT(Table11[[#This Row],[spawner_sku]],LEN(Table11[[#This Row],[spawner_sku]])-FIND("/",Table11[[#This Row],[spawner_sku]])),Table28[Entity Prefab],0)),25,1,1,"Entities"))</f>
        <v>no</v>
      </c>
      <c r="CS541" s="72">
        <v>1</v>
      </c>
      <c r="CT541" s="72">
        <v>1</v>
      </c>
      <c r="CU541" s="72" t="b">
        <v>0</v>
      </c>
      <c r="DS541" t="s">
        <v>466</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row>
    <row r="542" spans="2:133" x14ac:dyDescent="0.25">
      <c r="B542" s="73" t="s">
        <v>242</v>
      </c>
      <c r="C542">
        <v>1</v>
      </c>
      <c r="D542">
        <v>170</v>
      </c>
      <c r="E542">
        <v>60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15</v>
      </c>
      <c r="H542" s="72" t="str">
        <f ca="1">INDIRECT(ADDRESS(11+(MATCH(RIGHT(Table245[[#This Row],[spawner_sku]],LEN(Table245[[#This Row],[spawner_sku]])-FIND("/",Table245[[#This Row],[spawner_sku]])),Table28[Entity Prefab],0)),24,1,1,"Entities"))</f>
        <v>no</v>
      </c>
      <c r="I542" s="72">
        <v>1</v>
      </c>
      <c r="J542" s="72">
        <v>1</v>
      </c>
      <c r="K542" s="72" t="b">
        <v>0</v>
      </c>
      <c r="CL542" t="s">
        <v>242</v>
      </c>
      <c r="CM542">
        <v>1</v>
      </c>
      <c r="CN542">
        <v>150</v>
      </c>
      <c r="CO542">
        <v>100</v>
      </c>
      <c r="CP542" s="75">
        <f ca="1">INDIRECT(ADDRESS(11+(MATCH(RIGHT(Table11[[#This Row],[spawner_sku]],LEN(Table11[[#This Row],[spawner_sku]])-FIND("/",Table11[[#This Row],[spawner_sku]])),Table1[Entity Prefab],0)),10,1,1,"Entities"))</f>
        <v>25</v>
      </c>
      <c r="CQ542">
        <f ca="1">ROUND((Table11[[#This Row],[XP]]*Table11[[#This Row],[entity_spawned (AVG)]])*(Table11[[#This Row],[activating_chance]]/100),0)</f>
        <v>25</v>
      </c>
      <c r="CR542" s="145" t="str">
        <f ca="1">INDIRECT(ADDRESS(11+(MATCH(RIGHT(Table11[[#This Row],[spawner_sku]],LEN(Table11[[#This Row],[spawner_sku]])-FIND("/",Table11[[#This Row],[spawner_sku]])),Table28[Entity Prefab],0)),25,1,1,"Entities"))</f>
        <v>no</v>
      </c>
      <c r="CS542" s="72">
        <v>1</v>
      </c>
      <c r="CT542" s="72">
        <v>1</v>
      </c>
      <c r="CU542" s="72" t="b">
        <v>0</v>
      </c>
      <c r="DS542" t="s">
        <v>467</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row>
    <row r="543" spans="2:133" x14ac:dyDescent="0.25">
      <c r="B543" s="73" t="s">
        <v>242</v>
      </c>
      <c r="C543">
        <v>1</v>
      </c>
      <c r="D543">
        <v>140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CL543" t="s">
        <v>242</v>
      </c>
      <c r="CM543">
        <v>1</v>
      </c>
      <c r="CN543">
        <v>80</v>
      </c>
      <c r="CO543">
        <v>100</v>
      </c>
      <c r="CP543" s="75">
        <f ca="1">INDIRECT(ADDRESS(11+(MATCH(RIGHT(Table11[[#This Row],[spawner_sku]],LEN(Table11[[#This Row],[spawner_sku]])-FIND("/",Table11[[#This Row],[spawner_sku]])),Table1[Entity Prefab],0)),10,1,1,"Entities"))</f>
        <v>25</v>
      </c>
      <c r="CQ543">
        <f ca="1">ROUND((Table11[[#This Row],[XP]]*Table11[[#This Row],[entity_spawned (AVG)]])*(Table11[[#This Row],[activating_chance]]/100),0)</f>
        <v>25</v>
      </c>
      <c r="CR543" s="145" t="str">
        <f ca="1">INDIRECT(ADDRESS(11+(MATCH(RIGHT(Table11[[#This Row],[spawner_sku]],LEN(Table11[[#This Row],[spawner_sku]])-FIND("/",Table11[[#This Row],[spawner_sku]])),Table28[Entity Prefab],0)),25,1,1,"Entities"))</f>
        <v>no</v>
      </c>
      <c r="CS543" s="72">
        <v>1</v>
      </c>
      <c r="CT543" s="72">
        <v>1</v>
      </c>
      <c r="CU543" s="72" t="b">
        <v>0</v>
      </c>
      <c r="DS543" t="s">
        <v>467</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row>
    <row r="544" spans="2:133" x14ac:dyDescent="0.25">
      <c r="B544" s="73" t="s">
        <v>242</v>
      </c>
      <c r="C544">
        <v>1</v>
      </c>
      <c r="D544">
        <v>160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CL544" t="s">
        <v>242</v>
      </c>
      <c r="CM544">
        <v>1</v>
      </c>
      <c r="CN544">
        <v>150</v>
      </c>
      <c r="CO544">
        <v>30</v>
      </c>
      <c r="CP544" s="75">
        <f ca="1">INDIRECT(ADDRESS(11+(MATCH(RIGHT(Table11[[#This Row],[spawner_sku]],LEN(Table11[[#This Row],[spawner_sku]])-FIND("/",Table11[[#This Row],[spawner_sku]])),Table1[Entity Prefab],0)),10,1,1,"Entities"))</f>
        <v>25</v>
      </c>
      <c r="CQ544">
        <f ca="1">ROUND((Table11[[#This Row],[XP]]*Table11[[#This Row],[entity_spawned (AVG)]])*(Table11[[#This Row],[activating_chance]]/100),0)</f>
        <v>8</v>
      </c>
      <c r="CR544" s="145" t="str">
        <f ca="1">INDIRECT(ADDRESS(11+(MATCH(RIGHT(Table11[[#This Row],[spawner_sku]],LEN(Table11[[#This Row],[spawner_sku]])-FIND("/",Table11[[#This Row],[spawner_sku]])),Table28[Entity Prefab],0)),25,1,1,"Entities"))</f>
        <v>no</v>
      </c>
      <c r="CS544" s="72">
        <v>1</v>
      </c>
      <c r="CT544" s="72">
        <v>1</v>
      </c>
      <c r="CU544" s="72" t="b">
        <v>0</v>
      </c>
      <c r="DS544" t="s">
        <v>467</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row>
    <row r="545" spans="2:133" x14ac:dyDescent="0.25">
      <c r="B545" s="73" t="s">
        <v>242</v>
      </c>
      <c r="C545">
        <v>1</v>
      </c>
      <c r="D545">
        <v>170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CL545" t="s">
        <v>242</v>
      </c>
      <c r="CM545">
        <v>1</v>
      </c>
      <c r="CN545">
        <v>80</v>
      </c>
      <c r="CO545">
        <v>100</v>
      </c>
      <c r="CP545" s="75">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5" t="str">
        <f ca="1">INDIRECT(ADDRESS(11+(MATCH(RIGHT(Table11[[#This Row],[spawner_sku]],LEN(Table11[[#This Row],[spawner_sku]])-FIND("/",Table11[[#This Row],[spawner_sku]])),Table28[Entity Prefab],0)),25,1,1,"Entities"))</f>
        <v>no</v>
      </c>
      <c r="CS545" s="72">
        <v>1</v>
      </c>
      <c r="CT545" s="72">
        <v>1</v>
      </c>
      <c r="CU545" s="72" t="b">
        <v>0</v>
      </c>
      <c r="DS545" t="s">
        <v>467</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row>
    <row r="546" spans="2:133" x14ac:dyDescent="0.25">
      <c r="B546" s="73" t="s">
        <v>242</v>
      </c>
      <c r="C546">
        <v>1</v>
      </c>
      <c r="D546">
        <v>150</v>
      </c>
      <c r="E546">
        <v>80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20</v>
      </c>
      <c r="H546" s="72" t="str">
        <f ca="1">INDIRECT(ADDRESS(11+(MATCH(RIGHT(Table245[[#This Row],[spawner_sku]],LEN(Table245[[#This Row],[spawner_sku]])-FIND("/",Table245[[#This Row],[spawner_sku]])),Table28[Entity Prefab],0)),24,1,1,"Entities"))</f>
        <v>no</v>
      </c>
      <c r="I546" s="72">
        <v>1</v>
      </c>
      <c r="J546" s="72">
        <v>1</v>
      </c>
      <c r="K546" s="72" t="b">
        <v>0</v>
      </c>
      <c r="CL546" t="s">
        <v>242</v>
      </c>
      <c r="CM546">
        <v>1</v>
      </c>
      <c r="CN546">
        <v>150</v>
      </c>
      <c r="CO546">
        <v>100</v>
      </c>
      <c r="CP546" s="75">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5" t="str">
        <f ca="1">INDIRECT(ADDRESS(11+(MATCH(RIGHT(Table11[[#This Row],[spawner_sku]],LEN(Table11[[#This Row],[spawner_sku]])-FIND("/",Table11[[#This Row],[spawner_sku]])),Table28[Entity Prefab],0)),25,1,1,"Entities"))</f>
        <v>no</v>
      </c>
      <c r="CS546" s="72">
        <v>1</v>
      </c>
      <c r="CT546" s="72">
        <v>1</v>
      </c>
      <c r="CU546" s="72" t="b">
        <v>0</v>
      </c>
      <c r="DS546" t="s">
        <v>467</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row>
    <row r="547" spans="2:133" x14ac:dyDescent="0.25">
      <c r="B547" s="73" t="s">
        <v>242</v>
      </c>
      <c r="C547">
        <v>1</v>
      </c>
      <c r="D547">
        <v>140</v>
      </c>
      <c r="E547">
        <v>60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15</v>
      </c>
      <c r="H547" s="72" t="str">
        <f ca="1">INDIRECT(ADDRESS(11+(MATCH(RIGHT(Table245[[#This Row],[spawner_sku]],LEN(Table245[[#This Row],[spawner_sku]])-FIND("/",Table245[[#This Row],[spawner_sku]])),Table28[Entity Prefab],0)),24,1,1,"Entities"))</f>
        <v>no</v>
      </c>
      <c r="I547" s="72">
        <v>1</v>
      </c>
      <c r="J547" s="72">
        <v>1</v>
      </c>
      <c r="K547" s="72" t="b">
        <v>0</v>
      </c>
      <c r="CL547" t="s">
        <v>242</v>
      </c>
      <c r="CM547">
        <v>1</v>
      </c>
      <c r="CN547">
        <v>80</v>
      </c>
      <c r="CO547">
        <v>100</v>
      </c>
      <c r="CP547" s="75">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5" t="str">
        <f ca="1">INDIRECT(ADDRESS(11+(MATCH(RIGHT(Table11[[#This Row],[spawner_sku]],LEN(Table11[[#This Row],[spawner_sku]])-FIND("/",Table11[[#This Row],[spawner_sku]])),Table28[Entity Prefab],0)),25,1,1,"Entities"))</f>
        <v>no</v>
      </c>
      <c r="CS547" s="72">
        <v>1</v>
      </c>
      <c r="CT547" s="72">
        <v>1</v>
      </c>
      <c r="CU547" s="72" t="b">
        <v>0</v>
      </c>
      <c r="DS547" t="s">
        <v>467</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row>
    <row r="548" spans="2:133" x14ac:dyDescent="0.25">
      <c r="B548" s="73" t="s">
        <v>242</v>
      </c>
      <c r="C548">
        <v>3</v>
      </c>
      <c r="D548">
        <v>165</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75</v>
      </c>
      <c r="H548" s="72" t="str">
        <f ca="1">INDIRECT(ADDRESS(11+(MATCH(RIGHT(Table245[[#This Row],[spawner_sku]],LEN(Table245[[#This Row],[spawner_sku]])-FIND("/",Table245[[#This Row],[spawner_sku]])),Table28[Entity Prefab],0)),24,1,1,"Entities"))</f>
        <v>no</v>
      </c>
      <c r="I548" s="72">
        <v>2</v>
      </c>
      <c r="J548" s="72">
        <v>4</v>
      </c>
      <c r="K548" s="72" t="b">
        <v>0</v>
      </c>
      <c r="CL548" t="s">
        <v>242</v>
      </c>
      <c r="CM548">
        <v>1</v>
      </c>
      <c r="CN548">
        <v>80</v>
      </c>
      <c r="CO548">
        <v>100</v>
      </c>
      <c r="CP548" s="75">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5" t="str">
        <f ca="1">INDIRECT(ADDRESS(11+(MATCH(RIGHT(Table11[[#This Row],[spawner_sku]],LEN(Table11[[#This Row],[spawner_sku]])-FIND("/",Table11[[#This Row],[spawner_sku]])),Table28[Entity Prefab],0)),25,1,1,"Entities"))</f>
        <v>no</v>
      </c>
      <c r="CS548" s="72">
        <v>1</v>
      </c>
      <c r="CT548" s="72">
        <v>1</v>
      </c>
      <c r="CU548" s="72" t="b">
        <v>0</v>
      </c>
      <c r="DS548" t="s">
        <v>467</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row>
    <row r="549" spans="2:133" x14ac:dyDescent="0.25">
      <c r="B549" s="73" t="s">
        <v>242</v>
      </c>
      <c r="C549">
        <v>1</v>
      </c>
      <c r="D549">
        <v>190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CL549" t="s">
        <v>242</v>
      </c>
      <c r="CM549">
        <v>1</v>
      </c>
      <c r="CN549">
        <v>80</v>
      </c>
      <c r="CO549">
        <v>100</v>
      </c>
      <c r="CP549" s="75">
        <f ca="1">INDIRECT(ADDRESS(11+(MATCH(RIGHT(Table11[[#This Row],[spawner_sku]],LEN(Table11[[#This Row],[spawner_sku]])-FIND("/",Table11[[#This Row],[spawner_sku]])),Table1[Entity Prefab],0)),10,1,1,"Entities"))</f>
        <v>25</v>
      </c>
      <c r="CQ549">
        <f ca="1">ROUND((Table11[[#This Row],[XP]]*Table11[[#This Row],[entity_spawned (AVG)]])*(Table11[[#This Row],[activating_chance]]/100),0)</f>
        <v>25</v>
      </c>
      <c r="CR549" s="145" t="str">
        <f ca="1">INDIRECT(ADDRESS(11+(MATCH(RIGHT(Table11[[#This Row],[spawner_sku]],LEN(Table11[[#This Row],[spawner_sku]])-FIND("/",Table11[[#This Row],[spawner_sku]])),Table28[Entity Prefab],0)),25,1,1,"Entities"))</f>
        <v>no</v>
      </c>
      <c r="CS549" s="72">
        <v>1</v>
      </c>
      <c r="CT549" s="72">
        <v>1</v>
      </c>
      <c r="CU549" s="72" t="b">
        <v>0</v>
      </c>
      <c r="DS549" t="s">
        <v>467</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row>
    <row r="550" spans="2:133" x14ac:dyDescent="0.25">
      <c r="B550" s="73" t="s">
        <v>242</v>
      </c>
      <c r="C550">
        <v>1</v>
      </c>
      <c r="D550">
        <v>170</v>
      </c>
      <c r="E550">
        <v>80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20</v>
      </c>
      <c r="H550" s="72" t="str">
        <f ca="1">INDIRECT(ADDRESS(11+(MATCH(RIGHT(Table245[[#This Row],[spawner_sku]],LEN(Table245[[#This Row],[spawner_sku]])-FIND("/",Table245[[#This Row],[spawner_sku]])),Table28[Entity Prefab],0)),24,1,1,"Entities"))</f>
        <v>no</v>
      </c>
      <c r="I550" s="72">
        <v>1</v>
      </c>
      <c r="J550" s="72">
        <v>1</v>
      </c>
      <c r="K550" s="72" t="b">
        <v>0</v>
      </c>
      <c r="CL550" t="s">
        <v>242</v>
      </c>
      <c r="CM550">
        <v>1</v>
      </c>
      <c r="CN550">
        <v>150</v>
      </c>
      <c r="CO550">
        <v>80</v>
      </c>
      <c r="CP550" s="75">
        <f ca="1">INDIRECT(ADDRESS(11+(MATCH(RIGHT(Table11[[#This Row],[spawner_sku]],LEN(Table11[[#This Row],[spawner_sku]])-FIND("/",Table11[[#This Row],[spawner_sku]])),Table1[Entity Prefab],0)),10,1,1,"Entities"))</f>
        <v>25</v>
      </c>
      <c r="CQ550">
        <f ca="1">ROUND((Table11[[#This Row],[XP]]*Table11[[#This Row],[entity_spawned (AVG)]])*(Table11[[#This Row],[activating_chance]]/100),0)</f>
        <v>20</v>
      </c>
      <c r="CR550" s="145" t="str">
        <f ca="1">INDIRECT(ADDRESS(11+(MATCH(RIGHT(Table11[[#This Row],[spawner_sku]],LEN(Table11[[#This Row],[spawner_sku]])-FIND("/",Table11[[#This Row],[spawner_sku]])),Table28[Entity Prefab],0)),25,1,1,"Entities"))</f>
        <v>no</v>
      </c>
      <c r="CS550" s="72">
        <v>1</v>
      </c>
      <c r="CT550" s="72">
        <v>1</v>
      </c>
      <c r="CU550" s="72" t="b">
        <v>0</v>
      </c>
      <c r="DS550" t="s">
        <v>467</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row>
    <row r="551" spans="2:133" x14ac:dyDescent="0.25">
      <c r="B551" s="73" t="s">
        <v>242</v>
      </c>
      <c r="C551">
        <v>1</v>
      </c>
      <c r="D551">
        <v>160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CL551" t="s">
        <v>242</v>
      </c>
      <c r="CM551">
        <v>1</v>
      </c>
      <c r="CN551">
        <v>150</v>
      </c>
      <c r="CO551">
        <v>100</v>
      </c>
      <c r="CP551" s="75">
        <f ca="1">INDIRECT(ADDRESS(11+(MATCH(RIGHT(Table11[[#This Row],[spawner_sku]],LEN(Table11[[#This Row],[spawner_sku]])-FIND("/",Table11[[#This Row],[spawner_sku]])),Table1[Entity Prefab],0)),10,1,1,"Entities"))</f>
        <v>25</v>
      </c>
      <c r="CQ551">
        <f ca="1">ROUND((Table11[[#This Row],[XP]]*Table11[[#This Row],[entity_spawned (AVG)]])*(Table11[[#This Row],[activating_chance]]/100),0)</f>
        <v>25</v>
      </c>
      <c r="CR551" s="145" t="str">
        <f ca="1">INDIRECT(ADDRESS(11+(MATCH(RIGHT(Table11[[#This Row],[spawner_sku]],LEN(Table11[[#This Row],[spawner_sku]])-FIND("/",Table11[[#This Row],[spawner_sku]])),Table28[Entity Prefab],0)),25,1,1,"Entities"))</f>
        <v>no</v>
      </c>
      <c r="CS551" s="72">
        <v>1</v>
      </c>
      <c r="CT551" s="72">
        <v>1</v>
      </c>
      <c r="CU551" s="72" t="b">
        <v>0</v>
      </c>
      <c r="DS551" t="s">
        <v>467</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row>
    <row r="552" spans="2:133" x14ac:dyDescent="0.25">
      <c r="B552" s="73" t="s">
        <v>242</v>
      </c>
      <c r="C552">
        <v>1</v>
      </c>
      <c r="D552">
        <v>170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CL552" t="s">
        <v>242</v>
      </c>
      <c r="CM552">
        <v>1</v>
      </c>
      <c r="CN552">
        <v>150</v>
      </c>
      <c r="CO552">
        <v>30</v>
      </c>
      <c r="CP552" s="75">
        <f ca="1">INDIRECT(ADDRESS(11+(MATCH(RIGHT(Table11[[#This Row],[spawner_sku]],LEN(Table11[[#This Row],[spawner_sku]])-FIND("/",Table11[[#This Row],[spawner_sku]])),Table1[Entity Prefab],0)),10,1,1,"Entities"))</f>
        <v>25</v>
      </c>
      <c r="CQ552">
        <f ca="1">ROUND((Table11[[#This Row],[XP]]*Table11[[#This Row],[entity_spawned (AVG)]])*(Table11[[#This Row],[activating_chance]]/100),0)</f>
        <v>8</v>
      </c>
      <c r="CR552" s="145" t="str">
        <f ca="1">INDIRECT(ADDRESS(11+(MATCH(RIGHT(Table11[[#This Row],[spawner_sku]],LEN(Table11[[#This Row],[spawner_sku]])-FIND("/",Table11[[#This Row],[spawner_sku]])),Table28[Entity Prefab],0)),25,1,1,"Entities"))</f>
        <v>no</v>
      </c>
      <c r="CS552" s="72">
        <v>1</v>
      </c>
      <c r="CT552" s="72">
        <v>1</v>
      </c>
      <c r="CU552" s="72" t="b">
        <v>0</v>
      </c>
      <c r="DS552" t="s">
        <v>467</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row>
    <row r="553" spans="2:133" x14ac:dyDescent="0.25">
      <c r="B553" s="73" t="s">
        <v>242</v>
      </c>
      <c r="C553">
        <v>1</v>
      </c>
      <c r="D553">
        <v>190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CL553" t="s">
        <v>242</v>
      </c>
      <c r="CM553">
        <v>1</v>
      </c>
      <c r="CN553">
        <v>80</v>
      </c>
      <c r="CO553">
        <v>100</v>
      </c>
      <c r="CP553" s="75">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5" t="str">
        <f ca="1">INDIRECT(ADDRESS(11+(MATCH(RIGHT(Table11[[#This Row],[spawner_sku]],LEN(Table11[[#This Row],[spawner_sku]])-FIND("/",Table11[[#This Row],[spawner_sku]])),Table28[Entity Prefab],0)),25,1,1,"Entities"))</f>
        <v>no</v>
      </c>
      <c r="CS553" s="72">
        <v>1</v>
      </c>
      <c r="CT553" s="72">
        <v>1</v>
      </c>
      <c r="CU553" s="72" t="b">
        <v>0</v>
      </c>
      <c r="DS553" t="s">
        <v>467</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row>
    <row r="554" spans="2:133" x14ac:dyDescent="0.25">
      <c r="B554" s="73" t="s">
        <v>242</v>
      </c>
      <c r="C554">
        <v>2.5</v>
      </c>
      <c r="D554">
        <v>170</v>
      </c>
      <c r="E554">
        <v>80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50</v>
      </c>
      <c r="H554" s="72" t="str">
        <f ca="1">INDIRECT(ADDRESS(11+(MATCH(RIGHT(Table245[[#This Row],[spawner_sku]],LEN(Table245[[#This Row],[spawner_sku]])-FIND("/",Table245[[#This Row],[spawner_sku]])),Table28[Entity Prefab],0)),24,1,1,"Entities"))</f>
        <v>no</v>
      </c>
      <c r="I554" s="72">
        <v>2</v>
      </c>
      <c r="J554" s="72">
        <v>3</v>
      </c>
      <c r="K554" s="72" t="b">
        <v>0</v>
      </c>
      <c r="CL554" t="s">
        <v>242</v>
      </c>
      <c r="CM554">
        <v>1</v>
      </c>
      <c r="CN554">
        <v>150</v>
      </c>
      <c r="CO554">
        <v>100</v>
      </c>
      <c r="CP554" s="75">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5" t="str">
        <f ca="1">INDIRECT(ADDRESS(11+(MATCH(RIGHT(Table11[[#This Row],[spawner_sku]],LEN(Table11[[#This Row],[spawner_sku]])-FIND("/",Table11[[#This Row],[spawner_sku]])),Table28[Entity Prefab],0)),25,1,1,"Entities"))</f>
        <v>no</v>
      </c>
      <c r="CS554" s="72">
        <v>1</v>
      </c>
      <c r="CT554" s="72">
        <v>1</v>
      </c>
      <c r="CU554" s="72" t="b">
        <v>0</v>
      </c>
      <c r="DS554" t="s">
        <v>378</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row>
    <row r="555" spans="2:133" x14ac:dyDescent="0.25">
      <c r="B555" s="73" t="s">
        <v>242</v>
      </c>
      <c r="C555">
        <v>1</v>
      </c>
      <c r="D555">
        <v>130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CL555" t="s">
        <v>242</v>
      </c>
      <c r="CM555">
        <v>1</v>
      </c>
      <c r="CN555">
        <v>80</v>
      </c>
      <c r="CO555">
        <v>100</v>
      </c>
      <c r="CP555" s="75">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5" t="str">
        <f ca="1">INDIRECT(ADDRESS(11+(MATCH(RIGHT(Table11[[#This Row],[spawner_sku]],LEN(Table11[[#This Row],[spawner_sku]])-FIND("/",Table11[[#This Row],[spawner_sku]])),Table28[Entity Prefab],0)),25,1,1,"Entities"))</f>
        <v>no</v>
      </c>
      <c r="CS555" s="72">
        <v>1</v>
      </c>
      <c r="CT555" s="72">
        <v>1</v>
      </c>
      <c r="CU555" s="72" t="b">
        <v>0</v>
      </c>
      <c r="DS555" t="s">
        <v>378</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row>
    <row r="556" spans="2:133" x14ac:dyDescent="0.25">
      <c r="B556" s="73" t="s">
        <v>242</v>
      </c>
      <c r="C556">
        <v>2.5</v>
      </c>
      <c r="D556">
        <v>190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63</v>
      </c>
      <c r="H556" s="72" t="str">
        <f ca="1">INDIRECT(ADDRESS(11+(MATCH(RIGHT(Table245[[#This Row],[spawner_sku]],LEN(Table245[[#This Row],[spawner_sku]])-FIND("/",Table245[[#This Row],[spawner_sku]])),Table28[Entity Prefab],0)),24,1,1,"Entities"))</f>
        <v>no</v>
      </c>
      <c r="I556" s="72">
        <v>2</v>
      </c>
      <c r="J556" s="72">
        <v>3</v>
      </c>
      <c r="K556" s="72" t="b">
        <v>0</v>
      </c>
      <c r="CL556" t="s">
        <v>242</v>
      </c>
      <c r="CM556">
        <v>1</v>
      </c>
      <c r="CN556">
        <v>80</v>
      </c>
      <c r="CO556">
        <v>100</v>
      </c>
      <c r="CP556" s="75">
        <f ca="1">INDIRECT(ADDRESS(11+(MATCH(RIGHT(Table11[[#This Row],[spawner_sku]],LEN(Table11[[#This Row],[spawner_sku]])-FIND("/",Table11[[#This Row],[spawner_sku]])),Table1[Entity Prefab],0)),10,1,1,"Entities"))</f>
        <v>25</v>
      </c>
      <c r="CQ556">
        <f ca="1">ROUND((Table11[[#This Row],[XP]]*Table11[[#This Row],[entity_spawned (AVG)]])*(Table11[[#This Row],[activating_chance]]/100),0)</f>
        <v>25</v>
      </c>
      <c r="CR556" s="145" t="str">
        <f ca="1">INDIRECT(ADDRESS(11+(MATCH(RIGHT(Table11[[#This Row],[spawner_sku]],LEN(Table11[[#This Row],[spawner_sku]])-FIND("/",Table11[[#This Row],[spawner_sku]])),Table28[Entity Prefab],0)),25,1,1,"Entities"))</f>
        <v>no</v>
      </c>
      <c r="CS556" s="72">
        <v>1</v>
      </c>
      <c r="CT556" s="72">
        <v>1</v>
      </c>
      <c r="CU556" s="72" t="b">
        <v>0</v>
      </c>
      <c r="DS556" t="s">
        <v>378</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row>
    <row r="557" spans="2:133" x14ac:dyDescent="0.25">
      <c r="B557" s="73" t="s">
        <v>242</v>
      </c>
      <c r="C557">
        <v>1</v>
      </c>
      <c r="D557">
        <v>140</v>
      </c>
      <c r="E557">
        <v>90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23</v>
      </c>
      <c r="H557" s="72" t="str">
        <f ca="1">INDIRECT(ADDRESS(11+(MATCH(RIGHT(Table245[[#This Row],[spawner_sku]],LEN(Table245[[#This Row],[spawner_sku]])-FIND("/",Table245[[#This Row],[spawner_sku]])),Table28[Entity Prefab],0)),24,1,1,"Entities"))</f>
        <v>no</v>
      </c>
      <c r="I557" s="72">
        <v>1</v>
      </c>
      <c r="J557" s="72">
        <v>1</v>
      </c>
      <c r="K557" s="72" t="b">
        <v>0</v>
      </c>
      <c r="CL557" t="s">
        <v>242</v>
      </c>
      <c r="CM557">
        <v>1</v>
      </c>
      <c r="CN557">
        <v>90</v>
      </c>
      <c r="CO557">
        <v>100</v>
      </c>
      <c r="CP557" s="75">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5" t="str">
        <f ca="1">INDIRECT(ADDRESS(11+(MATCH(RIGHT(Table11[[#This Row],[spawner_sku]],LEN(Table11[[#This Row],[spawner_sku]])-FIND("/",Table11[[#This Row],[spawner_sku]])),Table28[Entity Prefab],0)),25,1,1,"Entities"))</f>
        <v>no</v>
      </c>
      <c r="CS557" s="72">
        <v>1</v>
      </c>
      <c r="CT557" s="72">
        <v>1</v>
      </c>
      <c r="CU557" s="72" t="b">
        <v>0</v>
      </c>
      <c r="DS557" t="s">
        <v>378</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row>
    <row r="558" spans="2:133" x14ac:dyDescent="0.25">
      <c r="B558" s="73" t="s">
        <v>242</v>
      </c>
      <c r="C558">
        <v>1</v>
      </c>
      <c r="D558">
        <v>170</v>
      </c>
      <c r="E558">
        <v>100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25</v>
      </c>
      <c r="H558" s="72" t="str">
        <f ca="1">INDIRECT(ADDRESS(11+(MATCH(RIGHT(Table245[[#This Row],[spawner_sku]],LEN(Table245[[#This Row],[spawner_sku]])-FIND("/",Table245[[#This Row],[spawner_sku]])),Table28[Entity Prefab],0)),24,1,1,"Entities"))</f>
        <v>no</v>
      </c>
      <c r="I558" s="72">
        <v>1</v>
      </c>
      <c r="J558" s="72">
        <v>1</v>
      </c>
      <c r="K558" s="72" t="b">
        <v>0</v>
      </c>
      <c r="CL558" t="s">
        <v>242</v>
      </c>
      <c r="CM558">
        <v>1</v>
      </c>
      <c r="CN558">
        <v>70</v>
      </c>
      <c r="CO558">
        <v>100</v>
      </c>
      <c r="CP558" s="75">
        <f ca="1">INDIRECT(ADDRESS(11+(MATCH(RIGHT(Table11[[#This Row],[spawner_sku]],LEN(Table11[[#This Row],[spawner_sku]])-FIND("/",Table11[[#This Row],[spawner_sku]])),Table1[Entity Prefab],0)),10,1,1,"Entities"))</f>
        <v>25</v>
      </c>
      <c r="CQ558">
        <f ca="1">ROUND((Table11[[#This Row],[XP]]*Table11[[#This Row],[entity_spawned (AVG)]])*(Table11[[#This Row],[activating_chance]]/100),0)</f>
        <v>25</v>
      </c>
      <c r="CR558" s="145" t="str">
        <f ca="1">INDIRECT(ADDRESS(11+(MATCH(RIGHT(Table11[[#This Row],[spawner_sku]],LEN(Table11[[#This Row],[spawner_sku]])-FIND("/",Table11[[#This Row],[spawner_sku]])),Table28[Entity Prefab],0)),25,1,1,"Entities"))</f>
        <v>no</v>
      </c>
      <c r="CS558" s="72">
        <v>1</v>
      </c>
      <c r="CT558" s="72">
        <v>1</v>
      </c>
      <c r="CU558" s="72" t="b">
        <v>0</v>
      </c>
      <c r="DS558" t="s">
        <v>378</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row>
    <row r="559" spans="2:133" x14ac:dyDescent="0.25">
      <c r="B559" s="73" t="s">
        <v>242</v>
      </c>
      <c r="C559">
        <v>1</v>
      </c>
      <c r="D559">
        <v>140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CL559" t="s">
        <v>242</v>
      </c>
      <c r="CM559">
        <v>1</v>
      </c>
      <c r="CN559">
        <v>80</v>
      </c>
      <c r="CO559">
        <v>100</v>
      </c>
      <c r="CP559" s="75">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5" t="str">
        <f ca="1">INDIRECT(ADDRESS(11+(MATCH(RIGHT(Table11[[#This Row],[spawner_sku]],LEN(Table11[[#This Row],[spawner_sku]])-FIND("/",Table11[[#This Row],[spawner_sku]])),Table28[Entity Prefab],0)),25,1,1,"Entities"))</f>
        <v>no</v>
      </c>
      <c r="CS559" s="72">
        <v>1</v>
      </c>
      <c r="CT559" s="72">
        <v>1</v>
      </c>
      <c r="CU559" s="72" t="b">
        <v>0</v>
      </c>
      <c r="DS559" t="s">
        <v>378</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row>
    <row r="560" spans="2:133" x14ac:dyDescent="0.25">
      <c r="B560" s="73" t="s">
        <v>242</v>
      </c>
      <c r="C560">
        <v>1</v>
      </c>
      <c r="D560">
        <v>170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CL560" t="s">
        <v>242</v>
      </c>
      <c r="CM560">
        <v>1</v>
      </c>
      <c r="CN560">
        <v>80</v>
      </c>
      <c r="CO560">
        <v>100</v>
      </c>
      <c r="CP560" s="75">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5" t="str">
        <f ca="1">INDIRECT(ADDRESS(11+(MATCH(RIGHT(Table11[[#This Row],[spawner_sku]],LEN(Table11[[#This Row],[spawner_sku]])-FIND("/",Table11[[#This Row],[spawner_sku]])),Table28[Entity Prefab],0)),25,1,1,"Entities"))</f>
        <v>no</v>
      </c>
      <c r="CS560" s="72">
        <v>1</v>
      </c>
      <c r="CT560" s="72">
        <v>1</v>
      </c>
      <c r="CU560" s="72" t="b">
        <v>0</v>
      </c>
      <c r="DS560" t="s">
        <v>378</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row>
    <row r="561" spans="2:133" x14ac:dyDescent="0.25">
      <c r="B561" s="73" t="s">
        <v>242</v>
      </c>
      <c r="C561">
        <v>1</v>
      </c>
      <c r="D561">
        <v>190</v>
      </c>
      <c r="E561">
        <v>80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20</v>
      </c>
      <c r="H561" s="72" t="str">
        <f ca="1">INDIRECT(ADDRESS(11+(MATCH(RIGHT(Table245[[#This Row],[spawner_sku]],LEN(Table245[[#This Row],[spawner_sku]])-FIND("/",Table245[[#This Row],[spawner_sku]])),Table28[Entity Prefab],0)),24,1,1,"Entities"))</f>
        <v>no</v>
      </c>
      <c r="I561" s="72">
        <v>1</v>
      </c>
      <c r="J561" s="72">
        <v>1</v>
      </c>
      <c r="K561" s="72" t="b">
        <v>0</v>
      </c>
      <c r="CL561" t="s">
        <v>242</v>
      </c>
      <c r="CM561">
        <v>1</v>
      </c>
      <c r="CN561">
        <v>80</v>
      </c>
      <c r="CO561">
        <v>100</v>
      </c>
      <c r="CP561" s="75">
        <f ca="1">INDIRECT(ADDRESS(11+(MATCH(RIGHT(Table11[[#This Row],[spawner_sku]],LEN(Table11[[#This Row],[spawner_sku]])-FIND("/",Table11[[#This Row],[spawner_sku]])),Table1[Entity Prefab],0)),10,1,1,"Entities"))</f>
        <v>25</v>
      </c>
      <c r="CQ561">
        <f ca="1">ROUND((Table11[[#This Row],[XP]]*Table11[[#This Row],[entity_spawned (AVG)]])*(Table11[[#This Row],[activating_chance]]/100),0)</f>
        <v>25</v>
      </c>
      <c r="CR561" s="145" t="str">
        <f ca="1">INDIRECT(ADDRESS(11+(MATCH(RIGHT(Table11[[#This Row],[spawner_sku]],LEN(Table11[[#This Row],[spawner_sku]])-FIND("/",Table11[[#This Row],[spawner_sku]])),Table28[Entity Prefab],0)),25,1,1,"Entities"))</f>
        <v>no</v>
      </c>
      <c r="CS561" s="72">
        <v>1</v>
      </c>
      <c r="CT561" s="72">
        <v>1</v>
      </c>
      <c r="CU561" s="72" t="b">
        <v>0</v>
      </c>
      <c r="DS561" t="s">
        <v>378</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row>
    <row r="562" spans="2:133" x14ac:dyDescent="0.25">
      <c r="B562" s="73" t="s">
        <v>242</v>
      </c>
      <c r="C562">
        <v>1</v>
      </c>
      <c r="D562">
        <v>190</v>
      </c>
      <c r="E562">
        <v>30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8</v>
      </c>
      <c r="H562" s="72" t="str">
        <f ca="1">INDIRECT(ADDRESS(11+(MATCH(RIGHT(Table245[[#This Row],[spawner_sku]],LEN(Table245[[#This Row],[spawner_sku]])-FIND("/",Table245[[#This Row],[spawner_sku]])),Table28[Entity Prefab],0)),24,1,1,"Entities"))</f>
        <v>no</v>
      </c>
      <c r="I562" s="72">
        <v>1</v>
      </c>
      <c r="J562" s="72">
        <v>1</v>
      </c>
      <c r="K562" s="72" t="b">
        <v>0</v>
      </c>
      <c r="CL562" t="s">
        <v>242</v>
      </c>
      <c r="CM562">
        <v>2</v>
      </c>
      <c r="CN562">
        <v>120</v>
      </c>
      <c r="CO562">
        <v>100</v>
      </c>
      <c r="CP562" s="75">
        <f ca="1">INDIRECT(ADDRESS(11+(MATCH(RIGHT(Table11[[#This Row],[spawner_sku]],LEN(Table11[[#This Row],[spawner_sku]])-FIND("/",Table11[[#This Row],[spawner_sku]])),Table1[Entity Prefab],0)),10,1,1,"Entities"))</f>
        <v>25</v>
      </c>
      <c r="CQ562">
        <f ca="1">ROUND((Table11[[#This Row],[XP]]*Table11[[#This Row],[entity_spawned (AVG)]])*(Table11[[#This Row],[activating_chance]]/100),0)</f>
        <v>50</v>
      </c>
      <c r="CR562" s="145" t="str">
        <f ca="1">INDIRECT(ADDRESS(11+(MATCH(RIGHT(Table11[[#This Row],[spawner_sku]],LEN(Table11[[#This Row],[spawner_sku]])-FIND("/",Table11[[#This Row],[spawner_sku]])),Table28[Entity Prefab],0)),25,1,1,"Entities"))</f>
        <v>no</v>
      </c>
      <c r="CS562" s="72">
        <v>2</v>
      </c>
      <c r="CT562" s="72">
        <v>2</v>
      </c>
      <c r="CU562" s="72" t="b">
        <v>0</v>
      </c>
      <c r="DS562" t="s">
        <v>378</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row>
    <row r="563" spans="2:133" x14ac:dyDescent="0.25">
      <c r="B563" s="73" t="s">
        <v>242</v>
      </c>
      <c r="C563">
        <v>1</v>
      </c>
      <c r="D563">
        <v>170</v>
      </c>
      <c r="E563">
        <v>60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15</v>
      </c>
      <c r="H563" s="72" t="str">
        <f ca="1">INDIRECT(ADDRESS(11+(MATCH(RIGHT(Table245[[#This Row],[spawner_sku]],LEN(Table245[[#This Row],[spawner_sku]])-FIND("/",Table245[[#This Row],[spawner_sku]])),Table28[Entity Prefab],0)),24,1,1,"Entities"))</f>
        <v>no</v>
      </c>
      <c r="I563" s="72">
        <v>1</v>
      </c>
      <c r="J563" s="72">
        <v>1</v>
      </c>
      <c r="K563" s="72" t="b">
        <v>0</v>
      </c>
      <c r="CL563" t="s">
        <v>242</v>
      </c>
      <c r="CM563">
        <v>1</v>
      </c>
      <c r="CN563">
        <v>150</v>
      </c>
      <c r="CO563">
        <v>60</v>
      </c>
      <c r="CP563" s="75">
        <f ca="1">INDIRECT(ADDRESS(11+(MATCH(RIGHT(Table11[[#This Row],[spawner_sku]],LEN(Table11[[#This Row],[spawner_sku]])-FIND("/",Table11[[#This Row],[spawner_sku]])),Table1[Entity Prefab],0)),10,1,1,"Entities"))</f>
        <v>25</v>
      </c>
      <c r="CQ563">
        <f ca="1">ROUND((Table11[[#This Row],[XP]]*Table11[[#This Row],[entity_spawned (AVG)]])*(Table11[[#This Row],[activating_chance]]/100),0)</f>
        <v>15</v>
      </c>
      <c r="CR563" s="145" t="str">
        <f ca="1">INDIRECT(ADDRESS(11+(MATCH(RIGHT(Table11[[#This Row],[spawner_sku]],LEN(Table11[[#This Row],[spawner_sku]])-FIND("/",Table11[[#This Row],[spawner_sku]])),Table28[Entity Prefab],0)),25,1,1,"Entities"))</f>
        <v>no</v>
      </c>
      <c r="CS563" s="72">
        <v>1</v>
      </c>
      <c r="CT563" s="72">
        <v>1</v>
      </c>
      <c r="CU563" s="72" t="b">
        <v>0</v>
      </c>
      <c r="DS563" t="s">
        <v>378</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row>
    <row r="564" spans="2:133" x14ac:dyDescent="0.25">
      <c r="B564" s="73" t="s">
        <v>242</v>
      </c>
      <c r="C564">
        <v>1</v>
      </c>
      <c r="D564">
        <v>170</v>
      </c>
      <c r="E564">
        <v>55</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14</v>
      </c>
      <c r="H564" s="72" t="str">
        <f ca="1">INDIRECT(ADDRESS(11+(MATCH(RIGHT(Table245[[#This Row],[spawner_sku]],LEN(Table245[[#This Row],[spawner_sku]])-FIND("/",Table245[[#This Row],[spawner_sku]])),Table28[Entity Prefab],0)),24,1,1,"Entities"))</f>
        <v>no</v>
      </c>
      <c r="I564" s="72">
        <v>1</v>
      </c>
      <c r="J564" s="72">
        <v>1</v>
      </c>
      <c r="K564" s="72" t="b">
        <v>0</v>
      </c>
      <c r="CL564" t="s">
        <v>242</v>
      </c>
      <c r="CM564">
        <v>1</v>
      </c>
      <c r="CN564">
        <v>150</v>
      </c>
      <c r="CO564">
        <v>20</v>
      </c>
      <c r="CP564" s="75">
        <f ca="1">INDIRECT(ADDRESS(11+(MATCH(RIGHT(Table11[[#This Row],[spawner_sku]],LEN(Table11[[#This Row],[spawner_sku]])-FIND("/",Table11[[#This Row],[spawner_sku]])),Table1[Entity Prefab],0)),10,1,1,"Entities"))</f>
        <v>25</v>
      </c>
      <c r="CQ564">
        <f ca="1">ROUND((Table11[[#This Row],[XP]]*Table11[[#This Row],[entity_spawned (AVG)]])*(Table11[[#This Row],[activating_chance]]/100),0)</f>
        <v>5</v>
      </c>
      <c r="CR564" s="145" t="str">
        <f ca="1">INDIRECT(ADDRESS(11+(MATCH(RIGHT(Table11[[#This Row],[spawner_sku]],LEN(Table11[[#This Row],[spawner_sku]])-FIND("/",Table11[[#This Row],[spawner_sku]])),Table28[Entity Prefab],0)),25,1,1,"Entities"))</f>
        <v>no</v>
      </c>
      <c r="CS564" s="72">
        <v>1</v>
      </c>
      <c r="CT564" s="72">
        <v>1</v>
      </c>
      <c r="CU564" s="72" t="b">
        <v>0</v>
      </c>
      <c r="DS564" t="s">
        <v>378</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row>
    <row r="565" spans="2:133" x14ac:dyDescent="0.25">
      <c r="B565" s="73" t="s">
        <v>242</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CL565" t="s">
        <v>242</v>
      </c>
      <c r="CM565">
        <v>1</v>
      </c>
      <c r="CN565">
        <v>150</v>
      </c>
      <c r="CO565">
        <v>80</v>
      </c>
      <c r="CP565" s="75">
        <f ca="1">INDIRECT(ADDRESS(11+(MATCH(RIGHT(Table11[[#This Row],[spawner_sku]],LEN(Table11[[#This Row],[spawner_sku]])-FIND("/",Table11[[#This Row],[spawner_sku]])),Table1[Entity Prefab],0)),10,1,1,"Entities"))</f>
        <v>25</v>
      </c>
      <c r="CQ565">
        <f ca="1">ROUND((Table11[[#This Row],[XP]]*Table11[[#This Row],[entity_spawned (AVG)]])*(Table11[[#This Row],[activating_chance]]/100),0)</f>
        <v>20</v>
      </c>
      <c r="CR565" s="145" t="str">
        <f ca="1">INDIRECT(ADDRESS(11+(MATCH(RIGHT(Table11[[#This Row],[spawner_sku]],LEN(Table11[[#This Row],[spawner_sku]])-FIND("/",Table11[[#This Row],[spawner_sku]])),Table28[Entity Prefab],0)),25,1,1,"Entities"))</f>
        <v>no</v>
      </c>
      <c r="CS565" s="72">
        <v>1</v>
      </c>
      <c r="CT565" s="72">
        <v>1</v>
      </c>
      <c r="CU565" s="72" t="b">
        <v>0</v>
      </c>
      <c r="DS565" t="s">
        <v>378</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row>
    <row r="566" spans="2:133" x14ac:dyDescent="0.25">
      <c r="B566" s="73" t="s">
        <v>242</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CL566" t="s">
        <v>242</v>
      </c>
      <c r="CM566">
        <v>1</v>
      </c>
      <c r="CN566">
        <v>150</v>
      </c>
      <c r="CO566">
        <v>100</v>
      </c>
      <c r="CP566" s="75">
        <f ca="1">INDIRECT(ADDRESS(11+(MATCH(RIGHT(Table11[[#This Row],[spawner_sku]],LEN(Table11[[#This Row],[spawner_sku]])-FIND("/",Table11[[#This Row],[spawner_sku]])),Table1[Entity Prefab],0)),10,1,1,"Entities"))</f>
        <v>25</v>
      </c>
      <c r="CQ566">
        <f ca="1">ROUND((Table11[[#This Row],[XP]]*Table11[[#This Row],[entity_spawned (AVG)]])*(Table11[[#This Row],[activating_chance]]/100),0)</f>
        <v>25</v>
      </c>
      <c r="CR566" s="145" t="str">
        <f ca="1">INDIRECT(ADDRESS(11+(MATCH(RIGHT(Table11[[#This Row],[spawner_sku]],LEN(Table11[[#This Row],[spawner_sku]])-FIND("/",Table11[[#This Row],[spawner_sku]])),Table28[Entity Prefab],0)),25,1,1,"Entities"))</f>
        <v>no</v>
      </c>
      <c r="CS566" s="72">
        <v>1</v>
      </c>
      <c r="CT566" s="72">
        <v>1</v>
      </c>
      <c r="CU566" s="72" t="b">
        <v>0</v>
      </c>
      <c r="DS566" t="s">
        <v>378</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row>
    <row r="567" spans="2:133" x14ac:dyDescent="0.25">
      <c r="B567" s="73" t="s">
        <v>242</v>
      </c>
      <c r="C567">
        <v>1</v>
      </c>
      <c r="D567">
        <v>170</v>
      </c>
      <c r="E567">
        <v>65</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16</v>
      </c>
      <c r="H567" s="72" t="str">
        <f ca="1">INDIRECT(ADDRESS(11+(MATCH(RIGHT(Table245[[#This Row],[spawner_sku]],LEN(Table245[[#This Row],[spawner_sku]])-FIND("/",Table245[[#This Row],[spawner_sku]])),Table28[Entity Prefab],0)),24,1,1,"Entities"))</f>
        <v>no</v>
      </c>
      <c r="I567" s="72">
        <v>1</v>
      </c>
      <c r="J567" s="72">
        <v>1</v>
      </c>
      <c r="K567" s="72" t="b">
        <v>0</v>
      </c>
      <c r="CL567" t="s">
        <v>242</v>
      </c>
      <c r="CM567">
        <v>1</v>
      </c>
      <c r="CN567">
        <v>150</v>
      </c>
      <c r="CO567">
        <v>50</v>
      </c>
      <c r="CP567" s="75">
        <f ca="1">INDIRECT(ADDRESS(11+(MATCH(RIGHT(Table11[[#This Row],[spawner_sku]],LEN(Table11[[#This Row],[spawner_sku]])-FIND("/",Table11[[#This Row],[spawner_sku]])),Table1[Entity Prefab],0)),10,1,1,"Entities"))</f>
        <v>25</v>
      </c>
      <c r="CQ567">
        <f ca="1">ROUND((Table11[[#This Row],[XP]]*Table11[[#This Row],[entity_spawned (AVG)]])*(Table11[[#This Row],[activating_chance]]/100),0)</f>
        <v>13</v>
      </c>
      <c r="CR567" s="145" t="str">
        <f ca="1">INDIRECT(ADDRESS(11+(MATCH(RIGHT(Table11[[#This Row],[spawner_sku]],LEN(Table11[[#This Row],[spawner_sku]])-FIND("/",Table11[[#This Row],[spawner_sku]])),Table28[Entity Prefab],0)),25,1,1,"Entities"))</f>
        <v>no</v>
      </c>
      <c r="CS567" s="72">
        <v>1</v>
      </c>
      <c r="CT567" s="72">
        <v>1</v>
      </c>
      <c r="CU567" s="72" t="b">
        <v>0</v>
      </c>
      <c r="DS567" t="s">
        <v>378</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row>
    <row r="568" spans="2:133" x14ac:dyDescent="0.25">
      <c r="B568" s="73" t="s">
        <v>242</v>
      </c>
      <c r="C568">
        <v>1</v>
      </c>
      <c r="D568">
        <v>160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CL568" t="s">
        <v>242</v>
      </c>
      <c r="CM568">
        <v>1</v>
      </c>
      <c r="CN568">
        <v>80</v>
      </c>
      <c r="CO568">
        <v>100</v>
      </c>
      <c r="CP568" s="75">
        <f ca="1">INDIRECT(ADDRESS(11+(MATCH(RIGHT(Table11[[#This Row],[spawner_sku]],LEN(Table11[[#This Row],[spawner_sku]])-FIND("/",Table11[[#This Row],[spawner_sku]])),Table1[Entity Prefab],0)),10,1,1,"Entities"))</f>
        <v>25</v>
      </c>
      <c r="CQ568">
        <f ca="1">ROUND((Table11[[#This Row],[XP]]*Table11[[#This Row],[entity_spawned (AVG)]])*(Table11[[#This Row],[activating_chance]]/100),0)</f>
        <v>25</v>
      </c>
      <c r="CR568" s="145" t="str">
        <f ca="1">INDIRECT(ADDRESS(11+(MATCH(RIGHT(Table11[[#This Row],[spawner_sku]],LEN(Table11[[#This Row],[spawner_sku]])-FIND("/",Table11[[#This Row],[spawner_sku]])),Table28[Entity Prefab],0)),25,1,1,"Entities"))</f>
        <v>no</v>
      </c>
      <c r="CS568" s="72">
        <v>1</v>
      </c>
      <c r="CT568" s="72">
        <v>1</v>
      </c>
      <c r="CU568" s="72" t="b">
        <v>0</v>
      </c>
      <c r="DS568" t="s">
        <v>378</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row>
    <row r="569" spans="2:133" x14ac:dyDescent="0.25">
      <c r="B569" s="73" t="s">
        <v>242</v>
      </c>
      <c r="C569">
        <v>1</v>
      </c>
      <c r="D569">
        <v>170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CL569" t="s">
        <v>242</v>
      </c>
      <c r="CM569">
        <v>1</v>
      </c>
      <c r="CN569">
        <v>135</v>
      </c>
      <c r="CO569">
        <v>30</v>
      </c>
      <c r="CP569" s="75">
        <f ca="1">INDIRECT(ADDRESS(11+(MATCH(RIGHT(Table11[[#This Row],[spawner_sku]],LEN(Table11[[#This Row],[spawner_sku]])-FIND("/",Table11[[#This Row],[spawner_sku]])),Table1[Entity Prefab],0)),10,1,1,"Entities"))</f>
        <v>25</v>
      </c>
      <c r="CQ569">
        <f ca="1">ROUND((Table11[[#This Row],[XP]]*Table11[[#This Row],[entity_spawned (AVG)]])*(Table11[[#This Row],[activating_chance]]/100),0)</f>
        <v>8</v>
      </c>
      <c r="CR569" s="145" t="str">
        <f ca="1">INDIRECT(ADDRESS(11+(MATCH(RIGHT(Table11[[#This Row],[spawner_sku]],LEN(Table11[[#This Row],[spawner_sku]])-FIND("/",Table11[[#This Row],[spawner_sku]])),Table28[Entity Prefab],0)),25,1,1,"Entities"))</f>
        <v>no</v>
      </c>
      <c r="CS569" s="72">
        <v>1</v>
      </c>
      <c r="CT569" s="72">
        <v>1</v>
      </c>
      <c r="CU569" s="72" t="b">
        <v>0</v>
      </c>
      <c r="DS569" t="s">
        <v>378</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row>
    <row r="570" spans="2:133" x14ac:dyDescent="0.25">
      <c r="B570" s="73" t="s">
        <v>242</v>
      </c>
      <c r="C570">
        <v>1</v>
      </c>
      <c r="D570">
        <v>170</v>
      </c>
      <c r="E570">
        <v>80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20</v>
      </c>
      <c r="H570" s="72" t="str">
        <f ca="1">INDIRECT(ADDRESS(11+(MATCH(RIGHT(Table245[[#This Row],[spawner_sku]],LEN(Table245[[#This Row],[spawner_sku]])-FIND("/",Table245[[#This Row],[spawner_sku]])),Table28[Entity Prefab],0)),24,1,1,"Entities"))</f>
        <v>no</v>
      </c>
      <c r="I570" s="72">
        <v>1</v>
      </c>
      <c r="J570" s="72">
        <v>1</v>
      </c>
      <c r="K570" s="72" t="b">
        <v>0</v>
      </c>
      <c r="CL570" t="s">
        <v>242</v>
      </c>
      <c r="CM570">
        <v>1</v>
      </c>
      <c r="CN570">
        <v>150</v>
      </c>
      <c r="CO570">
        <v>60</v>
      </c>
      <c r="CP570" s="75">
        <f ca="1">INDIRECT(ADDRESS(11+(MATCH(RIGHT(Table11[[#This Row],[spawner_sku]],LEN(Table11[[#This Row],[spawner_sku]])-FIND("/",Table11[[#This Row],[spawner_sku]])),Table1[Entity Prefab],0)),10,1,1,"Entities"))</f>
        <v>25</v>
      </c>
      <c r="CQ570">
        <f ca="1">ROUND((Table11[[#This Row],[XP]]*Table11[[#This Row],[entity_spawned (AVG)]])*(Table11[[#This Row],[activating_chance]]/100),0)</f>
        <v>15</v>
      </c>
      <c r="CR570" s="145" t="str">
        <f ca="1">INDIRECT(ADDRESS(11+(MATCH(RIGHT(Table11[[#This Row],[spawner_sku]],LEN(Table11[[#This Row],[spawner_sku]])-FIND("/",Table11[[#This Row],[spawner_sku]])),Table28[Entity Prefab],0)),25,1,1,"Entities"))</f>
        <v>no</v>
      </c>
      <c r="CS570" s="72">
        <v>1</v>
      </c>
      <c r="CT570" s="72">
        <v>1</v>
      </c>
      <c r="CU570" s="72" t="b">
        <v>0</v>
      </c>
      <c r="DS570" t="s">
        <v>378</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row>
    <row r="571" spans="2:133" x14ac:dyDescent="0.25">
      <c r="B571" s="73" t="s">
        <v>242</v>
      </c>
      <c r="C571">
        <v>1</v>
      </c>
      <c r="D571">
        <v>170</v>
      </c>
      <c r="E571">
        <v>85</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21</v>
      </c>
      <c r="H571" s="72" t="str">
        <f ca="1">INDIRECT(ADDRESS(11+(MATCH(RIGHT(Table245[[#This Row],[spawner_sku]],LEN(Table245[[#This Row],[spawner_sku]])-FIND("/",Table245[[#This Row],[spawner_sku]])),Table28[Entity Prefab],0)),24,1,1,"Entities"))</f>
        <v>no</v>
      </c>
      <c r="I571" s="72">
        <v>1</v>
      </c>
      <c r="J571" s="72">
        <v>1</v>
      </c>
      <c r="K571" s="72" t="b">
        <v>0</v>
      </c>
      <c r="CL571" t="s">
        <v>242</v>
      </c>
      <c r="CM571">
        <v>1</v>
      </c>
      <c r="CN571">
        <v>80</v>
      </c>
      <c r="CO571">
        <v>100</v>
      </c>
      <c r="CP571" s="75">
        <f ca="1">INDIRECT(ADDRESS(11+(MATCH(RIGHT(Table11[[#This Row],[spawner_sku]],LEN(Table11[[#This Row],[spawner_sku]])-FIND("/",Table11[[#This Row],[spawner_sku]])),Table1[Entity Prefab],0)),10,1,1,"Entities"))</f>
        <v>25</v>
      </c>
      <c r="CQ571">
        <f ca="1">ROUND((Table11[[#This Row],[XP]]*Table11[[#This Row],[entity_spawned (AVG)]])*(Table11[[#This Row],[activating_chance]]/100),0)</f>
        <v>25</v>
      </c>
      <c r="CR571" s="145" t="str">
        <f ca="1">INDIRECT(ADDRESS(11+(MATCH(RIGHT(Table11[[#This Row],[spawner_sku]],LEN(Table11[[#This Row],[spawner_sku]])-FIND("/",Table11[[#This Row],[spawner_sku]])),Table28[Entity Prefab],0)),25,1,1,"Entities"))</f>
        <v>no</v>
      </c>
      <c r="CS571" s="72">
        <v>1</v>
      </c>
      <c r="CT571" s="72">
        <v>1</v>
      </c>
      <c r="CU571" s="72" t="b">
        <v>0</v>
      </c>
      <c r="DS571" t="s">
        <v>378</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row>
    <row r="572" spans="2:133" x14ac:dyDescent="0.25">
      <c r="B572" s="73" t="s">
        <v>242</v>
      </c>
      <c r="C572">
        <v>1</v>
      </c>
      <c r="D572">
        <v>190</v>
      </c>
      <c r="E572">
        <v>100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25</v>
      </c>
      <c r="H572" s="72" t="str">
        <f ca="1">INDIRECT(ADDRESS(11+(MATCH(RIGHT(Table245[[#This Row],[spawner_sku]],LEN(Table245[[#This Row],[spawner_sku]])-FIND("/",Table245[[#This Row],[spawner_sku]])),Table28[Entity Prefab],0)),24,1,1,"Entities"))</f>
        <v>no</v>
      </c>
      <c r="I572" s="72">
        <v>1</v>
      </c>
      <c r="J572" s="72">
        <v>1</v>
      </c>
      <c r="K572" s="72" t="b">
        <v>0</v>
      </c>
      <c r="CL572" t="s">
        <v>242</v>
      </c>
      <c r="CM572">
        <v>1</v>
      </c>
      <c r="CN572">
        <v>150</v>
      </c>
      <c r="CO572">
        <v>50</v>
      </c>
      <c r="CP572" s="75">
        <f ca="1">INDIRECT(ADDRESS(11+(MATCH(RIGHT(Table11[[#This Row],[spawner_sku]],LEN(Table11[[#This Row],[spawner_sku]])-FIND("/",Table11[[#This Row],[spawner_sku]])),Table1[Entity Prefab],0)),10,1,1,"Entities"))</f>
        <v>25</v>
      </c>
      <c r="CQ572">
        <f ca="1">ROUND((Table11[[#This Row],[XP]]*Table11[[#This Row],[entity_spawned (AVG)]])*(Table11[[#This Row],[activating_chance]]/100),0)</f>
        <v>13</v>
      </c>
      <c r="CR572" s="145" t="str">
        <f ca="1">INDIRECT(ADDRESS(11+(MATCH(RIGHT(Table11[[#This Row],[spawner_sku]],LEN(Table11[[#This Row],[spawner_sku]])-FIND("/",Table11[[#This Row],[spawner_sku]])),Table28[Entity Prefab],0)),25,1,1,"Entities"))</f>
        <v>no</v>
      </c>
      <c r="CS572" s="72">
        <v>1</v>
      </c>
      <c r="CT572" s="72">
        <v>1</v>
      </c>
      <c r="CU572" s="72" t="b">
        <v>0</v>
      </c>
      <c r="DS572" t="s">
        <v>378</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row>
    <row r="573" spans="2:133" x14ac:dyDescent="0.25">
      <c r="B573" s="73" t="s">
        <v>242</v>
      </c>
      <c r="C573">
        <v>2</v>
      </c>
      <c r="D573">
        <v>205</v>
      </c>
      <c r="E573">
        <v>95</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48</v>
      </c>
      <c r="H573" s="72" t="str">
        <f ca="1">INDIRECT(ADDRESS(11+(MATCH(RIGHT(Table245[[#This Row],[spawner_sku]],LEN(Table245[[#This Row],[spawner_sku]])-FIND("/",Table245[[#This Row],[spawner_sku]])),Table28[Entity Prefab],0)),24,1,1,"Entities"))</f>
        <v>no</v>
      </c>
      <c r="I573" s="72">
        <v>2</v>
      </c>
      <c r="J573" s="72">
        <v>2</v>
      </c>
      <c r="K573" s="72" t="b">
        <v>0</v>
      </c>
      <c r="CL573" t="s">
        <v>242</v>
      </c>
      <c r="CM573">
        <v>1</v>
      </c>
      <c r="CN573">
        <v>150</v>
      </c>
      <c r="CO573">
        <v>100</v>
      </c>
      <c r="CP573" s="75">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5" t="str">
        <f ca="1">INDIRECT(ADDRESS(11+(MATCH(RIGHT(Table11[[#This Row],[spawner_sku]],LEN(Table11[[#This Row],[spawner_sku]])-FIND("/",Table11[[#This Row],[spawner_sku]])),Table28[Entity Prefab],0)),25,1,1,"Entities"))</f>
        <v>no</v>
      </c>
      <c r="CS573" s="72">
        <v>1</v>
      </c>
      <c r="CT573" s="72">
        <v>1</v>
      </c>
      <c r="CU573" s="72" t="b">
        <v>0</v>
      </c>
      <c r="DS573" t="s">
        <v>428</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row>
    <row r="574" spans="2:133" x14ac:dyDescent="0.25">
      <c r="B574" s="73" t="s">
        <v>242</v>
      </c>
      <c r="C574">
        <v>1</v>
      </c>
      <c r="D574">
        <v>170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CL574" t="s">
        <v>242</v>
      </c>
      <c r="CM574">
        <v>1</v>
      </c>
      <c r="CN574">
        <v>180</v>
      </c>
      <c r="CO574">
        <v>100</v>
      </c>
      <c r="CP574" s="75">
        <f ca="1">INDIRECT(ADDRESS(11+(MATCH(RIGHT(Table11[[#This Row],[spawner_sku]],LEN(Table11[[#This Row],[spawner_sku]])-FIND("/",Table11[[#This Row],[spawner_sku]])),Table1[Entity Prefab],0)),10,1,1,"Entities"))</f>
        <v>25</v>
      </c>
      <c r="CQ574">
        <f ca="1">ROUND((Table11[[#This Row],[XP]]*Table11[[#This Row],[entity_spawned (AVG)]])*(Table11[[#This Row],[activating_chance]]/100),0)</f>
        <v>25</v>
      </c>
      <c r="CR574" s="145" t="str">
        <f ca="1">INDIRECT(ADDRESS(11+(MATCH(RIGHT(Table11[[#This Row],[spawner_sku]],LEN(Table11[[#This Row],[spawner_sku]])-FIND("/",Table11[[#This Row],[spawner_sku]])),Table28[Entity Prefab],0)),25,1,1,"Entities"))</f>
        <v>no</v>
      </c>
      <c r="CS574" s="72">
        <v>1</v>
      </c>
      <c r="CT574" s="72">
        <v>1</v>
      </c>
      <c r="CU574" s="72" t="b">
        <v>0</v>
      </c>
      <c r="DS574" t="s">
        <v>428</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row>
    <row r="575" spans="2:133" x14ac:dyDescent="0.25">
      <c r="B575" s="73" t="s">
        <v>242</v>
      </c>
      <c r="C575">
        <v>1</v>
      </c>
      <c r="D575">
        <v>170</v>
      </c>
      <c r="E575">
        <v>40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10</v>
      </c>
      <c r="H575" s="72" t="str">
        <f ca="1">INDIRECT(ADDRESS(11+(MATCH(RIGHT(Table245[[#This Row],[spawner_sku]],LEN(Table245[[#This Row],[spawner_sku]])-FIND("/",Table245[[#This Row],[spawner_sku]])),Table28[Entity Prefab],0)),24,1,1,"Entities"))</f>
        <v>no</v>
      </c>
      <c r="I575" s="72">
        <v>1</v>
      </c>
      <c r="J575" s="72">
        <v>1</v>
      </c>
      <c r="K575" s="72" t="b">
        <v>0</v>
      </c>
      <c r="CL575" t="s">
        <v>242</v>
      </c>
      <c r="CM575">
        <v>1</v>
      </c>
      <c r="CN575">
        <v>150</v>
      </c>
      <c r="CO575">
        <v>60</v>
      </c>
      <c r="CP575" s="75">
        <f ca="1">INDIRECT(ADDRESS(11+(MATCH(RIGHT(Table11[[#This Row],[spawner_sku]],LEN(Table11[[#This Row],[spawner_sku]])-FIND("/",Table11[[#This Row],[spawner_sku]])),Table1[Entity Prefab],0)),10,1,1,"Entities"))</f>
        <v>25</v>
      </c>
      <c r="CQ575">
        <f ca="1">ROUND((Table11[[#This Row],[XP]]*Table11[[#This Row],[entity_spawned (AVG)]])*(Table11[[#This Row],[activating_chance]]/100),0)</f>
        <v>15</v>
      </c>
      <c r="CR575" s="145" t="str">
        <f ca="1">INDIRECT(ADDRESS(11+(MATCH(RIGHT(Table11[[#This Row],[spawner_sku]],LEN(Table11[[#This Row],[spawner_sku]])-FIND("/",Table11[[#This Row],[spawner_sku]])),Table28[Entity Prefab],0)),25,1,1,"Entities"))</f>
        <v>no</v>
      </c>
      <c r="CS575" s="72">
        <v>1</v>
      </c>
      <c r="CT575" s="72">
        <v>1</v>
      </c>
      <c r="CU575" s="72" t="b">
        <v>0</v>
      </c>
      <c r="DS575" t="s">
        <v>240</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row>
    <row r="576" spans="2:133" x14ac:dyDescent="0.25">
      <c r="B576" s="73" t="s">
        <v>242</v>
      </c>
      <c r="C576">
        <v>1</v>
      </c>
      <c r="D576">
        <v>170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CL576" t="s">
        <v>243</v>
      </c>
      <c r="CM576">
        <v>1</v>
      </c>
      <c r="CN576">
        <v>150</v>
      </c>
      <c r="CO576">
        <v>100</v>
      </c>
      <c r="CP576" s="75">
        <f ca="1">INDIRECT(ADDRESS(11+(MATCH(RIGHT(Table11[[#This Row],[spawner_sku]],LEN(Table11[[#This Row],[spawner_sku]])-FIND("/",Table11[[#This Row],[spawner_sku]])),Table1[Entity Prefab],0)),10,1,1,"Entities"))</f>
        <v>25</v>
      </c>
      <c r="CQ576">
        <f ca="1">ROUND((Table11[[#This Row],[XP]]*Table11[[#This Row],[entity_spawned (AVG)]])*(Table11[[#This Row],[activating_chance]]/100),0)</f>
        <v>25</v>
      </c>
      <c r="CR576" s="145" t="str">
        <f ca="1">INDIRECT(ADDRESS(11+(MATCH(RIGHT(Table11[[#This Row],[spawner_sku]],LEN(Table11[[#This Row],[spawner_sku]])-FIND("/",Table11[[#This Row],[spawner_sku]])),Table28[Entity Prefab],0)),25,1,1,"Entities"))</f>
        <v>no</v>
      </c>
      <c r="CS576" s="72">
        <v>1</v>
      </c>
      <c r="CT576" s="72">
        <v>1</v>
      </c>
      <c r="CU576" s="72" t="b">
        <v>0</v>
      </c>
      <c r="DS576" t="s">
        <v>240</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row>
    <row r="577" spans="2:133" x14ac:dyDescent="0.25">
      <c r="B577" s="73" t="s">
        <v>242</v>
      </c>
      <c r="C577">
        <v>1</v>
      </c>
      <c r="D577">
        <v>190</v>
      </c>
      <c r="E577">
        <v>80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20</v>
      </c>
      <c r="H577" s="72" t="str">
        <f ca="1">INDIRECT(ADDRESS(11+(MATCH(RIGHT(Table245[[#This Row],[spawner_sku]],LEN(Table245[[#This Row],[spawner_sku]])-FIND("/",Table245[[#This Row],[spawner_sku]])),Table28[Entity Prefab],0)),24,1,1,"Entities"))</f>
        <v>no</v>
      </c>
      <c r="I577" s="72">
        <v>1</v>
      </c>
      <c r="J577" s="72">
        <v>1</v>
      </c>
      <c r="K577" s="72" t="b">
        <v>0</v>
      </c>
      <c r="CL577" t="s">
        <v>243</v>
      </c>
      <c r="CM577">
        <v>1</v>
      </c>
      <c r="CN577">
        <v>150</v>
      </c>
      <c r="CO577">
        <v>100</v>
      </c>
      <c r="CP577" s="75">
        <f ca="1">INDIRECT(ADDRESS(11+(MATCH(RIGHT(Table11[[#This Row],[spawner_sku]],LEN(Table11[[#This Row],[spawner_sku]])-FIND("/",Table11[[#This Row],[spawner_sku]])),Table1[Entity Prefab],0)),10,1,1,"Entities"))</f>
        <v>25</v>
      </c>
      <c r="CQ577">
        <f ca="1">ROUND((Table11[[#This Row],[XP]]*Table11[[#This Row],[entity_spawned (AVG)]])*(Table11[[#This Row],[activating_chance]]/100),0)</f>
        <v>25</v>
      </c>
      <c r="CR577" s="145" t="str">
        <f ca="1">INDIRECT(ADDRESS(11+(MATCH(RIGHT(Table11[[#This Row],[spawner_sku]],LEN(Table11[[#This Row],[spawner_sku]])-FIND("/",Table11[[#This Row],[spawner_sku]])),Table28[Entity Prefab],0)),25,1,1,"Entities"))</f>
        <v>no</v>
      </c>
      <c r="CS577" s="72">
        <v>1</v>
      </c>
      <c r="CT577" s="72">
        <v>1</v>
      </c>
      <c r="CU577" s="72" t="b">
        <v>0</v>
      </c>
      <c r="DS577" t="s">
        <v>240</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row>
    <row r="578" spans="2:133" x14ac:dyDescent="0.25">
      <c r="B578" s="73" t="s">
        <v>242</v>
      </c>
      <c r="C578">
        <v>1</v>
      </c>
      <c r="D578">
        <v>190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CL578" t="s">
        <v>243</v>
      </c>
      <c r="CM578">
        <v>3</v>
      </c>
      <c r="CN578">
        <v>100</v>
      </c>
      <c r="CO578">
        <v>100</v>
      </c>
      <c r="CP578" s="75">
        <f ca="1">INDIRECT(ADDRESS(11+(MATCH(RIGHT(Table11[[#This Row],[spawner_sku]],LEN(Table11[[#This Row],[spawner_sku]])-FIND("/",Table11[[#This Row],[spawner_sku]])),Table1[Entity Prefab],0)),10,1,1,"Entities"))</f>
        <v>25</v>
      </c>
      <c r="CQ578">
        <f ca="1">ROUND((Table11[[#This Row],[XP]]*Table11[[#This Row],[entity_spawned (AVG)]])*(Table11[[#This Row],[activating_chance]]/100),0)</f>
        <v>75</v>
      </c>
      <c r="CR578" s="145" t="str">
        <f ca="1">INDIRECT(ADDRESS(11+(MATCH(RIGHT(Table11[[#This Row],[spawner_sku]],LEN(Table11[[#This Row],[spawner_sku]])-FIND("/",Table11[[#This Row],[spawner_sku]])),Table28[Entity Prefab],0)),25,1,1,"Entities"))</f>
        <v>no</v>
      </c>
      <c r="CS578" s="72">
        <v>3</v>
      </c>
      <c r="CT578" s="72">
        <v>3</v>
      </c>
      <c r="CU578" s="72" t="b">
        <v>0</v>
      </c>
      <c r="DS578" t="s">
        <v>240</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row>
    <row r="579" spans="2:133" x14ac:dyDescent="0.25">
      <c r="B579" s="73" t="s">
        <v>242</v>
      </c>
      <c r="C579">
        <v>1</v>
      </c>
      <c r="D579">
        <v>170</v>
      </c>
      <c r="E579">
        <v>100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25</v>
      </c>
      <c r="H579" s="72" t="str">
        <f ca="1">INDIRECT(ADDRESS(11+(MATCH(RIGHT(Table245[[#This Row],[spawner_sku]],LEN(Table245[[#This Row],[spawner_sku]])-FIND("/",Table245[[#This Row],[spawner_sku]])),Table28[Entity Prefab],0)),24,1,1,"Entities"))</f>
        <v>no</v>
      </c>
      <c r="I579" s="72">
        <v>1</v>
      </c>
      <c r="J579" s="72">
        <v>1</v>
      </c>
      <c r="K579" s="72" t="b">
        <v>0</v>
      </c>
      <c r="CL579" t="s">
        <v>243</v>
      </c>
      <c r="CM579">
        <v>1</v>
      </c>
      <c r="CN579">
        <v>150</v>
      </c>
      <c r="CO579">
        <v>100</v>
      </c>
      <c r="CP579" s="75">
        <f ca="1">INDIRECT(ADDRESS(11+(MATCH(RIGHT(Table11[[#This Row],[spawner_sku]],LEN(Table11[[#This Row],[spawner_sku]])-FIND("/",Table11[[#This Row],[spawner_sku]])),Table1[Entity Prefab],0)),10,1,1,"Entities"))</f>
        <v>25</v>
      </c>
      <c r="CQ579">
        <f ca="1">ROUND((Table11[[#This Row],[XP]]*Table11[[#This Row],[entity_spawned (AVG)]])*(Table11[[#This Row],[activating_chance]]/100),0)</f>
        <v>25</v>
      </c>
      <c r="CR579" s="145" t="str">
        <f ca="1">INDIRECT(ADDRESS(11+(MATCH(RIGHT(Table11[[#This Row],[spawner_sku]],LEN(Table11[[#This Row],[spawner_sku]])-FIND("/",Table11[[#This Row],[spawner_sku]])),Table28[Entity Prefab],0)),25,1,1,"Entities"))</f>
        <v>no</v>
      </c>
      <c r="CS579" s="72">
        <v>1</v>
      </c>
      <c r="CT579" s="72">
        <v>1</v>
      </c>
      <c r="CU579" s="72" t="b">
        <v>0</v>
      </c>
      <c r="DS579" t="s">
        <v>240</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row>
    <row r="580" spans="2:133" x14ac:dyDescent="0.25">
      <c r="B580" s="73" t="s">
        <v>242</v>
      </c>
      <c r="C580">
        <v>1</v>
      </c>
      <c r="D580">
        <v>190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CL580" t="s">
        <v>243</v>
      </c>
      <c r="CM580">
        <v>1</v>
      </c>
      <c r="CN580">
        <v>160</v>
      </c>
      <c r="CO580">
        <v>100</v>
      </c>
      <c r="CP580" s="75">
        <f ca="1">INDIRECT(ADDRESS(11+(MATCH(RIGHT(Table11[[#This Row],[spawner_sku]],LEN(Table11[[#This Row],[spawner_sku]])-FIND("/",Table11[[#This Row],[spawner_sku]])),Table1[Entity Prefab],0)),10,1,1,"Entities"))</f>
        <v>25</v>
      </c>
      <c r="CQ580">
        <f ca="1">ROUND((Table11[[#This Row],[XP]]*Table11[[#This Row],[entity_spawned (AVG)]])*(Table11[[#This Row],[activating_chance]]/100),0)</f>
        <v>25</v>
      </c>
      <c r="CR580" s="145" t="str">
        <f ca="1">INDIRECT(ADDRESS(11+(MATCH(RIGHT(Table11[[#This Row],[spawner_sku]],LEN(Table11[[#This Row],[spawner_sku]])-FIND("/",Table11[[#This Row],[spawner_sku]])),Table28[Entity Prefab],0)),25,1,1,"Entities"))</f>
        <v>no</v>
      </c>
      <c r="CS580" s="72">
        <v>1</v>
      </c>
      <c r="CT580" s="72">
        <v>1</v>
      </c>
      <c r="CU580" s="72" t="b">
        <v>0</v>
      </c>
      <c r="DS580" t="s">
        <v>241</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row>
    <row r="581" spans="2:133" x14ac:dyDescent="0.25">
      <c r="B581" s="73" t="s">
        <v>242</v>
      </c>
      <c r="C581">
        <v>1</v>
      </c>
      <c r="D581">
        <v>140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CL581" t="s">
        <v>243</v>
      </c>
      <c r="CM581">
        <v>1</v>
      </c>
      <c r="CN581">
        <v>150</v>
      </c>
      <c r="CO581">
        <v>50</v>
      </c>
      <c r="CP581" s="75">
        <f ca="1">INDIRECT(ADDRESS(11+(MATCH(RIGHT(Table11[[#This Row],[spawner_sku]],LEN(Table11[[#This Row],[spawner_sku]])-FIND("/",Table11[[#This Row],[spawner_sku]])),Table1[Entity Prefab],0)),10,1,1,"Entities"))</f>
        <v>25</v>
      </c>
      <c r="CQ581">
        <f ca="1">ROUND((Table11[[#This Row],[XP]]*Table11[[#This Row],[entity_spawned (AVG)]])*(Table11[[#This Row],[activating_chance]]/100),0)</f>
        <v>13</v>
      </c>
      <c r="CR581" s="145" t="str">
        <f ca="1">INDIRECT(ADDRESS(11+(MATCH(RIGHT(Table11[[#This Row],[spawner_sku]],LEN(Table11[[#This Row],[spawner_sku]])-FIND("/",Table11[[#This Row],[spawner_sku]])),Table28[Entity Prefab],0)),25,1,1,"Entities"))</f>
        <v>no</v>
      </c>
      <c r="CS581" s="72">
        <v>1</v>
      </c>
      <c r="CT581" s="72">
        <v>1</v>
      </c>
      <c r="CU581" s="72" t="b">
        <v>0</v>
      </c>
      <c r="DS581" t="s">
        <v>241</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row>
    <row r="582" spans="2:133" x14ac:dyDescent="0.25">
      <c r="B582" s="73" t="s">
        <v>242</v>
      </c>
      <c r="C582">
        <v>1</v>
      </c>
      <c r="D582">
        <v>170</v>
      </c>
      <c r="E582">
        <v>60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15</v>
      </c>
      <c r="H582" s="72" t="str">
        <f ca="1">INDIRECT(ADDRESS(11+(MATCH(RIGHT(Table245[[#This Row],[spawner_sku]],LEN(Table245[[#This Row],[spawner_sku]])-FIND("/",Table245[[#This Row],[spawner_sku]])),Table28[Entity Prefab],0)),24,1,1,"Entities"))</f>
        <v>no</v>
      </c>
      <c r="I582" s="72">
        <v>1</v>
      </c>
      <c r="J582" s="72">
        <v>1</v>
      </c>
      <c r="K582" s="72" t="b">
        <v>0</v>
      </c>
      <c r="CL582" t="s">
        <v>243</v>
      </c>
      <c r="CM582">
        <v>1</v>
      </c>
      <c r="CN582">
        <v>150</v>
      </c>
      <c r="CO582">
        <v>100</v>
      </c>
      <c r="CP582" s="75">
        <f ca="1">INDIRECT(ADDRESS(11+(MATCH(RIGHT(Table11[[#This Row],[spawner_sku]],LEN(Table11[[#This Row],[spawner_sku]])-FIND("/",Table11[[#This Row],[spawner_sku]])),Table1[Entity Prefab],0)),10,1,1,"Entities"))</f>
        <v>25</v>
      </c>
      <c r="CQ582">
        <f ca="1">ROUND((Table11[[#This Row],[XP]]*Table11[[#This Row],[entity_spawned (AVG)]])*(Table11[[#This Row],[activating_chance]]/100),0)</f>
        <v>25</v>
      </c>
      <c r="CR582" s="145" t="str">
        <f ca="1">INDIRECT(ADDRESS(11+(MATCH(RIGHT(Table11[[#This Row],[spawner_sku]],LEN(Table11[[#This Row],[spawner_sku]])-FIND("/",Table11[[#This Row],[spawner_sku]])),Table28[Entity Prefab],0)),25,1,1,"Entities"))</f>
        <v>no</v>
      </c>
      <c r="CS582" s="72">
        <v>1</v>
      </c>
      <c r="CT582" s="72">
        <v>1</v>
      </c>
      <c r="CU582" s="72" t="b">
        <v>0</v>
      </c>
      <c r="DS582" t="s">
        <v>242</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row>
    <row r="583" spans="2:133" x14ac:dyDescent="0.25">
      <c r="B583" s="73" t="s">
        <v>242</v>
      </c>
      <c r="C583">
        <v>1</v>
      </c>
      <c r="D583">
        <v>170</v>
      </c>
      <c r="E583">
        <v>60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15</v>
      </c>
      <c r="H583" s="72" t="str">
        <f ca="1">INDIRECT(ADDRESS(11+(MATCH(RIGHT(Table245[[#This Row],[spawner_sku]],LEN(Table245[[#This Row],[spawner_sku]])-FIND("/",Table245[[#This Row],[spawner_sku]])),Table28[Entity Prefab],0)),24,1,1,"Entities"))</f>
        <v>no</v>
      </c>
      <c r="I583" s="72">
        <v>1</v>
      </c>
      <c r="J583" s="72">
        <v>1</v>
      </c>
      <c r="K583" s="72" t="b">
        <v>0</v>
      </c>
      <c r="CL583" t="s">
        <v>244</v>
      </c>
      <c r="CM583">
        <v>1</v>
      </c>
      <c r="CN583">
        <v>120</v>
      </c>
      <c r="CO583">
        <v>100</v>
      </c>
      <c r="CP583" s="75">
        <f ca="1">INDIRECT(ADDRESS(11+(MATCH(RIGHT(Table11[[#This Row],[spawner_sku]],LEN(Table11[[#This Row],[spawner_sku]])-FIND("/",Table11[[#This Row],[spawner_sku]])),Table1[Entity Prefab],0)),10,1,1,"Entities"))</f>
        <v>50</v>
      </c>
      <c r="CQ583">
        <f ca="1">ROUND((Table11[[#This Row],[XP]]*Table11[[#This Row],[entity_spawned (AVG)]])*(Table11[[#This Row],[activating_chance]]/100),0)</f>
        <v>50</v>
      </c>
      <c r="CR583" s="145" t="str">
        <f ca="1">INDIRECT(ADDRESS(11+(MATCH(RIGHT(Table11[[#This Row],[spawner_sku]],LEN(Table11[[#This Row],[spawner_sku]])-FIND("/",Table11[[#This Row],[spawner_sku]])),Table28[Entity Prefab],0)),25,1,1,"Entities"))</f>
        <v>no</v>
      </c>
      <c r="CS583" s="72">
        <v>1</v>
      </c>
      <c r="CT583" s="72">
        <v>1</v>
      </c>
      <c r="CU583" s="72" t="b">
        <v>0</v>
      </c>
      <c r="DS583" t="s">
        <v>242</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row>
    <row r="584" spans="2:133" x14ac:dyDescent="0.25">
      <c r="B584" s="73" t="s">
        <v>242</v>
      </c>
      <c r="C584">
        <v>1</v>
      </c>
      <c r="D584">
        <v>130</v>
      </c>
      <c r="E584">
        <v>85</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21</v>
      </c>
      <c r="H584" s="72" t="str">
        <f ca="1">INDIRECT(ADDRESS(11+(MATCH(RIGHT(Table245[[#This Row],[spawner_sku]],LEN(Table245[[#This Row],[spawner_sku]])-FIND("/",Table245[[#This Row],[spawner_sku]])),Table28[Entity Prefab],0)),24,1,1,"Entities"))</f>
        <v>no</v>
      </c>
      <c r="I584" s="72">
        <v>1</v>
      </c>
      <c r="J584" s="72">
        <v>1</v>
      </c>
      <c r="K584" s="72" t="b">
        <v>0</v>
      </c>
      <c r="CL584" t="s">
        <v>244</v>
      </c>
      <c r="CM584">
        <v>1</v>
      </c>
      <c r="CN584">
        <v>120</v>
      </c>
      <c r="CO584">
        <v>80</v>
      </c>
      <c r="CP584" s="75">
        <f ca="1">INDIRECT(ADDRESS(11+(MATCH(RIGHT(Table11[[#This Row],[spawner_sku]],LEN(Table11[[#This Row],[spawner_sku]])-FIND("/",Table11[[#This Row],[spawner_sku]])),Table1[Entity Prefab],0)),10,1,1,"Entities"))</f>
        <v>50</v>
      </c>
      <c r="CQ584">
        <f ca="1">ROUND((Table11[[#This Row],[XP]]*Table11[[#This Row],[entity_spawned (AVG)]])*(Table11[[#This Row],[activating_chance]]/100),0)</f>
        <v>40</v>
      </c>
      <c r="CR584" s="145" t="str">
        <f ca="1">INDIRECT(ADDRESS(11+(MATCH(RIGHT(Table11[[#This Row],[spawner_sku]],LEN(Table11[[#This Row],[spawner_sku]])-FIND("/",Table11[[#This Row],[spawner_sku]])),Table28[Entity Prefab],0)),25,1,1,"Entities"))</f>
        <v>no</v>
      </c>
      <c r="CS584" s="72">
        <v>1</v>
      </c>
      <c r="CT584" s="72">
        <v>1</v>
      </c>
      <c r="CU584" s="72" t="b">
        <v>0</v>
      </c>
      <c r="DS584" t="s">
        <v>242</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row>
    <row r="585" spans="2:133" x14ac:dyDescent="0.25">
      <c r="B585" s="73" t="s">
        <v>242</v>
      </c>
      <c r="C585">
        <v>1</v>
      </c>
      <c r="D585">
        <v>190</v>
      </c>
      <c r="E585">
        <v>80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20</v>
      </c>
      <c r="H585" s="72" t="str">
        <f ca="1">INDIRECT(ADDRESS(11+(MATCH(RIGHT(Table245[[#This Row],[spawner_sku]],LEN(Table245[[#This Row],[spawner_sku]])-FIND("/",Table245[[#This Row],[spawner_sku]])),Table28[Entity Prefab],0)),24,1,1,"Entities"))</f>
        <v>no</v>
      </c>
      <c r="I585" s="72">
        <v>1</v>
      </c>
      <c r="J585" s="72">
        <v>1</v>
      </c>
      <c r="K585" s="72" t="b">
        <v>0</v>
      </c>
      <c r="CL585" t="s">
        <v>244</v>
      </c>
      <c r="CM585">
        <v>1</v>
      </c>
      <c r="CN585">
        <v>120</v>
      </c>
      <c r="CO585">
        <v>30</v>
      </c>
      <c r="CP585" s="75">
        <f ca="1">INDIRECT(ADDRESS(11+(MATCH(RIGHT(Table11[[#This Row],[spawner_sku]],LEN(Table11[[#This Row],[spawner_sku]])-FIND("/",Table11[[#This Row],[spawner_sku]])),Table1[Entity Prefab],0)),10,1,1,"Entities"))</f>
        <v>50</v>
      </c>
      <c r="CQ585">
        <f ca="1">ROUND((Table11[[#This Row],[XP]]*Table11[[#This Row],[entity_spawned (AVG)]])*(Table11[[#This Row],[activating_chance]]/100),0)</f>
        <v>15</v>
      </c>
      <c r="CR585" s="145" t="str">
        <f ca="1">INDIRECT(ADDRESS(11+(MATCH(RIGHT(Table11[[#This Row],[spawner_sku]],LEN(Table11[[#This Row],[spawner_sku]])-FIND("/",Table11[[#This Row],[spawner_sku]])),Table28[Entity Prefab],0)),25,1,1,"Entities"))</f>
        <v>no</v>
      </c>
      <c r="CS585" s="72">
        <v>1</v>
      </c>
      <c r="CT585" s="72">
        <v>1</v>
      </c>
      <c r="CU585" s="72" t="b">
        <v>0</v>
      </c>
      <c r="DS585" t="s">
        <v>242</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row>
    <row r="586" spans="2:133" x14ac:dyDescent="0.25">
      <c r="B586" s="73" t="s">
        <v>242</v>
      </c>
      <c r="C586">
        <v>1</v>
      </c>
      <c r="D586">
        <v>170</v>
      </c>
      <c r="E586">
        <v>100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25</v>
      </c>
      <c r="H586" s="72" t="str">
        <f ca="1">INDIRECT(ADDRESS(11+(MATCH(RIGHT(Table245[[#This Row],[spawner_sku]],LEN(Table245[[#This Row],[spawner_sku]])-FIND("/",Table245[[#This Row],[spawner_sku]])),Table28[Entity Prefab],0)),24,1,1,"Entities"))</f>
        <v>no</v>
      </c>
      <c r="I586" s="72">
        <v>1</v>
      </c>
      <c r="J586" s="72">
        <v>1</v>
      </c>
      <c r="K586" s="72" t="b">
        <v>0</v>
      </c>
      <c r="CL586" t="s">
        <v>244</v>
      </c>
      <c r="CM586">
        <v>1</v>
      </c>
      <c r="CN586">
        <v>120</v>
      </c>
      <c r="CO586">
        <v>80</v>
      </c>
      <c r="CP586" s="75">
        <f ca="1">INDIRECT(ADDRESS(11+(MATCH(RIGHT(Table11[[#This Row],[spawner_sku]],LEN(Table11[[#This Row],[spawner_sku]])-FIND("/",Table11[[#This Row],[spawner_sku]])),Table1[Entity Prefab],0)),10,1,1,"Entities"))</f>
        <v>50</v>
      </c>
      <c r="CQ586">
        <f ca="1">ROUND((Table11[[#This Row],[XP]]*Table11[[#This Row],[entity_spawned (AVG)]])*(Table11[[#This Row],[activating_chance]]/100),0)</f>
        <v>40</v>
      </c>
      <c r="CR586" s="145" t="str">
        <f ca="1">INDIRECT(ADDRESS(11+(MATCH(RIGHT(Table11[[#This Row],[spawner_sku]],LEN(Table11[[#This Row],[spawner_sku]])-FIND("/",Table11[[#This Row],[spawner_sku]])),Table28[Entity Prefab],0)),25,1,1,"Entities"))</f>
        <v>no</v>
      </c>
      <c r="CS586" s="72">
        <v>1</v>
      </c>
      <c r="CT586" s="72">
        <v>1</v>
      </c>
      <c r="CU586" s="72" t="b">
        <v>0</v>
      </c>
      <c r="DS586" t="s">
        <v>242</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row>
    <row r="587" spans="2:133" x14ac:dyDescent="0.25">
      <c r="B587" s="73" t="s">
        <v>242</v>
      </c>
      <c r="C587">
        <v>1</v>
      </c>
      <c r="D587">
        <v>150</v>
      </c>
      <c r="E587">
        <v>40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10</v>
      </c>
      <c r="H587" s="72" t="str">
        <f ca="1">INDIRECT(ADDRESS(11+(MATCH(RIGHT(Table245[[#This Row],[spawner_sku]],LEN(Table245[[#This Row],[spawner_sku]])-FIND("/",Table245[[#This Row],[spawner_sku]])),Table28[Entity Prefab],0)),24,1,1,"Entities"))</f>
        <v>no</v>
      </c>
      <c r="I587" s="72">
        <v>1</v>
      </c>
      <c r="J587" s="72">
        <v>1</v>
      </c>
      <c r="K587" s="72" t="b">
        <v>0</v>
      </c>
      <c r="CL587" t="s">
        <v>244</v>
      </c>
      <c r="CM587">
        <v>1</v>
      </c>
      <c r="CN587">
        <v>120</v>
      </c>
      <c r="CO587">
        <v>60</v>
      </c>
      <c r="CP587" s="75">
        <f ca="1">INDIRECT(ADDRESS(11+(MATCH(RIGHT(Table11[[#This Row],[spawner_sku]],LEN(Table11[[#This Row],[spawner_sku]])-FIND("/",Table11[[#This Row],[spawner_sku]])),Table1[Entity Prefab],0)),10,1,1,"Entities"))</f>
        <v>50</v>
      </c>
      <c r="CQ587">
        <f ca="1">ROUND((Table11[[#This Row],[XP]]*Table11[[#This Row],[entity_spawned (AVG)]])*(Table11[[#This Row],[activating_chance]]/100),0)</f>
        <v>30</v>
      </c>
      <c r="CR587" s="145" t="str">
        <f ca="1">INDIRECT(ADDRESS(11+(MATCH(RIGHT(Table11[[#This Row],[spawner_sku]],LEN(Table11[[#This Row],[spawner_sku]])-FIND("/",Table11[[#This Row],[spawner_sku]])),Table28[Entity Prefab],0)),25,1,1,"Entities"))</f>
        <v>no</v>
      </c>
      <c r="CS587" s="72">
        <v>1</v>
      </c>
      <c r="CT587" s="72">
        <v>1</v>
      </c>
      <c r="CU587" s="72" t="b">
        <v>0</v>
      </c>
      <c r="DS587" t="s">
        <v>242</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row>
    <row r="588" spans="2:133" x14ac:dyDescent="0.25">
      <c r="B588" s="73" t="s">
        <v>242</v>
      </c>
      <c r="C588">
        <v>1</v>
      </c>
      <c r="D588">
        <v>140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CL588" t="s">
        <v>244</v>
      </c>
      <c r="CM588">
        <v>1</v>
      </c>
      <c r="CN588">
        <v>120</v>
      </c>
      <c r="CO588">
        <v>100</v>
      </c>
      <c r="CP588" s="75">
        <f ca="1">INDIRECT(ADDRESS(11+(MATCH(RIGHT(Table11[[#This Row],[spawner_sku]],LEN(Table11[[#This Row],[spawner_sku]])-FIND("/",Table11[[#This Row],[spawner_sku]])),Table1[Entity Prefab],0)),10,1,1,"Entities"))</f>
        <v>50</v>
      </c>
      <c r="CQ588">
        <f ca="1">ROUND((Table11[[#This Row],[XP]]*Table11[[#This Row],[entity_spawned (AVG)]])*(Table11[[#This Row],[activating_chance]]/100),0)</f>
        <v>50</v>
      </c>
      <c r="CR588" s="145" t="str">
        <f ca="1">INDIRECT(ADDRESS(11+(MATCH(RIGHT(Table11[[#This Row],[spawner_sku]],LEN(Table11[[#This Row],[spawner_sku]])-FIND("/",Table11[[#This Row],[spawner_sku]])),Table28[Entity Prefab],0)),25,1,1,"Entities"))</f>
        <v>no</v>
      </c>
      <c r="CS588" s="72">
        <v>1</v>
      </c>
      <c r="CT588" s="72">
        <v>1</v>
      </c>
      <c r="CU588" s="72" t="b">
        <v>0</v>
      </c>
      <c r="DS588" t="s">
        <v>242</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row>
    <row r="589" spans="2:133" x14ac:dyDescent="0.25">
      <c r="B589" s="73" t="s">
        <v>242</v>
      </c>
      <c r="C589">
        <v>1</v>
      </c>
      <c r="D589">
        <v>140</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CL589" t="s">
        <v>244</v>
      </c>
      <c r="CM589">
        <v>1</v>
      </c>
      <c r="CN589">
        <v>120</v>
      </c>
      <c r="CO589">
        <v>100</v>
      </c>
      <c r="CP589" s="75">
        <f ca="1">INDIRECT(ADDRESS(11+(MATCH(RIGHT(Table11[[#This Row],[spawner_sku]],LEN(Table11[[#This Row],[spawner_sku]])-FIND("/",Table11[[#This Row],[spawner_sku]])),Table1[Entity Prefab],0)),10,1,1,"Entities"))</f>
        <v>50</v>
      </c>
      <c r="CQ589">
        <f ca="1">ROUND((Table11[[#This Row],[XP]]*Table11[[#This Row],[entity_spawned (AVG)]])*(Table11[[#This Row],[activating_chance]]/100),0)</f>
        <v>50</v>
      </c>
      <c r="CR589" s="145" t="str">
        <f ca="1">INDIRECT(ADDRESS(11+(MATCH(RIGHT(Table11[[#This Row],[spawner_sku]],LEN(Table11[[#This Row],[spawner_sku]])-FIND("/",Table11[[#This Row],[spawner_sku]])),Table28[Entity Prefab],0)),25,1,1,"Entities"))</f>
        <v>no</v>
      </c>
      <c r="CS589" s="72">
        <v>1</v>
      </c>
      <c r="CT589" s="72">
        <v>1</v>
      </c>
      <c r="CU589" s="72" t="b">
        <v>0</v>
      </c>
      <c r="DS589" t="s">
        <v>242</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row>
    <row r="590" spans="2:133" x14ac:dyDescent="0.25">
      <c r="B590" s="73" t="s">
        <v>242</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CL590" t="s">
        <v>244</v>
      </c>
      <c r="CM590">
        <v>1</v>
      </c>
      <c r="CN590">
        <v>120</v>
      </c>
      <c r="CO590">
        <v>100</v>
      </c>
      <c r="CP590" s="75">
        <f ca="1">INDIRECT(ADDRESS(11+(MATCH(RIGHT(Table11[[#This Row],[spawner_sku]],LEN(Table11[[#This Row],[spawner_sku]])-FIND("/",Table11[[#This Row],[spawner_sku]])),Table1[Entity Prefab],0)),10,1,1,"Entities"))</f>
        <v>50</v>
      </c>
      <c r="CQ590">
        <f ca="1">ROUND((Table11[[#This Row],[XP]]*Table11[[#This Row],[entity_spawned (AVG)]])*(Table11[[#This Row],[activating_chance]]/100),0)</f>
        <v>50</v>
      </c>
      <c r="CR590" s="145" t="str">
        <f ca="1">INDIRECT(ADDRESS(11+(MATCH(RIGHT(Table11[[#This Row],[spawner_sku]],LEN(Table11[[#This Row],[spawner_sku]])-FIND("/",Table11[[#This Row],[spawner_sku]])),Table28[Entity Prefab],0)),25,1,1,"Entities"))</f>
        <v>no</v>
      </c>
      <c r="CS590" s="72">
        <v>1</v>
      </c>
      <c r="CT590" s="72">
        <v>1</v>
      </c>
      <c r="CU590" s="72" t="b">
        <v>0</v>
      </c>
      <c r="DS590" t="s">
        <v>242</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row>
    <row r="591" spans="2:133" x14ac:dyDescent="0.25">
      <c r="B591" s="73" t="s">
        <v>242</v>
      </c>
      <c r="C591">
        <v>1</v>
      </c>
      <c r="D591">
        <v>170</v>
      </c>
      <c r="E591">
        <v>80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20</v>
      </c>
      <c r="H591" s="72" t="str">
        <f ca="1">INDIRECT(ADDRESS(11+(MATCH(RIGHT(Table245[[#This Row],[spawner_sku]],LEN(Table245[[#This Row],[spawner_sku]])-FIND("/",Table245[[#This Row],[spawner_sku]])),Table28[Entity Prefab],0)),24,1,1,"Entities"))</f>
        <v>no</v>
      </c>
      <c r="I591" s="72">
        <v>1</v>
      </c>
      <c r="J591" s="72">
        <v>1</v>
      </c>
      <c r="K591" s="72" t="b">
        <v>0</v>
      </c>
      <c r="CL591" t="s">
        <v>244</v>
      </c>
      <c r="CM591">
        <v>1</v>
      </c>
      <c r="CN591">
        <v>120</v>
      </c>
      <c r="CO591">
        <v>80</v>
      </c>
      <c r="CP591" s="75">
        <f ca="1">INDIRECT(ADDRESS(11+(MATCH(RIGHT(Table11[[#This Row],[spawner_sku]],LEN(Table11[[#This Row],[spawner_sku]])-FIND("/",Table11[[#This Row],[spawner_sku]])),Table1[Entity Prefab],0)),10,1,1,"Entities"))</f>
        <v>50</v>
      </c>
      <c r="CQ591">
        <f ca="1">ROUND((Table11[[#This Row],[XP]]*Table11[[#This Row],[entity_spawned (AVG)]])*(Table11[[#This Row],[activating_chance]]/100),0)</f>
        <v>40</v>
      </c>
      <c r="CR591" s="145" t="str">
        <f ca="1">INDIRECT(ADDRESS(11+(MATCH(RIGHT(Table11[[#This Row],[spawner_sku]],LEN(Table11[[#This Row],[spawner_sku]])-FIND("/",Table11[[#This Row],[spawner_sku]])),Table28[Entity Prefab],0)),25,1,1,"Entities"))</f>
        <v>no</v>
      </c>
      <c r="CS591" s="72">
        <v>1</v>
      </c>
      <c r="CT591" s="72">
        <v>1</v>
      </c>
      <c r="CU591" s="72" t="b">
        <v>0</v>
      </c>
      <c r="DS591" t="s">
        <v>242</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row>
    <row r="592" spans="2:133" x14ac:dyDescent="0.25">
      <c r="B592" s="73" t="s">
        <v>242</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CL592" t="s">
        <v>244</v>
      </c>
      <c r="CM592">
        <v>1</v>
      </c>
      <c r="CN592">
        <v>120</v>
      </c>
      <c r="CO592">
        <v>10</v>
      </c>
      <c r="CP592" s="75">
        <f ca="1">INDIRECT(ADDRESS(11+(MATCH(RIGHT(Table11[[#This Row],[spawner_sku]],LEN(Table11[[#This Row],[spawner_sku]])-FIND("/",Table11[[#This Row],[spawner_sku]])),Table1[Entity Prefab],0)),10,1,1,"Entities"))</f>
        <v>50</v>
      </c>
      <c r="CQ592">
        <f ca="1">ROUND((Table11[[#This Row],[XP]]*Table11[[#This Row],[entity_spawned (AVG)]])*(Table11[[#This Row],[activating_chance]]/100),0)</f>
        <v>5</v>
      </c>
      <c r="CR592" s="145" t="str">
        <f ca="1">INDIRECT(ADDRESS(11+(MATCH(RIGHT(Table11[[#This Row],[spawner_sku]],LEN(Table11[[#This Row],[spawner_sku]])-FIND("/",Table11[[#This Row],[spawner_sku]])),Table28[Entity Prefab],0)),25,1,1,"Entities"))</f>
        <v>no</v>
      </c>
      <c r="CS592" s="72">
        <v>1</v>
      </c>
      <c r="CT592" s="72">
        <v>1</v>
      </c>
      <c r="CU592" s="72" t="b">
        <v>0</v>
      </c>
      <c r="DS592" t="s">
        <v>242</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row>
    <row r="593" spans="2:133" x14ac:dyDescent="0.25">
      <c r="B593" s="73" t="s">
        <v>243</v>
      </c>
      <c r="C593">
        <v>1</v>
      </c>
      <c r="D593">
        <v>160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CL593" t="s">
        <v>244</v>
      </c>
      <c r="CM593">
        <v>1</v>
      </c>
      <c r="CN593">
        <v>120</v>
      </c>
      <c r="CO593">
        <v>80</v>
      </c>
      <c r="CP593" s="75">
        <f ca="1">INDIRECT(ADDRESS(11+(MATCH(RIGHT(Table11[[#This Row],[spawner_sku]],LEN(Table11[[#This Row],[spawner_sku]])-FIND("/",Table11[[#This Row],[spawner_sku]])),Table1[Entity Prefab],0)),10,1,1,"Entities"))</f>
        <v>50</v>
      </c>
      <c r="CQ593">
        <f ca="1">ROUND((Table11[[#This Row],[XP]]*Table11[[#This Row],[entity_spawned (AVG)]])*(Table11[[#This Row],[activating_chance]]/100),0)</f>
        <v>40</v>
      </c>
      <c r="CR593" s="145" t="str">
        <f ca="1">INDIRECT(ADDRESS(11+(MATCH(RIGHT(Table11[[#This Row],[spawner_sku]],LEN(Table11[[#This Row],[spawner_sku]])-FIND("/",Table11[[#This Row],[spawner_sku]])),Table28[Entity Prefab],0)),25,1,1,"Entities"))</f>
        <v>no</v>
      </c>
      <c r="CS593" s="72">
        <v>1</v>
      </c>
      <c r="CT593" s="72">
        <v>1</v>
      </c>
      <c r="CU593" s="72" t="b">
        <v>0</v>
      </c>
      <c r="DS593" t="s">
        <v>242</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row>
    <row r="594" spans="2:133" x14ac:dyDescent="0.25">
      <c r="B594" s="73" t="s">
        <v>243</v>
      </c>
      <c r="C594">
        <v>1</v>
      </c>
      <c r="D594">
        <v>170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CL594" t="s">
        <v>244</v>
      </c>
      <c r="CM594">
        <v>1</v>
      </c>
      <c r="CN594">
        <v>120</v>
      </c>
      <c r="CO594">
        <v>100</v>
      </c>
      <c r="CP594" s="75">
        <f ca="1">INDIRECT(ADDRESS(11+(MATCH(RIGHT(Table11[[#This Row],[spawner_sku]],LEN(Table11[[#This Row],[spawner_sku]])-FIND("/",Table11[[#This Row],[spawner_sku]])),Table1[Entity Prefab],0)),10,1,1,"Entities"))</f>
        <v>50</v>
      </c>
      <c r="CQ594">
        <f ca="1">ROUND((Table11[[#This Row],[XP]]*Table11[[#This Row],[entity_spawned (AVG)]])*(Table11[[#This Row],[activating_chance]]/100),0)</f>
        <v>50</v>
      </c>
      <c r="CR594" s="145" t="str">
        <f ca="1">INDIRECT(ADDRESS(11+(MATCH(RIGHT(Table11[[#This Row],[spawner_sku]],LEN(Table11[[#This Row],[spawner_sku]])-FIND("/",Table11[[#This Row],[spawner_sku]])),Table28[Entity Prefab],0)),25,1,1,"Entities"))</f>
        <v>no</v>
      </c>
      <c r="CS594" s="72">
        <v>1</v>
      </c>
      <c r="CT594" s="72">
        <v>1</v>
      </c>
      <c r="CU594" s="72" t="b">
        <v>0</v>
      </c>
      <c r="DS594" t="s">
        <v>242</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row>
    <row r="595" spans="2:133" x14ac:dyDescent="0.25">
      <c r="B595" s="73" t="s">
        <v>244</v>
      </c>
      <c r="C595">
        <v>1</v>
      </c>
      <c r="D595">
        <v>250</v>
      </c>
      <c r="E595">
        <v>90</v>
      </c>
      <c r="F595" s="75">
        <f ca="1">INDIRECT(ADDRESS(11+(MATCH(RIGHT(Table245[[#This Row],[spawner_sku]],LEN(Table245[[#This Row],[spawner_sku]])-FIND("/",Table245[[#This Row],[spawner_sku]])),Table1[Entity Prefab],0)),10,1,1,"Entities"))</f>
        <v>50</v>
      </c>
      <c r="G595" s="75">
        <f ca="1">ROUND((Table245[[#This Row],[XP]]*Table245[[#This Row],[entity_spawned (AVG)]])*(Table245[[#This Row],[activating_chance]]/100),0)</f>
        <v>45</v>
      </c>
      <c r="H595" s="72" t="str">
        <f ca="1">INDIRECT(ADDRESS(11+(MATCH(RIGHT(Table245[[#This Row],[spawner_sku]],LEN(Table245[[#This Row],[spawner_sku]])-FIND("/",Table245[[#This Row],[spawner_sku]])),Table28[Entity Prefab],0)),24,1,1,"Entities"))</f>
        <v>no</v>
      </c>
      <c r="I595" s="72">
        <v>1</v>
      </c>
      <c r="J595" s="72">
        <v>1</v>
      </c>
      <c r="K595" s="72" t="b">
        <v>0</v>
      </c>
      <c r="CL595" t="s">
        <v>244</v>
      </c>
      <c r="CM595">
        <v>1</v>
      </c>
      <c r="CN595">
        <v>120</v>
      </c>
      <c r="CO595">
        <v>100</v>
      </c>
      <c r="CP595" s="75">
        <f ca="1">INDIRECT(ADDRESS(11+(MATCH(RIGHT(Table11[[#This Row],[spawner_sku]],LEN(Table11[[#This Row],[spawner_sku]])-FIND("/",Table11[[#This Row],[spawner_sku]])),Table1[Entity Prefab],0)),10,1,1,"Entities"))</f>
        <v>50</v>
      </c>
      <c r="CQ595">
        <f ca="1">ROUND((Table11[[#This Row],[XP]]*Table11[[#This Row],[entity_spawned (AVG)]])*(Table11[[#This Row],[activating_chance]]/100),0)</f>
        <v>50</v>
      </c>
      <c r="CR595" s="145" t="str">
        <f ca="1">INDIRECT(ADDRESS(11+(MATCH(RIGHT(Table11[[#This Row],[spawner_sku]],LEN(Table11[[#This Row],[spawner_sku]])-FIND("/",Table11[[#This Row],[spawner_sku]])),Table28[Entity Prefab],0)),25,1,1,"Entities"))</f>
        <v>no</v>
      </c>
      <c r="CS595" s="72">
        <v>1</v>
      </c>
      <c r="CT595" s="72">
        <v>1</v>
      </c>
      <c r="CU595" s="72" t="b">
        <v>0</v>
      </c>
      <c r="DS595" t="s">
        <v>242</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row>
    <row r="596" spans="2:133" x14ac:dyDescent="0.25">
      <c r="B596" s="73" t="s">
        <v>244</v>
      </c>
      <c r="C596">
        <v>1</v>
      </c>
      <c r="D596">
        <v>240</v>
      </c>
      <c r="E596">
        <v>100</v>
      </c>
      <c r="F596" s="75">
        <f ca="1">INDIRECT(ADDRESS(11+(MATCH(RIGHT(Table245[[#This Row],[spawner_sku]],LEN(Table245[[#This Row],[spawner_sku]])-FIND("/",Table245[[#This Row],[spawner_sku]])),Table1[Entity Prefab],0)),10,1,1,"Entities"))</f>
        <v>50</v>
      </c>
      <c r="G596" s="75">
        <f ca="1">ROUND((Table245[[#This Row],[XP]]*Table245[[#This Row],[entity_spawned (AVG)]])*(Table245[[#This Row],[activating_chance]]/100),0)</f>
        <v>50</v>
      </c>
      <c r="H596" s="72" t="str">
        <f ca="1">INDIRECT(ADDRESS(11+(MATCH(RIGHT(Table245[[#This Row],[spawner_sku]],LEN(Table245[[#This Row],[spawner_sku]])-FIND("/",Table245[[#This Row],[spawner_sku]])),Table28[Entity Prefab],0)),24,1,1,"Entities"))</f>
        <v>no</v>
      </c>
      <c r="I596" s="72">
        <v>1</v>
      </c>
      <c r="J596" s="72">
        <v>1</v>
      </c>
      <c r="K596" s="72" t="b">
        <v>0</v>
      </c>
      <c r="CL596" t="s">
        <v>244</v>
      </c>
      <c r="CM596">
        <v>1</v>
      </c>
      <c r="CN596">
        <v>120</v>
      </c>
      <c r="CO596">
        <v>30</v>
      </c>
      <c r="CP596" s="75">
        <f ca="1">INDIRECT(ADDRESS(11+(MATCH(RIGHT(Table11[[#This Row],[spawner_sku]],LEN(Table11[[#This Row],[spawner_sku]])-FIND("/",Table11[[#This Row],[spawner_sku]])),Table1[Entity Prefab],0)),10,1,1,"Entities"))</f>
        <v>50</v>
      </c>
      <c r="CQ596">
        <f ca="1">ROUND((Table11[[#This Row],[XP]]*Table11[[#This Row],[entity_spawned (AVG)]])*(Table11[[#This Row],[activating_chance]]/100),0)</f>
        <v>15</v>
      </c>
      <c r="CR596" s="145" t="str">
        <f ca="1">INDIRECT(ADDRESS(11+(MATCH(RIGHT(Table11[[#This Row],[spawner_sku]],LEN(Table11[[#This Row],[spawner_sku]])-FIND("/",Table11[[#This Row],[spawner_sku]])),Table28[Entity Prefab],0)),25,1,1,"Entities"))</f>
        <v>no</v>
      </c>
      <c r="CS596" s="72">
        <v>1</v>
      </c>
      <c r="CT596" s="72">
        <v>1</v>
      </c>
      <c r="CU596" s="72" t="b">
        <v>0</v>
      </c>
      <c r="DS596" t="s">
        <v>242</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row>
    <row r="597" spans="2:133" x14ac:dyDescent="0.25">
      <c r="B597" s="73" t="s">
        <v>244</v>
      </c>
      <c r="C597">
        <v>1</v>
      </c>
      <c r="D597">
        <v>250</v>
      </c>
      <c r="E597">
        <v>30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15</v>
      </c>
      <c r="H597" s="72" t="str">
        <f ca="1">INDIRECT(ADDRESS(11+(MATCH(RIGHT(Table245[[#This Row],[spawner_sku]],LEN(Table245[[#This Row],[spawner_sku]])-FIND("/",Table245[[#This Row],[spawner_sku]])),Table28[Entity Prefab],0)),24,1,1,"Entities"))</f>
        <v>no</v>
      </c>
      <c r="I597" s="72">
        <v>1</v>
      </c>
      <c r="J597" s="72">
        <v>1</v>
      </c>
      <c r="K597" s="72" t="b">
        <v>0</v>
      </c>
      <c r="CL597" t="s">
        <v>244</v>
      </c>
      <c r="CM597">
        <v>1</v>
      </c>
      <c r="CN597">
        <v>120</v>
      </c>
      <c r="CO597">
        <v>30</v>
      </c>
      <c r="CP597" s="75">
        <f ca="1">INDIRECT(ADDRESS(11+(MATCH(RIGHT(Table11[[#This Row],[spawner_sku]],LEN(Table11[[#This Row],[spawner_sku]])-FIND("/",Table11[[#This Row],[spawner_sku]])),Table1[Entity Prefab],0)),10,1,1,"Entities"))</f>
        <v>50</v>
      </c>
      <c r="CQ597">
        <f ca="1">ROUND((Table11[[#This Row],[XP]]*Table11[[#This Row],[entity_spawned (AVG)]])*(Table11[[#This Row],[activating_chance]]/100),0)</f>
        <v>15</v>
      </c>
      <c r="CR597" s="145" t="str">
        <f ca="1">INDIRECT(ADDRESS(11+(MATCH(RIGHT(Table11[[#This Row],[spawner_sku]],LEN(Table11[[#This Row],[spawner_sku]])-FIND("/",Table11[[#This Row],[spawner_sku]])),Table28[Entity Prefab],0)),25,1,1,"Entities"))</f>
        <v>no</v>
      </c>
      <c r="CS597" s="72">
        <v>1</v>
      </c>
      <c r="CT597" s="72">
        <v>1</v>
      </c>
      <c r="CU597" s="72" t="b">
        <v>0</v>
      </c>
      <c r="DS597" t="s">
        <v>242</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row>
    <row r="598" spans="2:133" x14ac:dyDescent="0.25">
      <c r="B598" s="73" t="s">
        <v>244</v>
      </c>
      <c r="C598">
        <v>1</v>
      </c>
      <c r="D598">
        <v>220</v>
      </c>
      <c r="E598">
        <v>100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50</v>
      </c>
      <c r="H598" s="72" t="str">
        <f ca="1">INDIRECT(ADDRESS(11+(MATCH(RIGHT(Table245[[#This Row],[spawner_sku]],LEN(Table245[[#This Row],[spawner_sku]])-FIND("/",Table245[[#This Row],[spawner_sku]])),Table28[Entity Prefab],0)),24,1,1,"Entities"))</f>
        <v>no</v>
      </c>
      <c r="I598" s="72">
        <v>1</v>
      </c>
      <c r="J598" s="72">
        <v>1</v>
      </c>
      <c r="K598" s="72" t="b">
        <v>0</v>
      </c>
      <c r="CL598" t="s">
        <v>376</v>
      </c>
      <c r="CM598">
        <v>1</v>
      </c>
      <c r="CN598">
        <v>220</v>
      </c>
      <c r="CO598">
        <v>100</v>
      </c>
      <c r="CP598" s="75">
        <f ca="1">INDIRECT(ADDRESS(11+(MATCH(RIGHT(Table11[[#This Row],[spawner_sku]],LEN(Table11[[#This Row],[spawner_sku]])-FIND("/",Table11[[#This Row],[spawner_sku]])),Table1[Entity Prefab],0)),10,1,1,"Entities"))</f>
        <v>50</v>
      </c>
      <c r="CQ598">
        <f ca="1">ROUND((Table11[[#This Row],[XP]]*Table11[[#This Row],[entity_spawned (AVG)]])*(Table11[[#This Row],[activating_chance]]/100),0)</f>
        <v>50</v>
      </c>
      <c r="CR598" s="145" t="str">
        <f ca="1">INDIRECT(ADDRESS(11+(MATCH(RIGHT(Table11[[#This Row],[spawner_sku]],LEN(Table11[[#This Row],[spawner_sku]])-FIND("/",Table11[[#This Row],[spawner_sku]])),Table28[Entity Prefab],0)),25,1,1,"Entities"))</f>
        <v>no</v>
      </c>
      <c r="CS598" s="72">
        <v>1</v>
      </c>
      <c r="CT598" s="72">
        <v>1</v>
      </c>
      <c r="CU598" s="72" t="b">
        <v>0</v>
      </c>
      <c r="DS598" t="s">
        <v>242</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row>
    <row r="599" spans="2:133" x14ac:dyDescent="0.25">
      <c r="B599" s="73" t="s">
        <v>244</v>
      </c>
      <c r="C599">
        <v>1</v>
      </c>
      <c r="D599">
        <v>240</v>
      </c>
      <c r="E599">
        <v>30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CL599" t="s">
        <v>376</v>
      </c>
      <c r="CM599">
        <v>1</v>
      </c>
      <c r="CN599">
        <v>220</v>
      </c>
      <c r="CO599">
        <v>100</v>
      </c>
      <c r="CP599" s="75">
        <f ca="1">INDIRECT(ADDRESS(11+(MATCH(RIGHT(Table11[[#This Row],[spawner_sku]],LEN(Table11[[#This Row],[spawner_sku]])-FIND("/",Table11[[#This Row],[spawner_sku]])),Table1[Entity Prefab],0)),10,1,1,"Entities"))</f>
        <v>50</v>
      </c>
      <c r="CQ599">
        <f ca="1">ROUND((Table11[[#This Row],[XP]]*Table11[[#This Row],[entity_spawned (AVG)]])*(Table11[[#This Row],[activating_chance]]/100),0)</f>
        <v>50</v>
      </c>
      <c r="CR599" s="145" t="str">
        <f ca="1">INDIRECT(ADDRESS(11+(MATCH(RIGHT(Table11[[#This Row],[spawner_sku]],LEN(Table11[[#This Row],[spawner_sku]])-FIND("/",Table11[[#This Row],[spawner_sku]])),Table28[Entity Prefab],0)),25,1,1,"Entities"))</f>
        <v>no</v>
      </c>
      <c r="CS599" s="72">
        <v>1</v>
      </c>
      <c r="CT599" s="72">
        <v>1</v>
      </c>
      <c r="CU599" s="72" t="b">
        <v>0</v>
      </c>
      <c r="DS599" t="s">
        <v>242</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row>
    <row r="600" spans="2:133" x14ac:dyDescent="0.25">
      <c r="B600" s="73" t="s">
        <v>244</v>
      </c>
      <c r="C600">
        <v>1</v>
      </c>
      <c r="D600">
        <v>90</v>
      </c>
      <c r="E600">
        <v>100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50</v>
      </c>
      <c r="H600" s="72" t="str">
        <f ca="1">INDIRECT(ADDRESS(11+(MATCH(RIGHT(Table245[[#This Row],[spawner_sku]],LEN(Table245[[#This Row],[spawner_sku]])-FIND("/",Table245[[#This Row],[spawner_sku]])),Table28[Entity Prefab],0)),24,1,1,"Entities"))</f>
        <v>no</v>
      </c>
      <c r="I600" s="72">
        <v>1</v>
      </c>
      <c r="J600" s="72">
        <v>1</v>
      </c>
      <c r="K600" s="72" t="b">
        <v>0</v>
      </c>
      <c r="CL600" t="s">
        <v>376</v>
      </c>
      <c r="CM600">
        <v>1</v>
      </c>
      <c r="CN600">
        <v>220</v>
      </c>
      <c r="CO600">
        <v>100</v>
      </c>
      <c r="CP600" s="75">
        <f ca="1">INDIRECT(ADDRESS(11+(MATCH(RIGHT(Table11[[#This Row],[spawner_sku]],LEN(Table11[[#This Row],[spawner_sku]])-FIND("/",Table11[[#This Row],[spawner_sku]])),Table1[Entity Prefab],0)),10,1,1,"Entities"))</f>
        <v>50</v>
      </c>
      <c r="CQ600">
        <f ca="1">ROUND((Table11[[#This Row],[XP]]*Table11[[#This Row],[entity_spawned (AVG)]])*(Table11[[#This Row],[activating_chance]]/100),0)</f>
        <v>50</v>
      </c>
      <c r="CR600" s="145" t="str">
        <f ca="1">INDIRECT(ADDRESS(11+(MATCH(RIGHT(Table11[[#This Row],[spawner_sku]],LEN(Table11[[#This Row],[spawner_sku]])-FIND("/",Table11[[#This Row],[spawner_sku]])),Table28[Entity Prefab],0)),25,1,1,"Entities"))</f>
        <v>no</v>
      </c>
      <c r="CS600" s="72">
        <v>1</v>
      </c>
      <c r="CT600" s="72">
        <v>1</v>
      </c>
      <c r="CU600" s="72" t="b">
        <v>0</v>
      </c>
      <c r="DS600" t="s">
        <v>242</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row>
    <row r="601" spans="2:133" x14ac:dyDescent="0.25">
      <c r="B601" s="73" t="s">
        <v>244</v>
      </c>
      <c r="C601">
        <v>1</v>
      </c>
      <c r="D601">
        <v>240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CL601" t="s">
        <v>322</v>
      </c>
      <c r="CM601">
        <v>1</v>
      </c>
      <c r="CN601">
        <v>120</v>
      </c>
      <c r="CO601">
        <v>100</v>
      </c>
      <c r="CP601" s="75">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5" t="str">
        <f ca="1">INDIRECT(ADDRESS(11+(MATCH(RIGHT(Table11[[#This Row],[spawner_sku]],LEN(Table11[[#This Row],[spawner_sku]])-FIND("/",Table11[[#This Row],[spawner_sku]])),Table28[Entity Prefab],0)),25,1,1,"Entities"))</f>
        <v>no</v>
      </c>
      <c r="CS601" s="72">
        <v>1</v>
      </c>
      <c r="CT601" s="72">
        <v>1</v>
      </c>
      <c r="CU601" s="72" t="b">
        <v>0</v>
      </c>
      <c r="DS601" t="s">
        <v>242</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row>
    <row r="602" spans="2:133" x14ac:dyDescent="0.25">
      <c r="B602" s="73" t="s">
        <v>244</v>
      </c>
      <c r="C602">
        <v>1</v>
      </c>
      <c r="D602">
        <v>230</v>
      </c>
      <c r="E602">
        <v>100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50</v>
      </c>
      <c r="H602" s="72" t="str">
        <f ca="1">INDIRECT(ADDRESS(11+(MATCH(RIGHT(Table245[[#This Row],[spawner_sku]],LEN(Table245[[#This Row],[spawner_sku]])-FIND("/",Table245[[#This Row],[spawner_sku]])),Table28[Entity Prefab],0)),24,1,1,"Entities"))</f>
        <v>no</v>
      </c>
      <c r="I602" s="72">
        <v>1</v>
      </c>
      <c r="J602" s="72">
        <v>1</v>
      </c>
      <c r="K602" s="72" t="b">
        <v>0</v>
      </c>
      <c r="CL602" t="s">
        <v>322</v>
      </c>
      <c r="CM602">
        <v>1</v>
      </c>
      <c r="CN602">
        <v>120</v>
      </c>
      <c r="CO602">
        <v>100</v>
      </c>
      <c r="CP602" s="75">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5" t="str">
        <f ca="1">INDIRECT(ADDRESS(11+(MATCH(RIGHT(Table11[[#This Row],[spawner_sku]],LEN(Table11[[#This Row],[spawner_sku]])-FIND("/",Table11[[#This Row],[spawner_sku]])),Table28[Entity Prefab],0)),25,1,1,"Entities"))</f>
        <v>no</v>
      </c>
      <c r="CS602" s="72">
        <v>1</v>
      </c>
      <c r="CT602" s="72">
        <v>1</v>
      </c>
      <c r="CU602" s="72" t="b">
        <v>0</v>
      </c>
      <c r="DS602" t="s">
        <v>242</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row>
    <row r="603" spans="2:133" x14ac:dyDescent="0.25">
      <c r="B603" s="73" t="s">
        <v>376</v>
      </c>
      <c r="C603">
        <v>1</v>
      </c>
      <c r="D603">
        <v>220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CL603" t="s">
        <v>322</v>
      </c>
      <c r="CM603">
        <v>1</v>
      </c>
      <c r="CN603">
        <v>120</v>
      </c>
      <c r="CO603">
        <v>100</v>
      </c>
      <c r="CP603" s="75">
        <f ca="1">INDIRECT(ADDRESS(11+(MATCH(RIGHT(Table11[[#This Row],[spawner_sku]],LEN(Table11[[#This Row],[spawner_sku]])-FIND("/",Table11[[#This Row],[spawner_sku]])),Table1[Entity Prefab],0)),10,1,1,"Entities"))</f>
        <v>50</v>
      </c>
      <c r="CQ603">
        <f ca="1">ROUND((Table11[[#This Row],[XP]]*Table11[[#This Row],[entity_spawned (AVG)]])*(Table11[[#This Row],[activating_chance]]/100),0)</f>
        <v>50</v>
      </c>
      <c r="CR603" s="145" t="str">
        <f ca="1">INDIRECT(ADDRESS(11+(MATCH(RIGHT(Table11[[#This Row],[spawner_sku]],LEN(Table11[[#This Row],[spawner_sku]])-FIND("/",Table11[[#This Row],[spawner_sku]])),Table28[Entity Prefab],0)),25,1,1,"Entities"))</f>
        <v>no</v>
      </c>
      <c r="CS603" s="72">
        <v>1</v>
      </c>
      <c r="CT603" s="72">
        <v>1</v>
      </c>
      <c r="CU603" s="72" t="b">
        <v>0</v>
      </c>
      <c r="DS603" t="s">
        <v>242</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row>
    <row r="604" spans="2:133" x14ac:dyDescent="0.25">
      <c r="B604" s="73" t="s">
        <v>376</v>
      </c>
      <c r="C604">
        <v>1</v>
      </c>
      <c r="D604">
        <v>220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CL604" t="s">
        <v>322</v>
      </c>
      <c r="CM604">
        <v>1</v>
      </c>
      <c r="CN604">
        <v>120</v>
      </c>
      <c r="CO604">
        <v>50</v>
      </c>
      <c r="CP604" s="75">
        <f ca="1">INDIRECT(ADDRESS(11+(MATCH(RIGHT(Table11[[#This Row],[spawner_sku]],LEN(Table11[[#This Row],[spawner_sku]])-FIND("/",Table11[[#This Row],[spawner_sku]])),Table1[Entity Prefab],0)),10,1,1,"Entities"))</f>
        <v>50</v>
      </c>
      <c r="CQ604">
        <f ca="1">ROUND((Table11[[#This Row],[XP]]*Table11[[#This Row],[entity_spawned (AVG)]])*(Table11[[#This Row],[activating_chance]]/100),0)</f>
        <v>25</v>
      </c>
      <c r="CR604" s="145" t="str">
        <f ca="1">INDIRECT(ADDRESS(11+(MATCH(RIGHT(Table11[[#This Row],[spawner_sku]],LEN(Table11[[#This Row],[spawner_sku]])-FIND("/",Table11[[#This Row],[spawner_sku]])),Table28[Entity Prefab],0)),25,1,1,"Entities"))</f>
        <v>no</v>
      </c>
      <c r="CS604" s="72">
        <v>1</v>
      </c>
      <c r="CT604" s="72">
        <v>1</v>
      </c>
      <c r="CU604" s="72" t="b">
        <v>0</v>
      </c>
      <c r="DS604" t="s">
        <v>242</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row>
    <row r="605" spans="2:133" x14ac:dyDescent="0.25">
      <c r="B605" s="73" t="s">
        <v>376</v>
      </c>
      <c r="C605">
        <v>1</v>
      </c>
      <c r="D605">
        <v>180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CL605" t="s">
        <v>322</v>
      </c>
      <c r="CM605">
        <v>1</v>
      </c>
      <c r="CN605">
        <v>120</v>
      </c>
      <c r="CO605">
        <v>60</v>
      </c>
      <c r="CP605" s="75">
        <f ca="1">INDIRECT(ADDRESS(11+(MATCH(RIGHT(Table11[[#This Row],[spawner_sku]],LEN(Table11[[#This Row],[spawner_sku]])-FIND("/",Table11[[#This Row],[spawner_sku]])),Table1[Entity Prefab],0)),10,1,1,"Entities"))</f>
        <v>50</v>
      </c>
      <c r="CQ605">
        <f ca="1">ROUND((Table11[[#This Row],[XP]]*Table11[[#This Row],[entity_spawned (AVG)]])*(Table11[[#This Row],[activating_chance]]/100),0)</f>
        <v>30</v>
      </c>
      <c r="CR605" s="145" t="str">
        <f ca="1">INDIRECT(ADDRESS(11+(MATCH(RIGHT(Table11[[#This Row],[spawner_sku]],LEN(Table11[[#This Row],[spawner_sku]])-FIND("/",Table11[[#This Row],[spawner_sku]])),Table28[Entity Prefab],0)),25,1,1,"Entities"))</f>
        <v>no</v>
      </c>
      <c r="CS605" s="72">
        <v>1</v>
      </c>
      <c r="CT605" s="72">
        <v>1</v>
      </c>
      <c r="CU605" s="72" t="b">
        <v>0</v>
      </c>
      <c r="DS605" t="s">
        <v>242</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row>
    <row r="606" spans="2:133" x14ac:dyDescent="0.25">
      <c r="B606" s="73" t="s">
        <v>376</v>
      </c>
      <c r="C606">
        <v>1</v>
      </c>
      <c r="D606">
        <v>220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CL606" t="s">
        <v>322</v>
      </c>
      <c r="CM606">
        <v>1</v>
      </c>
      <c r="CN606">
        <v>120</v>
      </c>
      <c r="CO606">
        <v>20</v>
      </c>
      <c r="CP606" s="75">
        <f ca="1">INDIRECT(ADDRESS(11+(MATCH(RIGHT(Table11[[#This Row],[spawner_sku]],LEN(Table11[[#This Row],[spawner_sku]])-FIND("/",Table11[[#This Row],[spawner_sku]])),Table1[Entity Prefab],0)),10,1,1,"Entities"))</f>
        <v>50</v>
      </c>
      <c r="CQ606">
        <f ca="1">ROUND((Table11[[#This Row],[XP]]*Table11[[#This Row],[entity_spawned (AVG)]])*(Table11[[#This Row],[activating_chance]]/100),0)</f>
        <v>10</v>
      </c>
      <c r="CR606" s="145" t="str">
        <f ca="1">INDIRECT(ADDRESS(11+(MATCH(RIGHT(Table11[[#This Row],[spawner_sku]],LEN(Table11[[#This Row],[spawner_sku]])-FIND("/",Table11[[#This Row],[spawner_sku]])),Table28[Entity Prefab],0)),25,1,1,"Entities"))</f>
        <v>no</v>
      </c>
      <c r="CS606" s="72">
        <v>1</v>
      </c>
      <c r="CT606" s="72">
        <v>1</v>
      </c>
      <c r="CU606" s="72" t="b">
        <v>0</v>
      </c>
      <c r="DS606" t="s">
        <v>242</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row>
    <row r="607" spans="2:133" x14ac:dyDescent="0.25">
      <c r="B607" s="73" t="s">
        <v>376</v>
      </c>
      <c r="C607">
        <v>1</v>
      </c>
      <c r="D607">
        <v>220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CL607" t="s">
        <v>322</v>
      </c>
      <c r="CM607">
        <v>1</v>
      </c>
      <c r="CN607">
        <v>120</v>
      </c>
      <c r="CO607">
        <v>80</v>
      </c>
      <c r="CP607" s="75">
        <f ca="1">INDIRECT(ADDRESS(11+(MATCH(RIGHT(Table11[[#This Row],[spawner_sku]],LEN(Table11[[#This Row],[spawner_sku]])-FIND("/",Table11[[#This Row],[spawner_sku]])),Table1[Entity Prefab],0)),10,1,1,"Entities"))</f>
        <v>50</v>
      </c>
      <c r="CQ607">
        <f ca="1">ROUND((Table11[[#This Row],[XP]]*Table11[[#This Row],[entity_spawned (AVG)]])*(Table11[[#This Row],[activating_chance]]/100),0)</f>
        <v>40</v>
      </c>
      <c r="CR607" s="145" t="str">
        <f ca="1">INDIRECT(ADDRESS(11+(MATCH(RIGHT(Table11[[#This Row],[spawner_sku]],LEN(Table11[[#This Row],[spawner_sku]])-FIND("/",Table11[[#This Row],[spawner_sku]])),Table28[Entity Prefab],0)),25,1,1,"Entities"))</f>
        <v>no</v>
      </c>
      <c r="CS607" s="72">
        <v>1</v>
      </c>
      <c r="CT607" s="72">
        <v>1</v>
      </c>
      <c r="CU607" s="72" t="b">
        <v>0</v>
      </c>
      <c r="DS607" t="s">
        <v>242</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row>
    <row r="608" spans="2:133" x14ac:dyDescent="0.25">
      <c r="B608" s="73" t="s">
        <v>376</v>
      </c>
      <c r="C608">
        <v>1</v>
      </c>
      <c r="D608">
        <v>220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CL608" t="s">
        <v>322</v>
      </c>
      <c r="CM608">
        <v>1</v>
      </c>
      <c r="CN608">
        <v>120</v>
      </c>
      <c r="CO608">
        <v>100</v>
      </c>
      <c r="CP608" s="75">
        <f ca="1">INDIRECT(ADDRESS(11+(MATCH(RIGHT(Table11[[#This Row],[spawner_sku]],LEN(Table11[[#This Row],[spawner_sku]])-FIND("/",Table11[[#This Row],[spawner_sku]])),Table1[Entity Prefab],0)),10,1,1,"Entities"))</f>
        <v>50</v>
      </c>
      <c r="CQ608">
        <f ca="1">ROUND((Table11[[#This Row],[XP]]*Table11[[#This Row],[entity_spawned (AVG)]])*(Table11[[#This Row],[activating_chance]]/100),0)</f>
        <v>50</v>
      </c>
      <c r="CR608" s="145" t="str">
        <f ca="1">INDIRECT(ADDRESS(11+(MATCH(RIGHT(Table11[[#This Row],[spawner_sku]],LEN(Table11[[#This Row],[spawner_sku]])-FIND("/",Table11[[#This Row],[spawner_sku]])),Table28[Entity Prefab],0)),25,1,1,"Entities"))</f>
        <v>no</v>
      </c>
      <c r="CS608" s="72">
        <v>1</v>
      </c>
      <c r="CT608" s="72">
        <v>1</v>
      </c>
      <c r="CU608" s="72" t="b">
        <v>0</v>
      </c>
      <c r="DS608" t="s">
        <v>242</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row>
    <row r="609" spans="2:133" x14ac:dyDescent="0.25">
      <c r="B609" s="73" t="s">
        <v>376</v>
      </c>
      <c r="C609">
        <v>1</v>
      </c>
      <c r="D609">
        <v>240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CL609" t="s">
        <v>322</v>
      </c>
      <c r="CM609">
        <v>1</v>
      </c>
      <c r="CN609">
        <v>120</v>
      </c>
      <c r="CO609">
        <v>50</v>
      </c>
      <c r="CP609" s="75">
        <f ca="1">INDIRECT(ADDRESS(11+(MATCH(RIGHT(Table11[[#This Row],[spawner_sku]],LEN(Table11[[#This Row],[spawner_sku]])-FIND("/",Table11[[#This Row],[spawner_sku]])),Table1[Entity Prefab],0)),10,1,1,"Entities"))</f>
        <v>50</v>
      </c>
      <c r="CQ609">
        <f ca="1">ROUND((Table11[[#This Row],[XP]]*Table11[[#This Row],[entity_spawned (AVG)]])*(Table11[[#This Row],[activating_chance]]/100),0)</f>
        <v>25</v>
      </c>
      <c r="CR609" s="145" t="str">
        <f ca="1">INDIRECT(ADDRESS(11+(MATCH(RIGHT(Table11[[#This Row],[spawner_sku]],LEN(Table11[[#This Row],[spawner_sku]])-FIND("/",Table11[[#This Row],[spawner_sku]])),Table28[Entity Prefab],0)),25,1,1,"Entities"))</f>
        <v>no</v>
      </c>
      <c r="CS609" s="72">
        <v>1</v>
      </c>
      <c r="CT609" s="72">
        <v>1</v>
      </c>
      <c r="CU609" s="72" t="b">
        <v>0</v>
      </c>
      <c r="DS609" t="s">
        <v>242</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row>
    <row r="610" spans="2:133" x14ac:dyDescent="0.25">
      <c r="B610" s="73" t="s">
        <v>322</v>
      </c>
      <c r="C610">
        <v>1</v>
      </c>
      <c r="D610">
        <v>250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CL610" t="s">
        <v>322</v>
      </c>
      <c r="CM610">
        <v>1</v>
      </c>
      <c r="CN610">
        <v>120</v>
      </c>
      <c r="CO610">
        <v>80</v>
      </c>
      <c r="CP610" s="75">
        <f ca="1">INDIRECT(ADDRESS(11+(MATCH(RIGHT(Table11[[#This Row],[spawner_sku]],LEN(Table11[[#This Row],[spawner_sku]])-FIND("/",Table11[[#This Row],[spawner_sku]])),Table1[Entity Prefab],0)),10,1,1,"Entities"))</f>
        <v>50</v>
      </c>
      <c r="CQ610">
        <f ca="1">ROUND((Table11[[#This Row],[XP]]*Table11[[#This Row],[entity_spawned (AVG)]])*(Table11[[#This Row],[activating_chance]]/100),0)</f>
        <v>40</v>
      </c>
      <c r="CR610" s="145" t="str">
        <f ca="1">INDIRECT(ADDRESS(11+(MATCH(RIGHT(Table11[[#This Row],[spawner_sku]],LEN(Table11[[#This Row],[spawner_sku]])-FIND("/",Table11[[#This Row],[spawner_sku]])),Table28[Entity Prefab],0)),25,1,1,"Entities"))</f>
        <v>no</v>
      </c>
      <c r="CS610" s="72">
        <v>1</v>
      </c>
      <c r="CT610" s="72">
        <v>1</v>
      </c>
      <c r="CU610" s="72" t="b">
        <v>0</v>
      </c>
      <c r="DS610" t="s">
        <v>242</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row>
    <row r="611" spans="2:133" x14ac:dyDescent="0.25">
      <c r="B611" s="73" t="s">
        <v>322</v>
      </c>
      <c r="C611">
        <v>1</v>
      </c>
      <c r="D611">
        <v>240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CL611" t="s">
        <v>322</v>
      </c>
      <c r="CM611">
        <v>1</v>
      </c>
      <c r="CN611">
        <v>120</v>
      </c>
      <c r="CO611">
        <v>100</v>
      </c>
      <c r="CP611" s="75">
        <f ca="1">INDIRECT(ADDRESS(11+(MATCH(RIGHT(Table11[[#This Row],[spawner_sku]],LEN(Table11[[#This Row],[spawner_sku]])-FIND("/",Table11[[#This Row],[spawner_sku]])),Table1[Entity Prefab],0)),10,1,1,"Entities"))</f>
        <v>50</v>
      </c>
      <c r="CQ611">
        <f ca="1">ROUND((Table11[[#This Row],[XP]]*Table11[[#This Row],[entity_spawned (AVG)]])*(Table11[[#This Row],[activating_chance]]/100),0)</f>
        <v>50</v>
      </c>
      <c r="CR611" s="145" t="str">
        <f ca="1">INDIRECT(ADDRESS(11+(MATCH(RIGHT(Table11[[#This Row],[spawner_sku]],LEN(Table11[[#This Row],[spawner_sku]])-FIND("/",Table11[[#This Row],[spawner_sku]])),Table28[Entity Prefab],0)),25,1,1,"Entities"))</f>
        <v>no</v>
      </c>
      <c r="CS611" s="72">
        <v>1</v>
      </c>
      <c r="CT611" s="72">
        <v>1</v>
      </c>
      <c r="CU611" s="72" t="b">
        <v>0</v>
      </c>
      <c r="DS611" t="s">
        <v>242</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row>
    <row r="612" spans="2:133" x14ac:dyDescent="0.25">
      <c r="B612" s="73" t="s">
        <v>432</v>
      </c>
      <c r="C612">
        <v>1</v>
      </c>
      <c r="D612">
        <v>180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CL612" t="s">
        <v>322</v>
      </c>
      <c r="CM612">
        <v>1</v>
      </c>
      <c r="CN612">
        <v>120</v>
      </c>
      <c r="CO612">
        <v>100</v>
      </c>
      <c r="CP612" s="75">
        <f ca="1">INDIRECT(ADDRESS(11+(MATCH(RIGHT(Table11[[#This Row],[spawner_sku]],LEN(Table11[[#This Row],[spawner_sku]])-FIND("/",Table11[[#This Row],[spawner_sku]])),Table1[Entity Prefab],0)),10,1,1,"Entities"))</f>
        <v>50</v>
      </c>
      <c r="CQ612">
        <f ca="1">ROUND((Table11[[#This Row],[XP]]*Table11[[#This Row],[entity_spawned (AVG)]])*(Table11[[#This Row],[activating_chance]]/100),0)</f>
        <v>50</v>
      </c>
      <c r="CR612" s="145" t="str">
        <f ca="1">INDIRECT(ADDRESS(11+(MATCH(RIGHT(Table11[[#This Row],[spawner_sku]],LEN(Table11[[#This Row],[spawner_sku]])-FIND("/",Table11[[#This Row],[spawner_sku]])),Table28[Entity Prefab],0)),25,1,1,"Entities"))</f>
        <v>no</v>
      </c>
      <c r="CS612" s="72">
        <v>1</v>
      </c>
      <c r="CT612" s="72">
        <v>1</v>
      </c>
      <c r="CU612" s="72" t="b">
        <v>0</v>
      </c>
      <c r="DS612" t="s">
        <v>242</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row>
    <row r="613" spans="2:133" x14ac:dyDescent="0.25">
      <c r="B613" s="73" t="s">
        <v>487</v>
      </c>
      <c r="C613">
        <v>1</v>
      </c>
      <c r="D613">
        <v>220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CL613" t="s">
        <v>322</v>
      </c>
      <c r="CM613">
        <v>1</v>
      </c>
      <c r="CN613">
        <v>120</v>
      </c>
      <c r="CO613">
        <v>60</v>
      </c>
      <c r="CP613" s="75">
        <f ca="1">INDIRECT(ADDRESS(11+(MATCH(RIGHT(Table11[[#This Row],[spawner_sku]],LEN(Table11[[#This Row],[spawner_sku]])-FIND("/",Table11[[#This Row],[spawner_sku]])),Table1[Entity Prefab],0)),10,1,1,"Entities"))</f>
        <v>50</v>
      </c>
      <c r="CQ613">
        <f ca="1">ROUND((Table11[[#This Row],[XP]]*Table11[[#This Row],[entity_spawned (AVG)]])*(Table11[[#This Row],[activating_chance]]/100),0)</f>
        <v>30</v>
      </c>
      <c r="CR613" s="145" t="str">
        <f ca="1">INDIRECT(ADDRESS(11+(MATCH(RIGHT(Table11[[#This Row],[spawner_sku]],LEN(Table11[[#This Row],[spawner_sku]])-FIND("/",Table11[[#This Row],[spawner_sku]])),Table28[Entity Prefab],0)),25,1,1,"Entities"))</f>
        <v>no</v>
      </c>
      <c r="CS613" s="72">
        <v>1</v>
      </c>
      <c r="CT613" s="72">
        <v>1</v>
      </c>
      <c r="CU613" s="72" t="b">
        <v>0</v>
      </c>
      <c r="DS613" t="s">
        <v>242</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row>
    <row r="614" spans="2:133" x14ac:dyDescent="0.25">
      <c r="B614" s="73" t="s">
        <v>487</v>
      </c>
      <c r="C614">
        <v>1</v>
      </c>
      <c r="D614">
        <v>220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CL614" t="s">
        <v>322</v>
      </c>
      <c r="CM614">
        <v>1</v>
      </c>
      <c r="CN614">
        <v>110</v>
      </c>
      <c r="CO614">
        <v>20</v>
      </c>
      <c r="CP614" s="75">
        <f ca="1">INDIRECT(ADDRESS(11+(MATCH(RIGHT(Table11[[#This Row],[spawner_sku]],LEN(Table11[[#This Row],[spawner_sku]])-FIND("/",Table11[[#This Row],[spawner_sku]])),Table1[Entity Prefab],0)),10,1,1,"Entities"))</f>
        <v>50</v>
      </c>
      <c r="CQ614">
        <f ca="1">ROUND((Table11[[#This Row],[XP]]*Table11[[#This Row],[entity_spawned (AVG)]])*(Table11[[#This Row],[activating_chance]]/100),0)</f>
        <v>10</v>
      </c>
      <c r="CR614" s="145" t="str">
        <f ca="1">INDIRECT(ADDRESS(11+(MATCH(RIGHT(Table11[[#This Row],[spawner_sku]],LEN(Table11[[#This Row],[spawner_sku]])-FIND("/",Table11[[#This Row],[spawner_sku]])),Table28[Entity Prefab],0)),25,1,1,"Entities"))</f>
        <v>no</v>
      </c>
      <c r="CS614" s="72">
        <v>1</v>
      </c>
      <c r="CT614" s="72">
        <v>1</v>
      </c>
      <c r="CU614" s="72" t="b">
        <v>0</v>
      </c>
      <c r="DS614" t="s">
        <v>242</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row>
    <row r="615" spans="2:133" x14ac:dyDescent="0.25">
      <c r="B615" s="73" t="s">
        <v>487</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CL615" t="s">
        <v>322</v>
      </c>
      <c r="CM615">
        <v>1</v>
      </c>
      <c r="CN615">
        <v>120</v>
      </c>
      <c r="CO615">
        <v>80</v>
      </c>
      <c r="CP615" s="75">
        <f ca="1">INDIRECT(ADDRESS(11+(MATCH(RIGHT(Table11[[#This Row],[spawner_sku]],LEN(Table11[[#This Row],[spawner_sku]])-FIND("/",Table11[[#This Row],[spawner_sku]])),Table1[Entity Prefab],0)),10,1,1,"Entities"))</f>
        <v>50</v>
      </c>
      <c r="CQ615">
        <f ca="1">ROUND((Table11[[#This Row],[XP]]*Table11[[#This Row],[entity_spawned (AVG)]])*(Table11[[#This Row],[activating_chance]]/100),0)</f>
        <v>40</v>
      </c>
      <c r="CR615" s="145" t="str">
        <f ca="1">INDIRECT(ADDRESS(11+(MATCH(RIGHT(Table11[[#This Row],[spawner_sku]],LEN(Table11[[#This Row],[spawner_sku]])-FIND("/",Table11[[#This Row],[spawner_sku]])),Table28[Entity Prefab],0)),25,1,1,"Entities"))</f>
        <v>no</v>
      </c>
      <c r="CS615" s="72">
        <v>1</v>
      </c>
      <c r="CT615" s="72">
        <v>1</v>
      </c>
      <c r="CU615" s="72" t="b">
        <v>0</v>
      </c>
      <c r="DS615" t="s">
        <v>242</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row>
    <row r="616" spans="2:133" x14ac:dyDescent="0.25">
      <c r="B616" s="73" t="s">
        <v>487</v>
      </c>
      <c r="C616">
        <v>1</v>
      </c>
      <c r="D616">
        <v>220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CL616" t="s">
        <v>322</v>
      </c>
      <c r="CM616">
        <v>1</v>
      </c>
      <c r="CN616">
        <v>120</v>
      </c>
      <c r="CO616">
        <v>80</v>
      </c>
      <c r="CP616" s="75">
        <f ca="1">INDIRECT(ADDRESS(11+(MATCH(RIGHT(Table11[[#This Row],[spawner_sku]],LEN(Table11[[#This Row],[spawner_sku]])-FIND("/",Table11[[#This Row],[spawner_sku]])),Table1[Entity Prefab],0)),10,1,1,"Entities"))</f>
        <v>50</v>
      </c>
      <c r="CQ616">
        <f ca="1">ROUND((Table11[[#This Row],[XP]]*Table11[[#This Row],[entity_spawned (AVG)]])*(Table11[[#This Row],[activating_chance]]/100),0)</f>
        <v>40</v>
      </c>
      <c r="CR616" s="145" t="str">
        <f ca="1">INDIRECT(ADDRESS(11+(MATCH(RIGHT(Table11[[#This Row],[spawner_sku]],LEN(Table11[[#This Row],[spawner_sku]])-FIND("/",Table11[[#This Row],[spawner_sku]])),Table28[Entity Prefab],0)),25,1,1,"Entities"))</f>
        <v>no</v>
      </c>
      <c r="CS616" s="72">
        <v>1</v>
      </c>
      <c r="CT616" s="72">
        <v>1</v>
      </c>
      <c r="CU616" s="72" t="b">
        <v>0</v>
      </c>
      <c r="DS616" t="s">
        <v>242</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row>
    <row r="617" spans="2:133" x14ac:dyDescent="0.25">
      <c r="B617" s="73" t="s">
        <v>487</v>
      </c>
      <c r="C617">
        <v>1</v>
      </c>
      <c r="D617">
        <v>220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CL617" t="s">
        <v>322</v>
      </c>
      <c r="CM617">
        <v>1</v>
      </c>
      <c r="CN617">
        <v>120</v>
      </c>
      <c r="CO617">
        <v>50</v>
      </c>
      <c r="CP617" s="75">
        <f ca="1">INDIRECT(ADDRESS(11+(MATCH(RIGHT(Table11[[#This Row],[spawner_sku]],LEN(Table11[[#This Row],[spawner_sku]])-FIND("/",Table11[[#This Row],[spawner_sku]])),Table1[Entity Prefab],0)),10,1,1,"Entities"))</f>
        <v>50</v>
      </c>
      <c r="CQ617">
        <f ca="1">ROUND((Table11[[#This Row],[XP]]*Table11[[#This Row],[entity_spawned (AVG)]])*(Table11[[#This Row],[activating_chance]]/100),0)</f>
        <v>25</v>
      </c>
      <c r="CR617" s="145" t="str">
        <f ca="1">INDIRECT(ADDRESS(11+(MATCH(RIGHT(Table11[[#This Row],[spawner_sku]],LEN(Table11[[#This Row],[spawner_sku]])-FIND("/",Table11[[#This Row],[spawner_sku]])),Table28[Entity Prefab],0)),25,1,1,"Entities"))</f>
        <v>no</v>
      </c>
      <c r="CS617" s="72">
        <v>1</v>
      </c>
      <c r="CT617" s="72">
        <v>1</v>
      </c>
      <c r="CU617" s="72" t="b">
        <v>0</v>
      </c>
      <c r="DS617" t="s">
        <v>242</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row>
    <row r="618" spans="2:133" x14ac:dyDescent="0.25">
      <c r="B618" s="73" t="s">
        <v>487</v>
      </c>
      <c r="C618">
        <v>1</v>
      </c>
      <c r="D618">
        <v>220</v>
      </c>
      <c r="E618">
        <v>100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50</v>
      </c>
      <c r="H618" s="72" t="str">
        <f ca="1">INDIRECT(ADDRESS(11+(MATCH(RIGHT(Table245[[#This Row],[spawner_sku]],LEN(Table245[[#This Row],[spawner_sku]])-FIND("/",Table245[[#This Row],[spawner_sku]])),Table28[Entity Prefab],0)),24,1,1,"Entities"))</f>
        <v>no</v>
      </c>
      <c r="I618" s="72">
        <v>1</v>
      </c>
      <c r="J618" s="72">
        <v>1</v>
      </c>
      <c r="K618" s="72" t="b">
        <v>0</v>
      </c>
      <c r="CL618" t="s">
        <v>322</v>
      </c>
      <c r="CM618">
        <v>1</v>
      </c>
      <c r="CN618">
        <v>120</v>
      </c>
      <c r="CO618">
        <v>100</v>
      </c>
      <c r="CP618" s="75">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5" t="str">
        <f ca="1">INDIRECT(ADDRESS(11+(MATCH(RIGHT(Table11[[#This Row],[spawner_sku]],LEN(Table11[[#This Row],[spawner_sku]])-FIND("/",Table11[[#This Row],[spawner_sku]])),Table28[Entity Prefab],0)),25,1,1,"Entities"))</f>
        <v>no</v>
      </c>
      <c r="CS618" s="72">
        <v>1</v>
      </c>
      <c r="CT618" s="72">
        <v>1</v>
      </c>
      <c r="CU618" s="72" t="b">
        <v>0</v>
      </c>
      <c r="DS618" t="s">
        <v>242</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row>
    <row r="619" spans="2:133" x14ac:dyDescent="0.25">
      <c r="B619" s="73" t="s">
        <v>487</v>
      </c>
      <c r="C619">
        <v>1</v>
      </c>
      <c r="D619">
        <v>220</v>
      </c>
      <c r="E619">
        <v>100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50</v>
      </c>
      <c r="H619" s="72" t="str">
        <f ca="1">INDIRECT(ADDRESS(11+(MATCH(RIGHT(Table245[[#This Row],[spawner_sku]],LEN(Table245[[#This Row],[spawner_sku]])-FIND("/",Table245[[#This Row],[spawner_sku]])),Table28[Entity Prefab],0)),24,1,1,"Entities"))</f>
        <v>no</v>
      </c>
      <c r="I619" s="72">
        <v>1</v>
      </c>
      <c r="J619" s="72">
        <v>1</v>
      </c>
      <c r="K619" s="72" t="b">
        <v>0</v>
      </c>
      <c r="CL619" t="s">
        <v>322</v>
      </c>
      <c r="CM619">
        <v>1</v>
      </c>
      <c r="CN619">
        <v>120</v>
      </c>
      <c r="CO619">
        <v>100</v>
      </c>
      <c r="CP619" s="75">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5" t="str">
        <f ca="1">INDIRECT(ADDRESS(11+(MATCH(RIGHT(Table11[[#This Row],[spawner_sku]],LEN(Table11[[#This Row],[spawner_sku]])-FIND("/",Table11[[#This Row],[spawner_sku]])),Table28[Entity Prefab],0)),25,1,1,"Entities"))</f>
        <v>no</v>
      </c>
      <c r="CS619" s="72">
        <v>1</v>
      </c>
      <c r="CT619" s="72">
        <v>1</v>
      </c>
      <c r="CU619" s="72" t="b">
        <v>0</v>
      </c>
      <c r="DS619" t="s">
        <v>242</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row>
    <row r="620" spans="2:133" x14ac:dyDescent="0.25">
      <c r="CL620" t="s">
        <v>3819</v>
      </c>
      <c r="CM620">
        <v>1</v>
      </c>
      <c r="CN620">
        <v>120</v>
      </c>
      <c r="CO620">
        <v>100</v>
      </c>
      <c r="CP620" s="75">
        <f ca="1">INDIRECT(ADDRESS(11+(MATCH(RIGHT(Table11[[#This Row],[spawner_sku]],LEN(Table11[[#This Row],[spawner_sku]])-FIND("/",Table11[[#This Row],[spawner_sku]])),Table1[Entity Prefab],0)),10,1,1,"Entities"))</f>
        <v>50</v>
      </c>
      <c r="CQ620">
        <f ca="1">ROUND((Table11[[#This Row],[XP]]*Table11[[#This Row],[entity_spawned (AVG)]])*(Table11[[#This Row],[activating_chance]]/100),0)</f>
        <v>50</v>
      </c>
      <c r="CR620" s="145" t="str">
        <f ca="1">INDIRECT(ADDRESS(11+(MATCH(RIGHT(Table11[[#This Row],[spawner_sku]],LEN(Table11[[#This Row],[spawner_sku]])-FIND("/",Table11[[#This Row],[spawner_sku]])),Table28[Entity Prefab],0)),25,1,1,"Entities"))</f>
        <v>no</v>
      </c>
      <c r="CS620" s="72">
        <v>1</v>
      </c>
      <c r="CT620" s="72">
        <v>1</v>
      </c>
      <c r="CU620" s="72" t="b">
        <v>0</v>
      </c>
      <c r="DS620" t="s">
        <v>242</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row>
    <row r="621" spans="2:133" x14ac:dyDescent="0.25">
      <c r="CL621" t="s">
        <v>3819</v>
      </c>
      <c r="CM621">
        <v>1</v>
      </c>
      <c r="CN621">
        <v>120</v>
      </c>
      <c r="CO621">
        <v>100</v>
      </c>
      <c r="CP621" s="75">
        <f ca="1">INDIRECT(ADDRESS(11+(MATCH(RIGHT(Table11[[#This Row],[spawner_sku]],LEN(Table11[[#This Row],[spawner_sku]])-FIND("/",Table11[[#This Row],[spawner_sku]])),Table1[Entity Prefab],0)),10,1,1,"Entities"))</f>
        <v>50</v>
      </c>
      <c r="CQ621">
        <f ca="1">ROUND((Table11[[#This Row],[XP]]*Table11[[#This Row],[entity_spawned (AVG)]])*(Table11[[#This Row],[activating_chance]]/100),0)</f>
        <v>50</v>
      </c>
      <c r="CR621" s="145" t="str">
        <f ca="1">INDIRECT(ADDRESS(11+(MATCH(RIGHT(Table11[[#This Row],[spawner_sku]],LEN(Table11[[#This Row],[spawner_sku]])-FIND("/",Table11[[#This Row],[spawner_sku]])),Table28[Entity Prefab],0)),25,1,1,"Entities"))</f>
        <v>no</v>
      </c>
      <c r="CS621" s="72">
        <v>1</v>
      </c>
      <c r="CT621" s="72">
        <v>1</v>
      </c>
      <c r="CU621" s="72" t="b">
        <v>0</v>
      </c>
      <c r="DS621" t="s">
        <v>242</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row>
    <row r="622" spans="2:133" x14ac:dyDescent="0.25">
      <c r="CL622" t="s">
        <v>3819</v>
      </c>
      <c r="CM622">
        <v>1</v>
      </c>
      <c r="CN622">
        <v>120</v>
      </c>
      <c r="CO622">
        <v>80</v>
      </c>
      <c r="CP622" s="75">
        <f ca="1">INDIRECT(ADDRESS(11+(MATCH(RIGHT(Table11[[#This Row],[spawner_sku]],LEN(Table11[[#This Row],[spawner_sku]])-FIND("/",Table11[[#This Row],[spawner_sku]])),Table1[Entity Prefab],0)),10,1,1,"Entities"))</f>
        <v>50</v>
      </c>
      <c r="CQ622">
        <f ca="1">ROUND((Table11[[#This Row],[XP]]*Table11[[#This Row],[entity_spawned (AVG)]])*(Table11[[#This Row],[activating_chance]]/100),0)</f>
        <v>40</v>
      </c>
      <c r="CR622" s="145" t="str">
        <f ca="1">INDIRECT(ADDRESS(11+(MATCH(RIGHT(Table11[[#This Row],[spawner_sku]],LEN(Table11[[#This Row],[spawner_sku]])-FIND("/",Table11[[#This Row],[spawner_sku]])),Table28[Entity Prefab],0)),25,1,1,"Entities"))</f>
        <v>no</v>
      </c>
      <c r="CS622" s="72">
        <v>1</v>
      </c>
      <c r="CT622" s="72">
        <v>1</v>
      </c>
      <c r="CU622" s="72" t="b">
        <v>0</v>
      </c>
      <c r="DS622" t="s">
        <v>242</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row>
    <row r="623" spans="2:133" x14ac:dyDescent="0.25">
      <c r="CL623" t="s">
        <v>3819</v>
      </c>
      <c r="CM623">
        <v>1</v>
      </c>
      <c r="CN623">
        <v>120</v>
      </c>
      <c r="CO623">
        <v>100</v>
      </c>
      <c r="CP623" s="75">
        <f ca="1">INDIRECT(ADDRESS(11+(MATCH(RIGHT(Table11[[#This Row],[spawner_sku]],LEN(Table11[[#This Row],[spawner_sku]])-FIND("/",Table11[[#This Row],[spawner_sku]])),Table1[Entity Prefab],0)),10,1,1,"Entities"))</f>
        <v>50</v>
      </c>
      <c r="CQ623">
        <f ca="1">ROUND((Table11[[#This Row],[XP]]*Table11[[#This Row],[entity_spawned (AVG)]])*(Table11[[#This Row],[activating_chance]]/100),0)</f>
        <v>50</v>
      </c>
      <c r="CR623" s="145" t="str">
        <f ca="1">INDIRECT(ADDRESS(11+(MATCH(RIGHT(Table11[[#This Row],[spawner_sku]],LEN(Table11[[#This Row],[spawner_sku]])-FIND("/",Table11[[#This Row],[spawner_sku]])),Table28[Entity Prefab],0)),25,1,1,"Entities"))</f>
        <v>no</v>
      </c>
      <c r="CS623" s="72">
        <v>1</v>
      </c>
      <c r="CT623" s="72">
        <v>1</v>
      </c>
      <c r="CU623" s="72" t="b">
        <v>0</v>
      </c>
      <c r="DS623" t="s">
        <v>243</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row>
    <row r="624" spans="2:133" x14ac:dyDescent="0.25">
      <c r="CL624" t="s">
        <v>3819</v>
      </c>
      <c r="CM624">
        <v>1</v>
      </c>
      <c r="CN624">
        <v>220</v>
      </c>
      <c r="CO624">
        <v>100</v>
      </c>
      <c r="CP624" s="75">
        <f ca="1">INDIRECT(ADDRESS(11+(MATCH(RIGHT(Table11[[#This Row],[spawner_sku]],LEN(Table11[[#This Row],[spawner_sku]])-FIND("/",Table11[[#This Row],[spawner_sku]])),Table1[Entity Prefab],0)),10,1,1,"Entities"))</f>
        <v>50</v>
      </c>
      <c r="CQ624">
        <f ca="1">ROUND((Table11[[#This Row],[XP]]*Table11[[#This Row],[entity_spawned (AVG)]])*(Table11[[#This Row],[activating_chance]]/100),0)</f>
        <v>50</v>
      </c>
      <c r="CR624" s="145" t="str">
        <f ca="1">INDIRECT(ADDRESS(11+(MATCH(RIGHT(Table11[[#This Row],[spawner_sku]],LEN(Table11[[#This Row],[spawner_sku]])-FIND("/",Table11[[#This Row],[spawner_sku]])),Table28[Entity Prefab],0)),25,1,1,"Entities"))</f>
        <v>no</v>
      </c>
      <c r="CS624" s="72">
        <v>1</v>
      </c>
      <c r="CT624" s="72">
        <v>1</v>
      </c>
      <c r="CU624" s="72" t="b">
        <v>0</v>
      </c>
      <c r="DS624" t="s">
        <v>243</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row>
    <row r="625" spans="90:133" x14ac:dyDescent="0.25">
      <c r="CL625" t="s">
        <v>3819</v>
      </c>
      <c r="CM625">
        <v>1</v>
      </c>
      <c r="CN625">
        <v>120</v>
      </c>
      <c r="CO625">
        <v>100</v>
      </c>
      <c r="CP625" s="75">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5" t="str">
        <f ca="1">INDIRECT(ADDRESS(11+(MATCH(RIGHT(Table11[[#This Row],[spawner_sku]],LEN(Table11[[#This Row],[spawner_sku]])-FIND("/",Table11[[#This Row],[spawner_sku]])),Table28[Entity Prefab],0)),25,1,1,"Entities"))</f>
        <v>no</v>
      </c>
      <c r="CS625" s="72">
        <v>1</v>
      </c>
      <c r="CT625" s="72">
        <v>1</v>
      </c>
      <c r="CU625" s="72" t="b">
        <v>0</v>
      </c>
      <c r="DS625" t="s">
        <v>243</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row>
    <row r="626" spans="90:133" x14ac:dyDescent="0.25">
      <c r="CL626" t="s">
        <v>3819</v>
      </c>
      <c r="CM626">
        <v>1</v>
      </c>
      <c r="CN626">
        <v>120</v>
      </c>
      <c r="CO626">
        <v>100</v>
      </c>
      <c r="CP626" s="75">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5" t="str">
        <f ca="1">INDIRECT(ADDRESS(11+(MATCH(RIGHT(Table11[[#This Row],[spawner_sku]],LEN(Table11[[#This Row],[spawner_sku]])-FIND("/",Table11[[#This Row],[spawner_sku]])),Table28[Entity Prefab],0)),25,1,1,"Entities"))</f>
        <v>no</v>
      </c>
      <c r="CS626" s="72">
        <v>1</v>
      </c>
      <c r="CT626" s="72">
        <v>1</v>
      </c>
      <c r="CU626" s="72" t="b">
        <v>0</v>
      </c>
      <c r="DS626" t="s">
        <v>243</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row>
    <row r="627" spans="90:133" x14ac:dyDescent="0.25">
      <c r="CL627" t="s">
        <v>3819</v>
      </c>
      <c r="CM627">
        <v>1</v>
      </c>
      <c r="CN627">
        <v>120</v>
      </c>
      <c r="CO627">
        <v>100</v>
      </c>
      <c r="CP627" s="75">
        <f ca="1">INDIRECT(ADDRESS(11+(MATCH(RIGHT(Table11[[#This Row],[spawner_sku]],LEN(Table11[[#This Row],[spawner_sku]])-FIND("/",Table11[[#This Row],[spawner_sku]])),Table1[Entity Prefab],0)),10,1,1,"Entities"))</f>
        <v>50</v>
      </c>
      <c r="CQ627">
        <f ca="1">ROUND((Table11[[#This Row],[XP]]*Table11[[#This Row],[entity_spawned (AVG)]])*(Table11[[#This Row],[activating_chance]]/100),0)</f>
        <v>50</v>
      </c>
      <c r="CR627" s="145" t="str">
        <f ca="1">INDIRECT(ADDRESS(11+(MATCH(RIGHT(Table11[[#This Row],[spawner_sku]],LEN(Table11[[#This Row],[spawner_sku]])-FIND("/",Table11[[#This Row],[spawner_sku]])),Table28[Entity Prefab],0)),25,1,1,"Entities"))</f>
        <v>no</v>
      </c>
      <c r="CS627" s="72">
        <v>1</v>
      </c>
      <c r="CT627" s="72">
        <v>1</v>
      </c>
      <c r="CU627" s="72" t="b">
        <v>0</v>
      </c>
      <c r="DS627" t="s">
        <v>243</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row>
    <row r="628" spans="90:133" x14ac:dyDescent="0.25">
      <c r="CL628" t="s">
        <v>3819</v>
      </c>
      <c r="CM628">
        <v>1</v>
      </c>
      <c r="CN628">
        <v>120</v>
      </c>
      <c r="CO628">
        <v>50</v>
      </c>
      <c r="CP628" s="75">
        <f ca="1">INDIRECT(ADDRESS(11+(MATCH(RIGHT(Table11[[#This Row],[spawner_sku]],LEN(Table11[[#This Row],[spawner_sku]])-FIND("/",Table11[[#This Row],[spawner_sku]])),Table1[Entity Prefab],0)),10,1,1,"Entities"))</f>
        <v>50</v>
      </c>
      <c r="CQ628">
        <f ca="1">ROUND((Table11[[#This Row],[XP]]*Table11[[#This Row],[entity_spawned (AVG)]])*(Table11[[#This Row],[activating_chance]]/100),0)</f>
        <v>25</v>
      </c>
      <c r="CR628" s="145" t="str">
        <f ca="1">INDIRECT(ADDRESS(11+(MATCH(RIGHT(Table11[[#This Row],[spawner_sku]],LEN(Table11[[#This Row],[spawner_sku]])-FIND("/",Table11[[#This Row],[spawner_sku]])),Table28[Entity Prefab],0)),25,1,1,"Entities"))</f>
        <v>no</v>
      </c>
      <c r="CS628" s="72">
        <v>1</v>
      </c>
      <c r="CT628" s="72">
        <v>1</v>
      </c>
      <c r="CU628" s="72" t="b">
        <v>0</v>
      </c>
      <c r="DS628" t="s">
        <v>243</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row>
    <row r="629" spans="90:133" x14ac:dyDescent="0.25">
      <c r="CL629" t="s">
        <v>3819</v>
      </c>
      <c r="CM629">
        <v>1</v>
      </c>
      <c r="CN629">
        <v>120</v>
      </c>
      <c r="CO629">
        <v>30</v>
      </c>
      <c r="CP629" s="75">
        <f ca="1">INDIRECT(ADDRESS(11+(MATCH(RIGHT(Table11[[#This Row],[spawner_sku]],LEN(Table11[[#This Row],[spawner_sku]])-FIND("/",Table11[[#This Row],[spawner_sku]])),Table1[Entity Prefab],0)),10,1,1,"Entities"))</f>
        <v>50</v>
      </c>
      <c r="CQ629">
        <f ca="1">ROUND((Table11[[#This Row],[XP]]*Table11[[#This Row],[entity_spawned (AVG)]])*(Table11[[#This Row],[activating_chance]]/100),0)</f>
        <v>15</v>
      </c>
      <c r="CR629" s="145" t="str">
        <f ca="1">INDIRECT(ADDRESS(11+(MATCH(RIGHT(Table11[[#This Row],[spawner_sku]],LEN(Table11[[#This Row],[spawner_sku]])-FIND("/",Table11[[#This Row],[spawner_sku]])),Table28[Entity Prefab],0)),25,1,1,"Entities"))</f>
        <v>no</v>
      </c>
      <c r="CS629" s="72">
        <v>1</v>
      </c>
      <c r="CT629" s="72">
        <v>1</v>
      </c>
      <c r="CU629" s="72" t="b">
        <v>0</v>
      </c>
      <c r="DS629" t="s">
        <v>243</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row>
    <row r="630" spans="90:133" x14ac:dyDescent="0.25">
      <c r="CL630" t="s">
        <v>3819</v>
      </c>
      <c r="CM630">
        <v>1</v>
      </c>
      <c r="CN630">
        <v>120</v>
      </c>
      <c r="CO630">
        <v>10</v>
      </c>
      <c r="CP630" s="75">
        <f ca="1">INDIRECT(ADDRESS(11+(MATCH(RIGHT(Table11[[#This Row],[spawner_sku]],LEN(Table11[[#This Row],[spawner_sku]])-FIND("/",Table11[[#This Row],[spawner_sku]])),Table1[Entity Prefab],0)),10,1,1,"Entities"))</f>
        <v>50</v>
      </c>
      <c r="CQ630">
        <f ca="1">ROUND((Table11[[#This Row],[XP]]*Table11[[#This Row],[entity_spawned (AVG)]])*(Table11[[#This Row],[activating_chance]]/100),0)</f>
        <v>5</v>
      </c>
      <c r="CR630" s="145" t="str">
        <f ca="1">INDIRECT(ADDRESS(11+(MATCH(RIGHT(Table11[[#This Row],[spawner_sku]],LEN(Table11[[#This Row],[spawner_sku]])-FIND("/",Table11[[#This Row],[spawner_sku]])),Table28[Entity Prefab],0)),25,1,1,"Entities"))</f>
        <v>no</v>
      </c>
      <c r="CS630" s="72">
        <v>1</v>
      </c>
      <c r="CT630" s="72">
        <v>1</v>
      </c>
      <c r="CU630" s="72" t="b">
        <v>0</v>
      </c>
      <c r="DS630" t="s">
        <v>243</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row>
    <row r="631" spans="90:133" x14ac:dyDescent="0.25">
      <c r="CL631" t="s">
        <v>367</v>
      </c>
      <c r="CM631">
        <v>3</v>
      </c>
      <c r="CN631">
        <v>100</v>
      </c>
      <c r="CO631">
        <v>100</v>
      </c>
      <c r="CP631" s="75">
        <f ca="1">INDIRECT(ADDRESS(11+(MATCH(RIGHT(Table11[[#This Row],[spawner_sku]],LEN(Table11[[#This Row],[spawner_sku]])-FIND("/",Table11[[#This Row],[spawner_sku]])),Table1[Entity Prefab],0)),10,1,1,"Entities"))</f>
        <v>25</v>
      </c>
      <c r="CQ631">
        <f ca="1">ROUND((Table11[[#This Row],[XP]]*Table11[[#This Row],[entity_spawned (AVG)]])*(Table11[[#This Row],[activating_chance]]/100),0)</f>
        <v>75</v>
      </c>
      <c r="CR631" s="145" t="str">
        <f ca="1">INDIRECT(ADDRESS(11+(MATCH(RIGHT(Table11[[#This Row],[spawner_sku]],LEN(Table11[[#This Row],[spawner_sku]])-FIND("/",Table11[[#This Row],[spawner_sku]])),Table28[Entity Prefab],0)),25,1,1,"Entities"))</f>
        <v>no</v>
      </c>
      <c r="CS631" s="72">
        <v>3</v>
      </c>
      <c r="CT631" s="72">
        <v>3</v>
      </c>
      <c r="CU631" s="72" t="b">
        <v>0</v>
      </c>
      <c r="DS631" t="s">
        <v>243</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row>
    <row r="632" spans="90:133" x14ac:dyDescent="0.25">
      <c r="CL632" t="s">
        <v>367</v>
      </c>
      <c r="CM632">
        <v>3</v>
      </c>
      <c r="CN632">
        <v>100</v>
      </c>
      <c r="CO632">
        <v>100</v>
      </c>
      <c r="CP632" s="75">
        <f ca="1">INDIRECT(ADDRESS(11+(MATCH(RIGHT(Table11[[#This Row],[spawner_sku]],LEN(Table11[[#This Row],[spawner_sku]])-FIND("/",Table11[[#This Row],[spawner_sku]])),Table1[Entity Prefab],0)),10,1,1,"Entities"))</f>
        <v>25</v>
      </c>
      <c r="CQ632">
        <f ca="1">ROUND((Table11[[#This Row],[XP]]*Table11[[#This Row],[entity_spawned (AVG)]])*(Table11[[#This Row],[activating_chance]]/100),0)</f>
        <v>75</v>
      </c>
      <c r="CR632" s="145" t="str">
        <f ca="1">INDIRECT(ADDRESS(11+(MATCH(RIGHT(Table11[[#This Row],[spawner_sku]],LEN(Table11[[#This Row],[spawner_sku]])-FIND("/",Table11[[#This Row],[spawner_sku]])),Table28[Entity Prefab],0)),25,1,1,"Entities"))</f>
        <v>no</v>
      </c>
      <c r="CS632" s="72">
        <v>3</v>
      </c>
      <c r="CT632" s="72">
        <v>3</v>
      </c>
      <c r="CU632" s="72" t="b">
        <v>0</v>
      </c>
      <c r="DS632" t="s">
        <v>243</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row>
    <row r="633" spans="90:133" x14ac:dyDescent="0.25">
      <c r="CL633" t="s">
        <v>8042</v>
      </c>
      <c r="CM633">
        <v>1</v>
      </c>
      <c r="CN633">
        <v>150</v>
      </c>
      <c r="CO633">
        <v>100</v>
      </c>
      <c r="CP633" s="75">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5" t="str">
        <f ca="1">INDIRECT(ADDRESS(11+(MATCH(RIGHT(Table11[[#This Row],[spawner_sku]],LEN(Table11[[#This Row],[spawner_sku]])-FIND("/",Table11[[#This Row],[spawner_sku]])),Table28[Entity Prefab],0)),25,1,1,"Entities"))</f>
        <v>no</v>
      </c>
      <c r="CS633" s="72">
        <v>1</v>
      </c>
      <c r="CT633" s="72">
        <v>1</v>
      </c>
      <c r="CU633" s="72" t="b">
        <v>0</v>
      </c>
      <c r="DS633" t="s">
        <v>243</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row>
    <row r="634" spans="90:133" x14ac:dyDescent="0.25">
      <c r="CL634" t="s">
        <v>8042</v>
      </c>
      <c r="CM634">
        <v>1</v>
      </c>
      <c r="CN634">
        <v>150</v>
      </c>
      <c r="CO634">
        <v>100</v>
      </c>
      <c r="CP634" s="75">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5" t="str">
        <f ca="1">INDIRECT(ADDRESS(11+(MATCH(RIGHT(Table11[[#This Row],[spawner_sku]],LEN(Table11[[#This Row],[spawner_sku]])-FIND("/",Table11[[#This Row],[spawner_sku]])),Table28[Entity Prefab],0)),25,1,1,"Entities"))</f>
        <v>no</v>
      </c>
      <c r="CS634" s="72">
        <v>1</v>
      </c>
      <c r="CT634" s="72">
        <v>1</v>
      </c>
      <c r="CU634" s="72" t="b">
        <v>0</v>
      </c>
      <c r="DS634" t="s">
        <v>243</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row>
    <row r="635" spans="90:133" x14ac:dyDescent="0.25">
      <c r="CL635" t="s">
        <v>8042</v>
      </c>
      <c r="CM635">
        <v>1</v>
      </c>
      <c r="CN635">
        <v>150</v>
      </c>
      <c r="CO635">
        <v>100</v>
      </c>
      <c r="CP635" s="75">
        <f ca="1">INDIRECT(ADDRESS(11+(MATCH(RIGHT(Table11[[#This Row],[spawner_sku]],LEN(Table11[[#This Row],[spawner_sku]])-FIND("/",Table11[[#This Row],[spawner_sku]])),Table1[Entity Prefab],0)),10,1,1,"Entities"))</f>
        <v>50</v>
      </c>
      <c r="CQ635">
        <f ca="1">ROUND((Table11[[#This Row],[XP]]*Table11[[#This Row],[entity_spawned (AVG)]])*(Table11[[#This Row],[activating_chance]]/100),0)</f>
        <v>50</v>
      </c>
      <c r="CR635" s="145" t="str">
        <f ca="1">INDIRECT(ADDRESS(11+(MATCH(RIGHT(Table11[[#This Row],[spawner_sku]],LEN(Table11[[#This Row],[spawner_sku]])-FIND("/",Table11[[#This Row],[spawner_sku]])),Table28[Entity Prefab],0)),25,1,1,"Entities"))</f>
        <v>no</v>
      </c>
      <c r="CS635" s="72">
        <v>1</v>
      </c>
      <c r="CT635" s="72">
        <v>1</v>
      </c>
      <c r="CU635" s="72" t="b">
        <v>0</v>
      </c>
      <c r="DS635" t="s">
        <v>243</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row>
    <row r="636" spans="90:133" x14ac:dyDescent="0.25">
      <c r="DS636" t="s">
        <v>243</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row>
    <row r="637" spans="90:133" x14ac:dyDescent="0.25">
      <c r="DS637" t="s">
        <v>243</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row>
    <row r="638" spans="90:133" x14ac:dyDescent="0.25">
      <c r="DS638" t="s">
        <v>243</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row>
    <row r="639" spans="90:133" x14ac:dyDescent="0.25">
      <c r="DS639" t="s">
        <v>243</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row>
    <row r="640" spans="90:133" x14ac:dyDescent="0.25">
      <c r="DS640" t="s">
        <v>3831</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row>
    <row r="641" spans="123:133" x14ac:dyDescent="0.25">
      <c r="DS641" t="s">
        <v>3831</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row>
    <row r="642" spans="123:133" x14ac:dyDescent="0.25">
      <c r="DS642" t="s">
        <v>3831</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row>
    <row r="643" spans="123:133" x14ac:dyDescent="0.25">
      <c r="DS643" t="s">
        <v>3831</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row>
    <row r="644" spans="123:133" x14ac:dyDescent="0.25">
      <c r="DS644" t="s">
        <v>3831</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row>
    <row r="645" spans="123:133" x14ac:dyDescent="0.25">
      <c r="DS645" t="s">
        <v>3831</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row>
    <row r="646" spans="123:133" x14ac:dyDescent="0.25">
      <c r="DS646" t="s">
        <v>3831</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row>
    <row r="647" spans="123:133" x14ac:dyDescent="0.25">
      <c r="DS647" t="s">
        <v>3831</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row>
    <row r="648" spans="123:133" x14ac:dyDescent="0.25">
      <c r="DS648" t="s">
        <v>3831</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row>
    <row r="649" spans="123:133" x14ac:dyDescent="0.25">
      <c r="DS649" t="s">
        <v>3831</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row>
    <row r="650" spans="123:133" x14ac:dyDescent="0.25">
      <c r="DS650" t="s">
        <v>3831</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row>
    <row r="651" spans="123:133" x14ac:dyDescent="0.25">
      <c r="DS651" t="s">
        <v>3831</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row>
    <row r="652" spans="123:133" x14ac:dyDescent="0.25">
      <c r="DS652" t="s">
        <v>3831</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row>
    <row r="653" spans="123:133" x14ac:dyDescent="0.25">
      <c r="DS653" t="s">
        <v>3831</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row>
    <row r="654" spans="123:133" x14ac:dyDescent="0.25">
      <c r="DS654" t="s">
        <v>3831</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row>
    <row r="655" spans="123:133" x14ac:dyDescent="0.25">
      <c r="DS655" t="s">
        <v>3831</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row>
    <row r="656" spans="123:133" x14ac:dyDescent="0.25">
      <c r="DS656" t="s">
        <v>3831</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row>
    <row r="657" spans="123:133" x14ac:dyDescent="0.25">
      <c r="DS657" t="s">
        <v>3831</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row>
    <row r="658" spans="123:133" x14ac:dyDescent="0.25">
      <c r="DS658" t="s">
        <v>3831</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row>
    <row r="659" spans="123:133" x14ac:dyDescent="0.25">
      <c r="DS659" t="s">
        <v>3831</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row>
    <row r="660" spans="123:133" x14ac:dyDescent="0.25">
      <c r="DS660" t="s">
        <v>3831</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row>
    <row r="661" spans="123:133" x14ac:dyDescent="0.25">
      <c r="DS661" t="s">
        <v>3831</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row>
    <row r="662" spans="123:133" x14ac:dyDescent="0.25">
      <c r="DS662" t="s">
        <v>3831</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row>
    <row r="663" spans="123:133" x14ac:dyDescent="0.25">
      <c r="DS663" t="s">
        <v>3831</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row>
    <row r="664" spans="123:133" x14ac:dyDescent="0.25">
      <c r="DS664" t="s">
        <v>3831</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row>
    <row r="665" spans="123:133" x14ac:dyDescent="0.25">
      <c r="DS665" t="s">
        <v>3831</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row>
    <row r="666" spans="123:133" x14ac:dyDescent="0.25">
      <c r="DS666" t="s">
        <v>3831</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row>
    <row r="667" spans="123:133" x14ac:dyDescent="0.25">
      <c r="DS667" t="s">
        <v>3831</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row>
    <row r="668" spans="123:133" x14ac:dyDescent="0.25">
      <c r="DS668" t="s">
        <v>3831</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row>
    <row r="669" spans="123:133" x14ac:dyDescent="0.25">
      <c r="DS669" t="s">
        <v>3831</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row>
    <row r="670" spans="123:133" x14ac:dyDescent="0.25">
      <c r="DS670" t="s">
        <v>3831</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row>
    <row r="671" spans="123:133" x14ac:dyDescent="0.25">
      <c r="DS671" t="s">
        <v>3831</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row>
    <row r="672" spans="123:133" x14ac:dyDescent="0.25">
      <c r="DS672" t="s">
        <v>3831</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row>
    <row r="673" spans="123:133" x14ac:dyDescent="0.25">
      <c r="DS673" t="s">
        <v>3831</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3832</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3832</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3832</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3832</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3832</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3832</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3832</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3832</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3832</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3832</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3832</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3832</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3832</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3832</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3832</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3832</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0</v>
      </c>
      <c r="EC689" s="72"/>
    </row>
    <row r="690" spans="123:133" x14ac:dyDescent="0.25">
      <c r="DS690" t="s">
        <v>3832</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3832</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3832</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3832</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3832</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3832</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3832</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3832</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3832</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3832</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3832</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3832</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3832</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3832</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3832</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3832</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3832</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3832</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3832</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3832</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3832</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3832</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3832</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3832</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3832</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3832</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3832</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3832</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3832</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3832</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3832</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3832</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3832</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3832</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3832</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3832</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3832</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3832</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3832</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3832</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3832</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3832</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3832</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3832</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3832</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3832</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3832</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3832</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3832</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3832</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3832</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3832</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3832</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3832</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3832</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3832</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3832</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488</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488</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9 T22:T256 AE22:AE92 AP22:AP403 BA22:BA171 BL22:BL246 BW22:BW450 CH22:CH334 DD22:DD226 DO22:DO331 EK22:EK110 CS22:CS635 DZ22:DZ748 EV22:EV336 FG22:FG241 FR22:FR174 GC22:GC225 GN22:GN154">
    <cfRule type="expression" dxfId="6" priority="140">
      <formula>OR(AND(I22&lt;5,J22&gt;4),I22&gt;J22)</formula>
    </cfRule>
  </conditionalFormatting>
  <conditionalFormatting sqref="J22:J619 U22:U256 AF22:AF92 AQ22:AQ403 BB22:BB171 BM22:BM246 BX22:BX450 CI22:CI334 DE22:DE226 DP22:DP331 EL22:EL110 CT22:CT635 EA22:EA748 EW22:EW336 FH22:FH241 FS22:FS174 GD22:GD225 GO22:GO154">
    <cfRule type="expression" dxfId="5" priority="138">
      <formula>OR(AND(I22&lt;5,J22&gt;4),I22&gt;J22)</formula>
    </cfRule>
  </conditionalFormatting>
  <conditionalFormatting sqref="K22:K619 V22:V256 AG22:AG92 AR22:AR403 BC22:BC171 BN22:BN246 BY22:BY450 CJ22:CJ334 DF22:DF226 DQ22:DQ331 EM22:EM110 CU22:CU635 EB22:EB748 EX22:EX336 FI22:FI241 FT22:FT174 GE22:GE225 GP22:GP154">
    <cfRule type="expression" dxfId="4"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6"/>
  <sheetViews>
    <sheetView workbookViewId="0">
      <selection activeCell="AP42" sqref="AP42"/>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4463</v>
      </c>
    </row>
    <row r="2" spans="1:49" x14ac:dyDescent="0.25">
      <c r="A2" s="156" t="s">
        <v>2718</v>
      </c>
      <c r="B2" s="156" t="s">
        <v>3862</v>
      </c>
      <c r="E2" s="82"/>
    </row>
    <row r="3" spans="1:49" x14ac:dyDescent="0.25">
      <c r="A3" s="155" t="s">
        <v>122</v>
      </c>
      <c r="B3" s="155">
        <v>3</v>
      </c>
    </row>
    <row r="4" spans="1:49" x14ac:dyDescent="0.25">
      <c r="A4" s="155" t="s">
        <v>2775</v>
      </c>
      <c r="B4" s="155">
        <v>1</v>
      </c>
      <c r="E4" t="s">
        <v>390</v>
      </c>
      <c r="U4" t="s">
        <v>390</v>
      </c>
      <c r="AK4" t="s">
        <v>390</v>
      </c>
    </row>
    <row r="5" spans="1:49" x14ac:dyDescent="0.25">
      <c r="A5" s="155" t="s">
        <v>551</v>
      </c>
      <c r="B5" s="155">
        <v>2</v>
      </c>
      <c r="E5" s="1" t="s">
        <v>4442</v>
      </c>
      <c r="K5" t="s">
        <v>396</v>
      </c>
      <c r="L5" s="79">
        <v>2500</v>
      </c>
      <c r="O5" t="s">
        <v>396</v>
      </c>
      <c r="P5" s="79">
        <v>30</v>
      </c>
      <c r="U5" s="1" t="s">
        <v>4443</v>
      </c>
      <c r="AA5" t="s">
        <v>396</v>
      </c>
      <c r="AB5" s="79">
        <v>2500</v>
      </c>
      <c r="AE5" t="s">
        <v>396</v>
      </c>
      <c r="AF5" s="79">
        <v>30</v>
      </c>
      <c r="AK5" s="1" t="s">
        <v>4444</v>
      </c>
      <c r="AQ5" t="s">
        <v>396</v>
      </c>
      <c r="AR5" s="79">
        <v>2500</v>
      </c>
      <c r="AU5" t="s">
        <v>396</v>
      </c>
      <c r="AV5" s="79">
        <v>30</v>
      </c>
    </row>
    <row r="6" spans="1:49" x14ac:dyDescent="0.25">
      <c r="E6" s="82" t="s">
        <v>8014</v>
      </c>
      <c r="I6" s="82" t="s">
        <v>4490</v>
      </c>
      <c r="K6" s="1" t="s">
        <v>386</v>
      </c>
      <c r="O6" s="1" t="s">
        <v>4441</v>
      </c>
      <c r="U6" s="82" t="s">
        <v>8014</v>
      </c>
      <c r="Y6" s="82" t="s">
        <v>4490</v>
      </c>
      <c r="AA6" s="1" t="s">
        <v>386</v>
      </c>
      <c r="AE6" s="1" t="s">
        <v>4441</v>
      </c>
      <c r="AK6" s="82" t="s">
        <v>8014</v>
      </c>
      <c r="AO6" s="82" t="s">
        <v>4490</v>
      </c>
      <c r="AQ6" s="1" t="s">
        <v>386</v>
      </c>
      <c r="AU6" s="1" t="s">
        <v>4441</v>
      </c>
    </row>
    <row r="7" spans="1:49" x14ac:dyDescent="0.25">
      <c r="E7" t="s">
        <v>385</v>
      </c>
      <c r="F7" t="s">
        <v>387</v>
      </c>
      <c r="G7" t="s">
        <v>388</v>
      </c>
      <c r="H7" t="s">
        <v>4440</v>
      </c>
      <c r="I7" t="s">
        <v>4488</v>
      </c>
      <c r="K7" s="72" t="s">
        <v>387</v>
      </c>
      <c r="L7" s="72" t="s">
        <v>388</v>
      </c>
      <c r="M7" s="72" t="s">
        <v>389</v>
      </c>
      <c r="O7" s="72" t="s">
        <v>387</v>
      </c>
      <c r="P7" s="72" t="s">
        <v>388</v>
      </c>
      <c r="Q7" s="72" t="s">
        <v>389</v>
      </c>
      <c r="U7" t="s">
        <v>385</v>
      </c>
      <c r="V7" t="s">
        <v>387</v>
      </c>
      <c r="W7" t="s">
        <v>388</v>
      </c>
      <c r="X7" t="s">
        <v>4440</v>
      </c>
      <c r="Y7" t="s">
        <v>4488</v>
      </c>
      <c r="AA7" s="72" t="s">
        <v>387</v>
      </c>
      <c r="AB7" s="72" t="s">
        <v>388</v>
      </c>
      <c r="AC7" s="72" t="s">
        <v>389</v>
      </c>
      <c r="AE7" s="72" t="s">
        <v>387</v>
      </c>
      <c r="AF7" s="72" t="s">
        <v>388</v>
      </c>
      <c r="AG7" s="72" t="s">
        <v>389</v>
      </c>
      <c r="AK7" s="91" t="s">
        <v>385</v>
      </c>
      <c r="AL7" s="91" t="s">
        <v>387</v>
      </c>
      <c r="AM7" s="91" t="s">
        <v>388</v>
      </c>
      <c r="AN7" s="176" t="s">
        <v>4440</v>
      </c>
      <c r="AO7" s="91" t="s">
        <v>4488</v>
      </c>
      <c r="AQ7" s="72" t="s">
        <v>387</v>
      </c>
      <c r="AR7" s="72" t="s">
        <v>388</v>
      </c>
      <c r="AS7" s="72" t="s">
        <v>389</v>
      </c>
      <c r="AU7" s="72" t="s">
        <v>387</v>
      </c>
      <c r="AV7" s="72" t="s">
        <v>388</v>
      </c>
      <c r="AW7" s="72" t="s">
        <v>389</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1926</v>
      </c>
      <c r="O8">
        <v>0</v>
      </c>
      <c r="P8">
        <v>0</v>
      </c>
      <c r="Q8">
        <f>COUNTIF(Table7[Min],"="&amp;O8)</f>
        <v>1926</v>
      </c>
      <c r="U8" t="s">
        <v>11</v>
      </c>
      <c r="V8">
        <v>0</v>
      </c>
      <c r="W8">
        <v>0</v>
      </c>
      <c r="X8" t="s">
        <v>8</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1597</v>
      </c>
      <c r="AE8">
        <v>0</v>
      </c>
      <c r="AF8">
        <v>0</v>
      </c>
      <c r="AG8">
        <f>COUNTIF(Table15[Min],"="&amp;AU8)</f>
        <v>1597</v>
      </c>
      <c r="AK8" t="s">
        <v>397</v>
      </c>
      <c r="AL8">
        <v>34000</v>
      </c>
      <c r="AM8">
        <v>0</v>
      </c>
      <c r="AN8" t="s">
        <v>205</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908</v>
      </c>
      <c r="AU8">
        <v>0</v>
      </c>
      <c r="AV8">
        <v>0</v>
      </c>
      <c r="AW8">
        <f>COUNTIF(Table20[Min],"="&amp;AU8)</f>
        <v>908</v>
      </c>
    </row>
    <row r="9" spans="1:49" x14ac:dyDescent="0.25">
      <c r="E9" t="s">
        <v>10</v>
      </c>
      <c r="F9" t="s">
        <v>5229</v>
      </c>
      <c r="G9" t="s">
        <v>4477</v>
      </c>
      <c r="H9" t="s">
        <v>4478</v>
      </c>
      <c r="I9" s="75" t="str">
        <f ca="1">IF(Table7[[#This Row],[Type]]="KILL",IF(_xlfn.NUMBERVALUE(RIGHT(Table7[[#This Row],[Min]],LEN(Table7[[#This Row],[Min]])-FIND("-",Table7[[#This Row],[Min]])))&gt;INDIRECT(ADDRESS(11+MATCH(LEFT(Table7[[#This Row],[Min]],FIND("-",Table7[[#This Row],[Min]])-1),Table1[Content Sku],0),14,1,1,"Entities")),"review","ok"),"ok")</f>
        <v>review</v>
      </c>
      <c r="K9" s="72">
        <v>1</v>
      </c>
      <c r="L9" s="72">
        <f t="shared" ref="L9:L38" si="0">L8+$L$5</f>
        <v>2500</v>
      </c>
      <c r="M9">
        <f>COUNTIFS(Table7[Min],"&gt;="&amp;K9,Table7[Min],"&lt;="&amp;L9,Table7[Type],"=XP")</f>
        <v>27</v>
      </c>
      <c r="O9">
        <v>1</v>
      </c>
      <c r="P9">
        <f>P8+$P$5</f>
        <v>30</v>
      </c>
      <c r="Q9">
        <f>COUNTIFS(Table7[Min],"&gt;="&amp;O9,Table7[Min],"&lt;="&amp;P9,Table7[Type],"=TIME")</f>
        <v>0</v>
      </c>
      <c r="U9" t="s">
        <v>11</v>
      </c>
      <c r="V9">
        <v>0</v>
      </c>
      <c r="W9">
        <v>0</v>
      </c>
      <c r="X9" t="s">
        <v>8</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397</v>
      </c>
      <c r="AL9">
        <v>45000</v>
      </c>
      <c r="AM9">
        <v>0</v>
      </c>
      <c r="AN9" t="s">
        <v>205</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97</v>
      </c>
      <c r="O10">
        <f>O9+$P$5</f>
        <v>31</v>
      </c>
      <c r="P10">
        <f t="shared" ref="P10:P38" si="4">P9+$P$5</f>
        <v>60</v>
      </c>
      <c r="Q10">
        <f>COUNTIFS(Table7[Min],"&gt;="&amp;O10,Table7[Min],"&lt;="&amp;P10,Table7[Type],"=TIME")</f>
        <v>1</v>
      </c>
      <c r="U10" t="s">
        <v>11</v>
      </c>
      <c r="V10">
        <v>35000</v>
      </c>
      <c r="W10">
        <v>0</v>
      </c>
      <c r="X10" t="s">
        <v>205</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397</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205</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61</v>
      </c>
      <c r="O11">
        <f t="shared" ref="O11:O38" si="9">O10+$P$5</f>
        <v>61</v>
      </c>
      <c r="P11">
        <f t="shared" si="4"/>
        <v>90</v>
      </c>
      <c r="Q11">
        <f>COUNTIFS(Table7[Min],"&gt;="&amp;O11,Table7[Min],"&lt;="&amp;P11,Table7[Type],"=TIME")</f>
        <v>5</v>
      </c>
      <c r="U11" t="s">
        <v>11</v>
      </c>
      <c r="V11" t="s">
        <v>6884</v>
      </c>
      <c r="W11" t="s">
        <v>4477</v>
      </c>
      <c r="X11" t="s">
        <v>4478</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397</v>
      </c>
      <c r="AL11">
        <v>40000</v>
      </c>
      <c r="AM11">
        <v>0</v>
      </c>
      <c r="AN11" t="s">
        <v>205</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205</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72</v>
      </c>
      <c r="O12">
        <f t="shared" si="9"/>
        <v>91</v>
      </c>
      <c r="P12">
        <f t="shared" si="4"/>
        <v>120</v>
      </c>
      <c r="Q12">
        <f>COUNTIFS(Table7[Min],"&gt;="&amp;O12,Table7[Min],"&lt;="&amp;P12,Table7[Type],"=TIME")</f>
        <v>4</v>
      </c>
      <c r="U12" t="s">
        <v>1</v>
      </c>
      <c r="V12">
        <v>40000</v>
      </c>
      <c r="W12">
        <v>0</v>
      </c>
      <c r="X12" t="s">
        <v>205</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3</v>
      </c>
      <c r="AE12">
        <f t="shared" si="10"/>
        <v>91</v>
      </c>
      <c r="AF12">
        <f t="shared" si="6"/>
        <v>120</v>
      </c>
      <c r="AG12">
        <f>COUNTIFS(Table15[Min],"&gt;="&amp;AU12,Table15[Min],"&lt;="&amp;AV12,Table15[Type],"=TIME")</f>
        <v>0</v>
      </c>
      <c r="AK12" t="s">
        <v>397</v>
      </c>
      <c r="AL12">
        <v>42000</v>
      </c>
      <c r="AM12">
        <v>0</v>
      </c>
      <c r="AN12" t="s">
        <v>205</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5231</v>
      </c>
      <c r="G13" t="s">
        <v>4477</v>
      </c>
      <c r="H13" t="s">
        <v>4478</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2</v>
      </c>
      <c r="AK13" t="s">
        <v>397</v>
      </c>
      <c r="AL13">
        <v>48000</v>
      </c>
      <c r="AM13">
        <v>0</v>
      </c>
      <c r="AN13" t="s">
        <v>205</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205</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20000</v>
      </c>
      <c r="W14">
        <v>0</v>
      </c>
      <c r="X14" t="s">
        <v>205</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27</v>
      </c>
      <c r="AE14">
        <f t="shared" si="10"/>
        <v>151</v>
      </c>
      <c r="AF14">
        <f t="shared" si="6"/>
        <v>180</v>
      </c>
      <c r="AG14">
        <f>COUNTIFS(Table15[Min],"&gt;="&amp;AU14,Table15[Min],"&lt;="&amp;AV14,Table15[Type],"=TIME")</f>
        <v>5</v>
      </c>
      <c r="AK14" t="s">
        <v>413</v>
      </c>
      <c r="AL14">
        <v>25000</v>
      </c>
      <c r="AM14">
        <v>0</v>
      </c>
      <c r="AN14" t="s">
        <v>205</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205</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15000</v>
      </c>
      <c r="W15">
        <v>0</v>
      </c>
      <c r="X15" t="s">
        <v>205</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13</v>
      </c>
      <c r="AE15">
        <f t="shared" si="10"/>
        <v>181</v>
      </c>
      <c r="AF15">
        <f t="shared" si="6"/>
        <v>210</v>
      </c>
      <c r="AG15">
        <f>COUNTIFS(Table15[Min],"&gt;="&amp;AU15,Table15[Min],"&lt;="&amp;AV15,Table15[Type],"=TIME")</f>
        <v>9</v>
      </c>
      <c r="AK15" t="s">
        <v>413</v>
      </c>
      <c r="AL15">
        <v>35000</v>
      </c>
      <c r="AM15">
        <v>0</v>
      </c>
      <c r="AN15" t="s">
        <v>205</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0</v>
      </c>
      <c r="W16">
        <v>0</v>
      </c>
      <c r="X16" t="s">
        <v>8</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47</v>
      </c>
      <c r="AE16">
        <f t="shared" si="10"/>
        <v>211</v>
      </c>
      <c r="AF16">
        <f t="shared" si="6"/>
        <v>240</v>
      </c>
      <c r="AG16">
        <f>COUNTIFS(Table15[Min],"&gt;="&amp;AU16,Table15[Min],"&lt;="&amp;AV16,Table15[Type],"=TIME")</f>
        <v>8</v>
      </c>
      <c r="AK16" t="s">
        <v>413</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300</v>
      </c>
      <c r="G17">
        <v>0</v>
      </c>
      <c r="H17" t="s">
        <v>4439</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0</v>
      </c>
      <c r="W17">
        <v>120</v>
      </c>
      <c r="X17" t="s">
        <v>4439</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413</v>
      </c>
      <c r="AL17">
        <v>31000</v>
      </c>
      <c r="AM17">
        <v>0</v>
      </c>
      <c r="AN17" t="s">
        <v>205</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5400</v>
      </c>
      <c r="H18" t="s">
        <v>205</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2</v>
      </c>
      <c r="U18" t="s">
        <v>1</v>
      </c>
      <c r="V18">
        <v>180</v>
      </c>
      <c r="W18">
        <v>0</v>
      </c>
      <c r="X18" t="s">
        <v>4439</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413</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0</v>
      </c>
      <c r="G19">
        <v>0</v>
      </c>
      <c r="H19" t="s">
        <v>8</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200</v>
      </c>
      <c r="W19">
        <v>0</v>
      </c>
      <c r="X19" t="s">
        <v>4439</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13</v>
      </c>
      <c r="AE19">
        <f t="shared" si="10"/>
        <v>301</v>
      </c>
      <c r="AF19">
        <f t="shared" si="6"/>
        <v>330</v>
      </c>
      <c r="AG19">
        <f>COUNTIFS(Table15[Min],"&gt;="&amp;AU19,Table15[Min],"&lt;="&amp;AV19,Table15[Type],"=TIME")</f>
        <v>3</v>
      </c>
      <c r="AK19" t="s">
        <v>413</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14000</v>
      </c>
      <c r="G20">
        <v>0</v>
      </c>
      <c r="H20" t="s">
        <v>205</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37</v>
      </c>
      <c r="AE20">
        <f t="shared" si="10"/>
        <v>331</v>
      </c>
      <c r="AF20">
        <f t="shared" si="6"/>
        <v>360</v>
      </c>
      <c r="AG20">
        <f>COUNTIFS(Table15[Min],"&gt;="&amp;AU20,Table15[Min],"&lt;="&amp;AV20,Table15[Type],"=TIME")</f>
        <v>6</v>
      </c>
      <c r="AK20" t="s">
        <v>413</v>
      </c>
      <c r="AL20">
        <v>33000</v>
      </c>
      <c r="AM20">
        <v>0</v>
      </c>
      <c r="AN20" t="s">
        <v>205</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20</v>
      </c>
      <c r="AU20">
        <f t="shared" si="11"/>
        <v>331</v>
      </c>
      <c r="AV20">
        <f t="shared" si="8"/>
        <v>360</v>
      </c>
      <c r="AW20">
        <f>COUNTIFS(Table20[Min],"&gt;="&amp;AU20,Table20[Min],"&lt;="&amp;AV20,Table20[Type],"=TIME")</f>
        <v>0</v>
      </c>
    </row>
    <row r="21" spans="5:49" x14ac:dyDescent="0.25">
      <c r="E21" t="s">
        <v>0</v>
      </c>
      <c r="F21">
        <v>0</v>
      </c>
      <c r="G21">
        <v>0</v>
      </c>
      <c r="H21" t="s">
        <v>8</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0</v>
      </c>
      <c r="W21">
        <v>0</v>
      </c>
      <c r="X21" t="s">
        <v>8</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413</v>
      </c>
      <c r="AL21">
        <v>27000</v>
      </c>
      <c r="AM21">
        <v>0</v>
      </c>
      <c r="AN21" t="s">
        <v>205</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9500</v>
      </c>
      <c r="G22">
        <v>0</v>
      </c>
      <c r="H22" t="s">
        <v>205</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30000</v>
      </c>
      <c r="W22">
        <v>0</v>
      </c>
      <c r="X22" t="s">
        <v>205</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30</v>
      </c>
      <c r="AE22">
        <f t="shared" si="10"/>
        <v>391</v>
      </c>
      <c r="AF22">
        <f t="shared" si="6"/>
        <v>420</v>
      </c>
      <c r="AG22">
        <f>COUNTIFS(Table15[Min],"&gt;="&amp;AU22,Table15[Min],"&lt;="&amp;AV22,Table15[Type],"=TIME")</f>
        <v>1</v>
      </c>
      <c r="AK22" t="s">
        <v>413</v>
      </c>
      <c r="AL22">
        <v>29000</v>
      </c>
      <c r="AM22">
        <v>0</v>
      </c>
      <c r="AN22" t="s">
        <v>205</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0</v>
      </c>
      <c r="G23">
        <v>0</v>
      </c>
      <c r="H23" t="s">
        <v>8</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19000</v>
      </c>
      <c r="W23">
        <v>30000</v>
      </c>
      <c r="X23" t="s">
        <v>205</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17000</v>
      </c>
      <c r="G24">
        <v>0</v>
      </c>
      <c r="H24" t="s">
        <v>205</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40000</v>
      </c>
      <c r="W24">
        <v>0</v>
      </c>
      <c r="X24" t="s">
        <v>205</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35</v>
      </c>
      <c r="AE24">
        <f t="shared" si="10"/>
        <v>451</v>
      </c>
      <c r="AF24">
        <f t="shared" si="6"/>
        <v>480</v>
      </c>
      <c r="AG24">
        <f>COUNTIFS(Table15[Min],"&gt;="&amp;AU24,Table15[Min],"&lt;="&amp;AV24,Table15[Type],"=TIME")</f>
        <v>0</v>
      </c>
      <c r="AK24" t="s">
        <v>36</v>
      </c>
      <c r="AL24">
        <v>15000</v>
      </c>
      <c r="AM24">
        <v>0</v>
      </c>
      <c r="AN24" t="s">
        <v>205</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0</v>
      </c>
      <c r="F25">
        <v>5000</v>
      </c>
      <c r="G25">
        <v>0</v>
      </c>
      <c r="H25" t="s">
        <v>205</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35000</v>
      </c>
      <c r="W25">
        <v>0</v>
      </c>
      <c r="X25" t="s">
        <v>205</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205</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205</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21000</v>
      </c>
      <c r="W26">
        <v>0</v>
      </c>
      <c r="X26" t="s">
        <v>205</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18</v>
      </c>
      <c r="AE26">
        <f t="shared" si="10"/>
        <v>511</v>
      </c>
      <c r="AF26">
        <f t="shared" si="6"/>
        <v>540</v>
      </c>
      <c r="AG26">
        <f>COUNTIFS(Table15[Min],"&gt;="&amp;AU26,Table15[Min],"&lt;="&amp;AV26,Table15[Type],"=TIME")</f>
        <v>0</v>
      </c>
      <c r="AK26" t="s">
        <v>36</v>
      </c>
      <c r="AL26">
        <v>36000</v>
      </c>
      <c r="AM26">
        <v>0</v>
      </c>
      <c r="AN26" t="s">
        <v>205</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16000</v>
      </c>
      <c r="G27">
        <v>0</v>
      </c>
      <c r="H27" t="s">
        <v>205</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25000</v>
      </c>
      <c r="W27">
        <v>0</v>
      </c>
      <c r="X27" t="s">
        <v>205</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6</v>
      </c>
      <c r="AE27">
        <f t="shared" si="10"/>
        <v>541</v>
      </c>
      <c r="AF27">
        <f t="shared" si="6"/>
        <v>570</v>
      </c>
      <c r="AG27">
        <f>COUNTIFS(Table15[Min],"&gt;="&amp;AU27,Table15[Min],"&lt;="&amp;AV27,Table15[Type],"=TIME")</f>
        <v>0</v>
      </c>
      <c r="AK27" t="s">
        <v>36</v>
      </c>
      <c r="AL27">
        <v>28000</v>
      </c>
      <c r="AM27">
        <v>0</v>
      </c>
      <c r="AN27" t="s">
        <v>205</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1</v>
      </c>
      <c r="V28">
        <v>30000</v>
      </c>
      <c r="W28">
        <v>0</v>
      </c>
      <c r="X28" t="s">
        <v>205</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205</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0</v>
      </c>
      <c r="G29">
        <v>0</v>
      </c>
      <c r="H29" t="s">
        <v>8</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1</v>
      </c>
      <c r="V29">
        <v>23000</v>
      </c>
      <c r="W29">
        <v>0</v>
      </c>
      <c r="X29" t="s">
        <v>205</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16000</v>
      </c>
      <c r="G30">
        <v>0</v>
      </c>
      <c r="H30" t="s">
        <v>205</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1</v>
      </c>
      <c r="V30">
        <v>0</v>
      </c>
      <c r="W30">
        <v>0</v>
      </c>
      <c r="X30" t="s">
        <v>8</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205</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2250</v>
      </c>
      <c r="G31">
        <v>0</v>
      </c>
      <c r="H31" t="s">
        <v>205</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1</v>
      </c>
      <c r="V31">
        <v>15000</v>
      </c>
      <c r="W31">
        <v>0</v>
      </c>
      <c r="X31" t="s">
        <v>205</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205</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2600</v>
      </c>
      <c r="G32">
        <v>0</v>
      </c>
      <c r="H32" t="s">
        <v>205</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1</v>
      </c>
      <c r="V32">
        <v>35000</v>
      </c>
      <c r="W32">
        <v>0</v>
      </c>
      <c r="X32" t="s">
        <v>205</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0</v>
      </c>
      <c r="G33">
        <v>0</v>
      </c>
      <c r="H33" t="s">
        <v>8</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1</v>
      </c>
      <c r="V33">
        <v>0</v>
      </c>
      <c r="W33">
        <v>0</v>
      </c>
      <c r="X33" t="s">
        <v>8</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205</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17000</v>
      </c>
      <c r="G34">
        <v>0</v>
      </c>
      <c r="H34" t="s">
        <v>205</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1</v>
      </c>
      <c r="V34">
        <v>200</v>
      </c>
      <c r="W34">
        <v>0</v>
      </c>
      <c r="X34" t="s">
        <v>4439</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205</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2500</v>
      </c>
      <c r="G35">
        <v>0</v>
      </c>
      <c r="H35" t="s">
        <v>205</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1</v>
      </c>
      <c r="V35">
        <v>20000</v>
      </c>
      <c r="W35">
        <v>0</v>
      </c>
      <c r="X35" t="s">
        <v>205</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205</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480</v>
      </c>
      <c r="G36">
        <v>0</v>
      </c>
      <c r="H36" t="s">
        <v>4439</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1</v>
      </c>
      <c r="V36">
        <v>22000</v>
      </c>
      <c r="W36">
        <v>0</v>
      </c>
      <c r="X36" t="s">
        <v>205</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205</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11</v>
      </c>
      <c r="F37">
        <v>18000</v>
      </c>
      <c r="G37">
        <v>0</v>
      </c>
      <c r="H37" t="s">
        <v>205</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1</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205</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1</v>
      </c>
      <c r="V38">
        <v>26000</v>
      </c>
      <c r="W38">
        <v>0</v>
      </c>
      <c r="X38" t="s">
        <v>205</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0</v>
      </c>
      <c r="G39">
        <v>0</v>
      </c>
      <c r="H39" t="s">
        <v>8</v>
      </c>
      <c r="I39" s="75" t="str">
        <f ca="1">IF(Table7[[#This Row],[Type]]="KILL",IF(_xlfn.NUMBERVALUE(RIGHT(Table7[[#This Row],[Min]],LEN(Table7[[#This Row],[Min]])-FIND("-",Table7[[#This Row],[Min]])))&gt;INDIRECT(ADDRESS(11+MATCH(LEFT(Table7[[#This Row],[Min]],FIND("-",Table7[[#This Row],[Min]])-1),Table1[Content Sku],0),14,1,1,"Entities")),"review","ok"),"ok")</f>
        <v>ok</v>
      </c>
      <c r="U39" t="s">
        <v>1</v>
      </c>
      <c r="V39">
        <v>35000</v>
      </c>
      <c r="W39">
        <v>0</v>
      </c>
      <c r="X39" t="s">
        <v>205</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35000</v>
      </c>
      <c r="G40">
        <v>0</v>
      </c>
      <c r="H40" t="s">
        <v>205</v>
      </c>
      <c r="I40" s="75" t="str">
        <f ca="1">IF(Table7[[#This Row],[Type]]="KILL",IF(_xlfn.NUMBERVALUE(RIGHT(Table7[[#This Row],[Min]],LEN(Table7[[#This Row],[Min]])-FIND("-",Table7[[#This Row],[Min]])))&gt;INDIRECT(ADDRESS(11+MATCH(LEFT(Table7[[#This Row],[Min]],FIND("-",Table7[[#This Row],[Min]])-1),Table1[Content Sku],0),14,1,1,"Entities")),"review","ok"),"ok")</f>
        <v>ok</v>
      </c>
      <c r="J40" t="s">
        <v>2716</v>
      </c>
      <c r="U40" t="s">
        <v>1</v>
      </c>
      <c r="V40">
        <v>0</v>
      </c>
      <c r="W40">
        <v>0</v>
      </c>
      <c r="X40" t="s">
        <v>8</v>
      </c>
      <c r="Y40" s="75" t="str">
        <f ca="1">IF(Table15[[#This Row],[Type]]="KILL",IF(_xlfn.NUMBERVALUE(RIGHT(Table15[[#This Row],[Min]],LEN(Table15[[#This Row],[Min]])-FIND("-",Table15[[#This Row],[Min]])))&gt;INDIRECT(ADDRESS(11+MATCH(LEFT(Table15[[#This Row],[Min]],FIND("-",Table15[[#This Row],[Min]])-1),Table1[Content Sku],0),16,1,1,"Entities")),"review","ok"),"ok")</f>
        <v>ok</v>
      </c>
      <c r="Z40" s="92" t="s">
        <v>2716</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2716</v>
      </c>
    </row>
    <row r="41" spans="5:49" x14ac:dyDescent="0.25">
      <c r="E41" t="s">
        <v>1</v>
      </c>
      <c r="F41">
        <v>15000</v>
      </c>
      <c r="G41">
        <v>0</v>
      </c>
      <c r="H41" t="s">
        <v>205</v>
      </c>
      <c r="I41" s="75" t="str">
        <f ca="1">IF(Table7[[#This Row],[Type]]="KILL",IF(_xlfn.NUMBERVALUE(RIGHT(Table7[[#This Row],[Min]],LEN(Table7[[#This Row],[Min]])-FIND("-",Table7[[#This Row],[Min]])))&gt;INDIRECT(ADDRESS(11+MATCH(LEFT(Table7[[#This Row],[Min]],FIND("-",Table7[[#This Row],[Min]])-1),Table1[Content Sku],0),14,1,1,"Entities")),"review","ok"),"ok")</f>
        <v>ok</v>
      </c>
      <c r="J41" t="s">
        <v>2718</v>
      </c>
      <c r="K41" t="s">
        <v>191</v>
      </c>
      <c r="L41" t="s">
        <v>2717</v>
      </c>
      <c r="N41" s="1" t="s">
        <v>2719</v>
      </c>
      <c r="O41" s="1">
        <f ca="1">SUM(Table34[COINS])</f>
        <v>96</v>
      </c>
      <c r="U41" t="s">
        <v>1</v>
      </c>
      <c r="V41">
        <v>17000</v>
      </c>
      <c r="W41">
        <v>0</v>
      </c>
      <c r="X41" t="s">
        <v>205</v>
      </c>
      <c r="Y41" s="75" t="str">
        <f ca="1">IF(Table15[[#This Row],[Type]]="KILL",IF(_xlfn.NUMBERVALUE(RIGHT(Table15[[#This Row],[Min]],LEN(Table15[[#This Row],[Min]])-FIND("-",Table15[[#This Row],[Min]])))&gt;INDIRECT(ADDRESS(11+MATCH(LEFT(Table15[[#This Row],[Min]],FIND("-",Table15[[#This Row],[Min]])-1),Table1[Content Sku],0),16,1,1,"Entities")),"review","ok"),"ok")</f>
        <v>ok</v>
      </c>
      <c r="Z41" t="s">
        <v>2718</v>
      </c>
      <c r="AA41" t="s">
        <v>191</v>
      </c>
      <c r="AB41" t="s">
        <v>2717</v>
      </c>
      <c r="AD41" s="1" t="s">
        <v>2719</v>
      </c>
      <c r="AE41" s="1">
        <f ca="1">SUM(Table33[COINS])</f>
        <v>289</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2718</v>
      </c>
      <c r="AQ41" t="s">
        <v>191</v>
      </c>
      <c r="AR41" t="s">
        <v>2717</v>
      </c>
      <c r="AT41" s="1" t="s">
        <v>2719</v>
      </c>
      <c r="AU41" s="1">
        <f ca="1">SUM(Table32[COINS])</f>
        <v>138</v>
      </c>
    </row>
    <row r="42" spans="5:49" x14ac:dyDescent="0.25">
      <c r="E42" t="s">
        <v>1</v>
      </c>
      <c r="F42">
        <v>0</v>
      </c>
      <c r="G42">
        <v>0</v>
      </c>
      <c r="H42" t="s">
        <v>8</v>
      </c>
      <c r="I42" s="75" t="str">
        <f ca="1">IF(Table7[[#This Row],[Type]]="KILL",IF(_xlfn.NUMBERVALUE(RIGHT(Table7[[#This Row],[Min]],LEN(Table7[[#This Row],[Min]])-FIND("-",Table7[[#This Row],[Min]])))&gt;INDIRECT(ADDRESS(11+MATCH(LEFT(Table7[[#This Row],[Min]],FIND("-",Table7[[#This Row],[Min]])-1),Table1[Content Sku],0),14,1,1,"Entities")),"review","ok"),"ok")</f>
        <v>ok</v>
      </c>
      <c r="J42" t="s">
        <v>122</v>
      </c>
      <c r="K42">
        <v>1</v>
      </c>
      <c r="L42" s="75">
        <f ca="1">INDIRECT(ADDRESS(2+(MATCH(Table34[[#This Row],[SPAWNER]],Table40[SPAWNER],0)),2,1,1,"DATA_SCENES_UNITY_2"))</f>
        <v>3</v>
      </c>
      <c r="U42" t="s">
        <v>1</v>
      </c>
      <c r="V42">
        <v>20000</v>
      </c>
      <c r="W42">
        <v>0</v>
      </c>
      <c r="X42" t="s">
        <v>205</v>
      </c>
      <c r="Y42" s="75" t="str">
        <f ca="1">IF(Table15[[#This Row],[Type]]="KILL",IF(_xlfn.NUMBERVALUE(RIGHT(Table15[[#This Row],[Min]],LEN(Table15[[#This Row],[Min]])-FIND("-",Table15[[#This Row],[Min]])))&gt;INDIRECT(ADDRESS(11+MATCH(LEFT(Table15[[#This Row],[Min]],FIND("-",Table15[[#This Row],[Min]])-1),Table1[Content Sku],0),16,1,1,"Entities")),"review","ok"),"ok")</f>
        <v>ok</v>
      </c>
      <c r="Z42" t="s">
        <v>122</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122</v>
      </c>
      <c r="AQ42">
        <v>1</v>
      </c>
      <c r="AR42" s="75">
        <f ca="1">INDIRECT(ADDRESS(2+(MATCH(Table32[[#This Row],[SPAWNER]],Table40[SPAWNER],0)),2,1,1,"DATA_SCENES_UNITY_2"))</f>
        <v>3</v>
      </c>
    </row>
    <row r="43" spans="5:49" x14ac:dyDescent="0.25">
      <c r="E43" t="s">
        <v>1</v>
      </c>
      <c r="F43">
        <v>16000</v>
      </c>
      <c r="G43">
        <v>0</v>
      </c>
      <c r="H43" t="s">
        <v>205</v>
      </c>
      <c r="I43" s="75" t="str">
        <f ca="1">IF(Table7[[#This Row],[Type]]="KILL",IF(_xlfn.NUMBERVALUE(RIGHT(Table7[[#This Row],[Min]],LEN(Table7[[#This Row],[Min]])-FIND("-",Table7[[#This Row],[Min]])))&gt;INDIRECT(ADDRESS(11+MATCH(LEFT(Table7[[#This Row],[Min]],FIND("-",Table7[[#This Row],[Min]])-1),Table1[Content Sku],0),14,1,1,"Entities")),"review","ok"),"ok")</f>
        <v>ok</v>
      </c>
      <c r="J43" t="s">
        <v>122</v>
      </c>
      <c r="K43">
        <v>1</v>
      </c>
      <c r="L43" s="75">
        <f ca="1">INDIRECT(ADDRESS(2+(MATCH(Table34[[#This Row],[SPAWNER]],Table40[SPAWNER],0)),2,1,1,"DATA_SCENES_UNITY_2"))</f>
        <v>3</v>
      </c>
      <c r="N43" t="s">
        <v>3843</v>
      </c>
      <c r="U43" t="s">
        <v>1</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122</v>
      </c>
      <c r="AA43">
        <v>1</v>
      </c>
      <c r="AB43" s="75">
        <f ca="1">INDIRECT(ADDRESS(2+(MATCH(Table33[[#This Row],[SPAWNER]],Table40[SPAWNER],0)),2,1,1,"DATA_SCENES_UNITY_2"))</f>
        <v>3</v>
      </c>
      <c r="AD43" t="s">
        <v>3843</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122</v>
      </c>
      <c r="AQ43">
        <v>1</v>
      </c>
      <c r="AR43" s="75">
        <f ca="1">INDIRECT(ADDRESS(2+(MATCH(Table32[[#This Row],[SPAWNER]],Table40[SPAWNER],0)),2,1,1,"DATA_SCENES_UNITY_2"))</f>
        <v>3</v>
      </c>
      <c r="AT43" t="s">
        <v>3843</v>
      </c>
    </row>
    <row r="44" spans="5:49" x14ac:dyDescent="0.25">
      <c r="E44" t="s">
        <v>407</v>
      </c>
      <c r="F44">
        <v>0</v>
      </c>
      <c r="G44">
        <v>0</v>
      </c>
      <c r="H44" t="s">
        <v>8</v>
      </c>
      <c r="I44" s="75" t="str">
        <f ca="1">IF(Table7[[#This Row],[Type]]="KILL",IF(_xlfn.NUMBERVALUE(RIGHT(Table7[[#This Row],[Min]],LEN(Table7[[#This Row],[Min]])-FIND("-",Table7[[#This Row],[Min]])))&gt;INDIRECT(ADDRESS(11+MATCH(LEFT(Table7[[#This Row],[Min]],FIND("-",Table7[[#This Row],[Min]])-1),Table1[Content Sku],0),14,1,1,"Entities")),"review","ok"),"ok")</f>
        <v>ok</v>
      </c>
      <c r="J44" t="s">
        <v>122</v>
      </c>
      <c r="K44">
        <v>1</v>
      </c>
      <c r="L44" s="75">
        <f ca="1">INDIRECT(ADDRESS(2+(MATCH(Table34[[#This Row],[SPAWNER]],Table40[SPAWNER],0)),2,1,1,"DATA_SCENES_UNITY_2"))</f>
        <v>3</v>
      </c>
      <c r="N44" s="1" t="s">
        <v>3842</v>
      </c>
      <c r="O44" s="1">
        <v>21</v>
      </c>
      <c r="U44" t="s">
        <v>1</v>
      </c>
      <c r="V44">
        <v>10000</v>
      </c>
      <c r="W44">
        <v>0</v>
      </c>
      <c r="X44" t="s">
        <v>205</v>
      </c>
      <c r="Y44" s="75" t="str">
        <f ca="1">IF(Table15[[#This Row],[Type]]="KILL",IF(_xlfn.NUMBERVALUE(RIGHT(Table15[[#This Row],[Min]],LEN(Table15[[#This Row],[Min]])-FIND("-",Table15[[#This Row],[Min]])))&gt;INDIRECT(ADDRESS(11+MATCH(LEFT(Table15[[#This Row],[Min]],FIND("-",Table15[[#This Row],[Min]])-1),Table1[Content Sku],0),16,1,1,"Entities")),"review","ok"),"ok")</f>
        <v>ok</v>
      </c>
      <c r="Z44" t="s">
        <v>122</v>
      </c>
      <c r="AA44">
        <v>1</v>
      </c>
      <c r="AB44" s="75">
        <f ca="1">INDIRECT(ADDRESS(2+(MATCH(Table33[[#This Row],[SPAWNER]],Table40[SPAWNER],0)),2,1,1,"DATA_SCENES_UNITY_2"))</f>
        <v>3</v>
      </c>
      <c r="AD44" s="1" t="s">
        <v>3842</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122</v>
      </c>
      <c r="AQ44">
        <v>1</v>
      </c>
      <c r="AR44" s="75">
        <f ca="1">INDIRECT(ADDRESS(2+(MATCH(Table32[[#This Row],[SPAWNER]],Table40[SPAWNER],0)),2,1,1,"DATA_SCENES_UNITY_2"))</f>
        <v>3</v>
      </c>
      <c r="AT44" s="1" t="s">
        <v>3842</v>
      </c>
      <c r="AU44" s="1">
        <v>27</v>
      </c>
    </row>
    <row r="45" spans="5:49" x14ac:dyDescent="0.25">
      <c r="E45" t="s">
        <v>407</v>
      </c>
      <c r="F45">
        <v>14000</v>
      </c>
      <c r="G45">
        <v>0</v>
      </c>
      <c r="H45" t="s">
        <v>205</v>
      </c>
      <c r="I45" s="75" t="str">
        <f ca="1">IF(Table7[[#This Row],[Type]]="KILL",IF(_xlfn.NUMBERVALUE(RIGHT(Table7[[#This Row],[Min]],LEN(Table7[[#This Row],[Min]])-FIND("-",Table7[[#This Row],[Min]])))&gt;INDIRECT(ADDRESS(11+MATCH(LEFT(Table7[[#This Row],[Min]],FIND("-",Table7[[#This Row],[Min]])-1),Table1[Content Sku],0),14,1,1,"Entities")),"review","ok"),"ok")</f>
        <v>ok</v>
      </c>
      <c r="J45" t="s">
        <v>122</v>
      </c>
      <c r="K45">
        <v>1</v>
      </c>
      <c r="L45" s="75">
        <f ca="1">INDIRECT(ADDRESS(2+(MATCH(Table34[[#This Row],[SPAWNER]],Table40[SPAWNER],0)),2,1,1,"DATA_SCENES_UNITY_2"))</f>
        <v>3</v>
      </c>
      <c r="U45" t="s">
        <v>1</v>
      </c>
      <c r="V45">
        <v>30000</v>
      </c>
      <c r="W45">
        <v>0</v>
      </c>
      <c r="X45" t="s">
        <v>205</v>
      </c>
      <c r="Y45" s="75" t="str">
        <f ca="1">IF(Table15[[#This Row],[Type]]="KILL",IF(_xlfn.NUMBERVALUE(RIGHT(Table15[[#This Row],[Min]],LEN(Table15[[#This Row],[Min]])-FIND("-",Table15[[#This Row],[Min]])))&gt;INDIRECT(ADDRESS(11+MATCH(LEFT(Table15[[#This Row],[Min]],FIND("-",Table15[[#This Row],[Min]])-1),Table1[Content Sku],0),16,1,1,"Entities")),"review","ok"),"ok")</f>
        <v>ok</v>
      </c>
      <c r="Z45" t="s">
        <v>122</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122</v>
      </c>
      <c r="AQ45">
        <v>1</v>
      </c>
      <c r="AR45" s="75">
        <f ca="1">INDIRECT(ADDRESS(2+(MATCH(Table32[[#This Row],[SPAWNER]],Table40[SPAWNER],0)),2,1,1,"DATA_SCENES_UNITY_2"))</f>
        <v>3</v>
      </c>
    </row>
    <row r="46" spans="5:49" x14ac:dyDescent="0.25">
      <c r="E46" t="s">
        <v>407</v>
      </c>
      <c r="F46">
        <v>4000</v>
      </c>
      <c r="G46">
        <v>0</v>
      </c>
      <c r="H46" t="s">
        <v>205</v>
      </c>
      <c r="I46" s="75" t="str">
        <f ca="1">IF(Table7[[#This Row],[Type]]="KILL",IF(_xlfn.NUMBERVALUE(RIGHT(Table7[[#This Row],[Min]],LEN(Table7[[#This Row],[Min]])-FIND("-",Table7[[#This Row],[Min]])))&gt;INDIRECT(ADDRESS(11+MATCH(LEFT(Table7[[#This Row],[Min]],FIND("-",Table7[[#This Row],[Min]])-1),Table1[Content Sku],0),14,1,1,"Entities")),"review","ok"),"ok")</f>
        <v>ok</v>
      </c>
      <c r="J46" t="s">
        <v>122</v>
      </c>
      <c r="K46">
        <v>1</v>
      </c>
      <c r="L46" s="75">
        <f ca="1">INDIRECT(ADDRESS(2+(MATCH(Table34[[#This Row],[SPAWNER]],Table40[SPAWNER],0)),2,1,1,"DATA_SCENES_UNITY_2"))</f>
        <v>3</v>
      </c>
      <c r="U46" t="s">
        <v>1</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122</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122</v>
      </c>
      <c r="AQ46">
        <v>1</v>
      </c>
      <c r="AR46" s="75">
        <f ca="1">INDIRECT(ADDRESS(2+(MATCH(Table32[[#This Row],[SPAWNER]],Table40[SPAWNER],0)),2,1,1,"DATA_SCENES_UNITY_2"))</f>
        <v>3</v>
      </c>
    </row>
    <row r="47" spans="5:49" x14ac:dyDescent="0.25">
      <c r="E47" t="s">
        <v>407</v>
      </c>
      <c r="F47">
        <v>0</v>
      </c>
      <c r="G47">
        <v>0</v>
      </c>
      <c r="H47" t="s">
        <v>8</v>
      </c>
      <c r="I47" s="75" t="str">
        <f ca="1">IF(Table7[[#This Row],[Type]]="KILL",IF(_xlfn.NUMBERVALUE(RIGHT(Table7[[#This Row],[Min]],LEN(Table7[[#This Row],[Min]])-FIND("-",Table7[[#This Row],[Min]])))&gt;INDIRECT(ADDRESS(11+MATCH(LEFT(Table7[[#This Row],[Min]],FIND("-",Table7[[#This Row],[Min]])-1),Table1[Content Sku],0),14,1,1,"Entities")),"review","ok"),"ok")</f>
        <v>ok</v>
      </c>
      <c r="J47" t="s">
        <v>122</v>
      </c>
      <c r="K47">
        <v>1</v>
      </c>
      <c r="L47" s="75">
        <f ca="1">INDIRECT(ADDRESS(2+(MATCH(Table34[[#This Row],[SPAWNER]],Table40[SPAWNER],0)),2,1,1,"DATA_SCENES_UNITY_2"))</f>
        <v>3</v>
      </c>
      <c r="U47" t="s">
        <v>1</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122</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122</v>
      </c>
      <c r="AQ47">
        <v>1</v>
      </c>
      <c r="AR47" s="75">
        <f ca="1">INDIRECT(ADDRESS(2+(MATCH(Table32[[#This Row],[SPAWNER]],Table40[SPAWNER],0)),2,1,1,"DATA_SCENES_UNITY_2"))</f>
        <v>3</v>
      </c>
    </row>
    <row r="48" spans="5:49" x14ac:dyDescent="0.25">
      <c r="E48" t="s">
        <v>407</v>
      </c>
      <c r="F48">
        <v>8000</v>
      </c>
      <c r="G48">
        <v>0</v>
      </c>
      <c r="H48" t="s">
        <v>205</v>
      </c>
      <c r="I48" s="75" t="str">
        <f ca="1">IF(Table7[[#This Row],[Type]]="KILL",IF(_xlfn.NUMBERVALUE(RIGHT(Table7[[#This Row],[Min]],LEN(Table7[[#This Row],[Min]])-FIND("-",Table7[[#This Row],[Min]])))&gt;INDIRECT(ADDRESS(11+MATCH(LEFT(Table7[[#This Row],[Min]],FIND("-",Table7[[#This Row],[Min]])-1),Table1[Content Sku],0),14,1,1,"Entities")),"review","ok"),"ok")</f>
        <v>ok</v>
      </c>
      <c r="J48" t="s">
        <v>122</v>
      </c>
      <c r="K48">
        <v>1</v>
      </c>
      <c r="L48" s="75">
        <f ca="1">INDIRECT(ADDRESS(2+(MATCH(Table34[[#This Row],[SPAWNER]],Table40[SPAWNER],0)),2,1,1,"DATA_SCENES_UNITY_2"))</f>
        <v>3</v>
      </c>
      <c r="U48" t="s">
        <v>397</v>
      </c>
      <c r="V48">
        <v>40000</v>
      </c>
      <c r="W48">
        <v>0</v>
      </c>
      <c r="X48" t="s">
        <v>205</v>
      </c>
      <c r="Y48" s="75" t="str">
        <f ca="1">IF(Table15[[#This Row],[Type]]="KILL",IF(_xlfn.NUMBERVALUE(RIGHT(Table15[[#This Row],[Min]],LEN(Table15[[#This Row],[Min]])-FIND("-",Table15[[#This Row],[Min]])))&gt;INDIRECT(ADDRESS(11+MATCH(LEFT(Table15[[#This Row],[Min]],FIND("-",Table15[[#This Row],[Min]])-1),Table1[Content Sku],0),16,1,1,"Entities")),"review","ok"),"ok")</f>
        <v>ok</v>
      </c>
      <c r="Z48" t="s">
        <v>122</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122</v>
      </c>
      <c r="AQ48">
        <v>1</v>
      </c>
      <c r="AR48" s="75">
        <f ca="1">INDIRECT(ADDRESS(2+(MATCH(Table32[[#This Row],[SPAWNER]],Table40[SPAWNER],0)),2,1,1,"DATA_SCENES_UNITY_2"))</f>
        <v>3</v>
      </c>
    </row>
    <row r="49" spans="5:44" x14ac:dyDescent="0.25">
      <c r="E49" t="s">
        <v>407</v>
      </c>
      <c r="F49">
        <v>4800</v>
      </c>
      <c r="G49">
        <v>0</v>
      </c>
      <c r="H49" t="s">
        <v>205</v>
      </c>
      <c r="I49" s="75" t="str">
        <f ca="1">IF(Table7[[#This Row],[Type]]="KILL",IF(_xlfn.NUMBERVALUE(RIGHT(Table7[[#This Row],[Min]],LEN(Table7[[#This Row],[Min]])-FIND("-",Table7[[#This Row],[Min]])))&gt;INDIRECT(ADDRESS(11+MATCH(LEFT(Table7[[#This Row],[Min]],FIND("-",Table7[[#This Row],[Min]])-1),Table1[Content Sku],0),14,1,1,"Entities")),"review","ok"),"ok")</f>
        <v>ok</v>
      </c>
      <c r="J49" t="s">
        <v>122</v>
      </c>
      <c r="K49">
        <v>1</v>
      </c>
      <c r="L49" s="75">
        <f ca="1">INDIRECT(ADDRESS(2+(MATCH(Table34[[#This Row],[SPAWNER]],Table40[SPAWNER],0)),2,1,1,"DATA_SCENES_UNITY_2"))</f>
        <v>3</v>
      </c>
      <c r="U49" t="s">
        <v>397</v>
      </c>
      <c r="V49">
        <v>0</v>
      </c>
      <c r="W49">
        <v>0</v>
      </c>
      <c r="X49" t="s">
        <v>8</v>
      </c>
      <c r="Y49" s="75" t="str">
        <f ca="1">IF(Table15[[#This Row],[Type]]="KILL",IF(_xlfn.NUMBERVALUE(RIGHT(Table15[[#This Row],[Min]],LEN(Table15[[#This Row],[Min]])-FIND("-",Table15[[#This Row],[Min]])))&gt;INDIRECT(ADDRESS(11+MATCH(LEFT(Table15[[#This Row],[Min]],FIND("-",Table15[[#This Row],[Min]])-1),Table1[Content Sku],0),16,1,1,"Entities")),"review","ok"),"ok")</f>
        <v>ok</v>
      </c>
      <c r="Z49" t="s">
        <v>122</v>
      </c>
      <c r="AA49">
        <v>1</v>
      </c>
      <c r="AB49" s="75">
        <f ca="1">INDIRECT(ADDRESS(2+(MATCH(Table33[[#This Row],[SPAWNER]],Table40[SPAWNER],0)),2,1,1,"DATA_SCENES_UNITY_2"))</f>
        <v>3</v>
      </c>
      <c r="AK49" t="s">
        <v>37</v>
      </c>
      <c r="AL49">
        <v>20000</v>
      </c>
      <c r="AM49">
        <v>0</v>
      </c>
      <c r="AN49" t="s">
        <v>205</v>
      </c>
      <c r="AO49" s="75" t="str">
        <f ca="1">IF(Table20[[#This Row],[Type]]="KILL",IF(_xlfn.NUMBERVALUE(RIGHT(Table20[[#This Row],[Min]],LEN(Table20[[#This Row],[Min]])-FIND("-",Table20[[#This Row],[Min]])))&gt;INDIRECT(ADDRESS(11+MATCH(LEFT(Table20[[#This Row],[Min]],FIND("-",Table20[[#This Row],[Min]])-1),Table1[Content Sku],0),18,1,1,"Entities")),"review","ok"),"ok")</f>
        <v>ok</v>
      </c>
      <c r="AP49" t="s">
        <v>122</v>
      </c>
      <c r="AQ49">
        <v>1</v>
      </c>
      <c r="AR49" s="75">
        <f ca="1">INDIRECT(ADDRESS(2+(MATCH(Table32[[#This Row],[SPAWNER]],Table40[SPAWNER],0)),2,1,1,"DATA_SCENES_UNITY_2"))</f>
        <v>3</v>
      </c>
    </row>
    <row r="50" spans="5:44" x14ac:dyDescent="0.25">
      <c r="E50" t="s">
        <v>407</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122</v>
      </c>
      <c r="K50">
        <v>1</v>
      </c>
      <c r="L50" s="75">
        <f ca="1">INDIRECT(ADDRESS(2+(MATCH(Table34[[#This Row],[SPAWNER]],Table40[SPAWNER],0)),2,1,1,"DATA_SCENES_UNITY_2"))</f>
        <v>3</v>
      </c>
      <c r="U50" t="s">
        <v>397</v>
      </c>
      <c r="V50">
        <v>300</v>
      </c>
      <c r="W50">
        <v>0</v>
      </c>
      <c r="X50" t="s">
        <v>4439</v>
      </c>
      <c r="Y50" s="75" t="str">
        <f ca="1">IF(Table15[[#This Row],[Type]]="KILL",IF(_xlfn.NUMBERVALUE(RIGHT(Table15[[#This Row],[Min]],LEN(Table15[[#This Row],[Min]])-FIND("-",Table15[[#This Row],[Min]])))&gt;INDIRECT(ADDRESS(11+MATCH(LEFT(Table15[[#This Row],[Min]],FIND("-",Table15[[#This Row],[Min]])-1),Table1[Content Sku],0),16,1,1,"Entities")),"review","ok"),"ok")</f>
        <v>ok</v>
      </c>
      <c r="Z50" t="s">
        <v>122</v>
      </c>
      <c r="AA50">
        <v>1</v>
      </c>
      <c r="AB50" s="75">
        <f ca="1">INDIRECT(ADDRESS(2+(MATCH(Table33[[#This Row],[SPAWNER]],Table40[SPAWNER],0)),2,1,1,"DATA_SCENES_UNITY_2"))</f>
        <v>3</v>
      </c>
      <c r="AK50" t="s">
        <v>37</v>
      </c>
      <c r="AL50">
        <v>0</v>
      </c>
      <c r="AM50">
        <v>40000</v>
      </c>
      <c r="AN50" t="s">
        <v>205</v>
      </c>
      <c r="AO50" s="75" t="str">
        <f ca="1">IF(Table20[[#This Row],[Type]]="KILL",IF(_xlfn.NUMBERVALUE(RIGHT(Table20[[#This Row],[Min]],LEN(Table20[[#This Row],[Min]])-FIND("-",Table20[[#This Row],[Min]])))&gt;INDIRECT(ADDRESS(11+MATCH(LEFT(Table20[[#This Row],[Min]],FIND("-",Table20[[#This Row],[Min]])-1),Table1[Content Sku],0),18,1,1,"Entities")),"review","ok"),"ok")</f>
        <v>ok</v>
      </c>
      <c r="AP50" t="s">
        <v>122</v>
      </c>
      <c r="AQ50">
        <v>1</v>
      </c>
      <c r="AR50" s="75">
        <f ca="1">INDIRECT(ADDRESS(2+(MATCH(Table32[[#This Row],[SPAWNER]],Table40[SPAWNER],0)),2,1,1,"DATA_SCENES_UNITY_2"))</f>
        <v>3</v>
      </c>
    </row>
    <row r="51" spans="5:44" x14ac:dyDescent="0.25">
      <c r="E51" t="s">
        <v>407</v>
      </c>
      <c r="F51">
        <v>0</v>
      </c>
      <c r="G51">
        <v>0</v>
      </c>
      <c r="H51" t="s">
        <v>8</v>
      </c>
      <c r="I51" s="75" t="str">
        <f ca="1">IF(Table7[[#This Row],[Type]]="KILL",IF(_xlfn.NUMBERVALUE(RIGHT(Table7[[#This Row],[Min]],LEN(Table7[[#This Row],[Min]])-FIND("-",Table7[[#This Row],[Min]])))&gt;INDIRECT(ADDRESS(11+MATCH(LEFT(Table7[[#This Row],[Min]],FIND("-",Table7[[#This Row],[Min]])-1),Table1[Content Sku],0),14,1,1,"Entities")),"review","ok"),"ok")</f>
        <v>ok</v>
      </c>
      <c r="J51" t="s">
        <v>122</v>
      </c>
      <c r="K51">
        <v>1</v>
      </c>
      <c r="L51" s="75">
        <f ca="1">INDIRECT(ADDRESS(2+(MATCH(Table34[[#This Row],[SPAWNER]],Table40[SPAWNER],0)),2,1,1,"DATA_SCENES_UNITY_2"))</f>
        <v>3</v>
      </c>
      <c r="U51" t="s">
        <v>397</v>
      </c>
      <c r="V51">
        <v>60000</v>
      </c>
      <c r="W51">
        <v>0</v>
      </c>
      <c r="X51" t="s">
        <v>205</v>
      </c>
      <c r="Y51" s="75" t="str">
        <f ca="1">IF(Table15[[#This Row],[Type]]="KILL",IF(_xlfn.NUMBERVALUE(RIGHT(Table15[[#This Row],[Min]],LEN(Table15[[#This Row],[Min]])-FIND("-",Table15[[#This Row],[Min]])))&gt;INDIRECT(ADDRESS(11+MATCH(LEFT(Table15[[#This Row],[Min]],FIND("-",Table15[[#This Row],[Min]])-1),Table1[Content Sku],0),16,1,1,"Entities")),"review","ok"),"ok")</f>
        <v>ok</v>
      </c>
      <c r="Z51" t="s">
        <v>122</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122</v>
      </c>
      <c r="AQ51">
        <v>1</v>
      </c>
      <c r="AR51" s="75">
        <f ca="1">INDIRECT(ADDRESS(2+(MATCH(Table32[[#This Row],[SPAWNER]],Table40[SPAWNER],0)),2,1,1,"DATA_SCENES_UNITY_2"))</f>
        <v>3</v>
      </c>
    </row>
    <row r="52" spans="5:44" x14ac:dyDescent="0.25">
      <c r="E52" t="s">
        <v>407</v>
      </c>
      <c r="F52">
        <v>6100</v>
      </c>
      <c r="G52">
        <v>0</v>
      </c>
      <c r="H52" t="s">
        <v>205</v>
      </c>
      <c r="I52" s="75" t="str">
        <f ca="1">IF(Table7[[#This Row],[Type]]="KILL",IF(_xlfn.NUMBERVALUE(RIGHT(Table7[[#This Row],[Min]],LEN(Table7[[#This Row],[Min]])-FIND("-",Table7[[#This Row],[Min]])))&gt;INDIRECT(ADDRESS(11+MATCH(LEFT(Table7[[#This Row],[Min]],FIND("-",Table7[[#This Row],[Min]])-1),Table1[Content Sku],0),14,1,1,"Entities")),"review","ok"),"ok")</f>
        <v>ok</v>
      </c>
      <c r="J52" t="s">
        <v>122</v>
      </c>
      <c r="K52">
        <v>1</v>
      </c>
      <c r="L52" s="75">
        <f ca="1">INDIRECT(ADDRESS(2+(MATCH(Table34[[#This Row],[SPAWNER]],Table40[SPAWNER],0)),2,1,1,"DATA_SCENES_UNITY_2"))</f>
        <v>3</v>
      </c>
      <c r="U52" t="s">
        <v>397</v>
      </c>
      <c r="V52">
        <v>40000</v>
      </c>
      <c r="W52">
        <v>0</v>
      </c>
      <c r="X52" t="s">
        <v>205</v>
      </c>
      <c r="Y52" s="75" t="str">
        <f ca="1">IF(Table15[[#This Row],[Type]]="KILL",IF(_xlfn.NUMBERVALUE(RIGHT(Table15[[#This Row],[Min]],LEN(Table15[[#This Row],[Min]])-FIND("-",Table15[[#This Row],[Min]])))&gt;INDIRECT(ADDRESS(11+MATCH(LEFT(Table15[[#This Row],[Min]],FIND("-",Table15[[#This Row],[Min]])-1),Table1[Content Sku],0),16,1,1,"Entities")),"review","ok"),"ok")</f>
        <v>ok</v>
      </c>
      <c r="Z52" t="s">
        <v>122</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122</v>
      </c>
      <c r="AQ52">
        <v>1</v>
      </c>
      <c r="AR52" s="75">
        <f ca="1">INDIRECT(ADDRESS(2+(MATCH(Table32[[#This Row],[SPAWNER]],Table40[SPAWNER],0)),2,1,1,"DATA_SCENES_UNITY_2"))</f>
        <v>3</v>
      </c>
    </row>
    <row r="53" spans="5:44" x14ac:dyDescent="0.25">
      <c r="E53" t="s">
        <v>407</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122</v>
      </c>
      <c r="K53">
        <v>1</v>
      </c>
      <c r="L53" s="75">
        <f ca="1">INDIRECT(ADDRESS(2+(MATCH(Table34[[#This Row],[SPAWNER]],Table40[SPAWNER],0)),2,1,1,"DATA_SCENES_UNITY_2"))</f>
        <v>3</v>
      </c>
      <c r="U53" t="s">
        <v>397</v>
      </c>
      <c r="V53">
        <v>0</v>
      </c>
      <c r="W53">
        <v>0</v>
      </c>
      <c r="X53" t="s">
        <v>8</v>
      </c>
      <c r="Y53" s="75" t="str">
        <f ca="1">IF(Table15[[#This Row],[Type]]="KILL",IF(_xlfn.NUMBERVALUE(RIGHT(Table15[[#This Row],[Min]],LEN(Table15[[#This Row],[Min]])-FIND("-",Table15[[#This Row],[Min]])))&gt;INDIRECT(ADDRESS(11+MATCH(LEFT(Table15[[#This Row],[Min]],FIND("-",Table15[[#This Row],[Min]])-1),Table1[Content Sku],0),16,1,1,"Entities")),"review","ok"),"ok")</f>
        <v>ok</v>
      </c>
      <c r="Z53" t="s">
        <v>122</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122</v>
      </c>
      <c r="AQ53">
        <v>1</v>
      </c>
      <c r="AR53" s="75">
        <f ca="1">INDIRECT(ADDRESS(2+(MATCH(Table32[[#This Row],[SPAWNER]],Table40[SPAWNER],0)),2,1,1,"DATA_SCENES_UNITY_2"))</f>
        <v>3</v>
      </c>
    </row>
    <row r="54" spans="5:44" x14ac:dyDescent="0.25">
      <c r="E54" t="s">
        <v>407</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122</v>
      </c>
      <c r="K54">
        <v>1</v>
      </c>
      <c r="L54" s="75">
        <f ca="1">INDIRECT(ADDRESS(2+(MATCH(Table34[[#This Row],[SPAWNER]],Table40[SPAWNER],0)),2,1,1,"DATA_SCENES_UNITY_2"))</f>
        <v>3</v>
      </c>
      <c r="U54" t="s">
        <v>397</v>
      </c>
      <c r="V54">
        <v>80000</v>
      </c>
      <c r="W54">
        <v>0</v>
      </c>
      <c r="X54" t="s">
        <v>205</v>
      </c>
      <c r="Y54" s="75" t="str">
        <f ca="1">IF(Table15[[#This Row],[Type]]="KILL",IF(_xlfn.NUMBERVALUE(RIGHT(Table15[[#This Row],[Min]],LEN(Table15[[#This Row],[Min]])-FIND("-",Table15[[#This Row],[Min]])))&gt;INDIRECT(ADDRESS(11+MATCH(LEFT(Table15[[#This Row],[Min]],FIND("-",Table15[[#This Row],[Min]])-1),Table1[Content Sku],0),16,1,1,"Entities")),"review","ok"),"ok")</f>
        <v>ok</v>
      </c>
      <c r="Z54" t="s">
        <v>122</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122</v>
      </c>
      <c r="AQ54">
        <v>1</v>
      </c>
      <c r="AR54" s="75">
        <f ca="1">INDIRECT(ADDRESS(2+(MATCH(Table32[[#This Row],[SPAWNER]],Table40[SPAWNER],0)),2,1,1,"DATA_SCENES_UNITY_2"))</f>
        <v>3</v>
      </c>
    </row>
    <row r="55" spans="5:44" x14ac:dyDescent="0.25">
      <c r="E55" t="s">
        <v>407</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2775</v>
      </c>
      <c r="K55">
        <v>1</v>
      </c>
      <c r="L55" s="75">
        <f ca="1">INDIRECT(ADDRESS(2+(MATCH(Table34[[#This Row],[SPAWNER]],Table40[SPAWNER],0)),2,1,1,"DATA_SCENES_UNITY_2"))</f>
        <v>1</v>
      </c>
      <c r="U55" t="s">
        <v>397</v>
      </c>
      <c r="V55">
        <v>42000</v>
      </c>
      <c r="W55">
        <v>0</v>
      </c>
      <c r="X55" t="s">
        <v>205</v>
      </c>
      <c r="Y55" s="75" t="str">
        <f ca="1">IF(Table15[[#This Row],[Type]]="KILL",IF(_xlfn.NUMBERVALUE(RIGHT(Table15[[#This Row],[Min]],LEN(Table15[[#This Row],[Min]])-FIND("-",Table15[[#This Row],[Min]])))&gt;INDIRECT(ADDRESS(11+MATCH(LEFT(Table15[[#This Row],[Min]],FIND("-",Table15[[#This Row],[Min]])-1),Table1[Content Sku],0),16,1,1,"Entities")),"review","ok"),"ok")</f>
        <v>ok</v>
      </c>
      <c r="Z55" t="s">
        <v>122</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122</v>
      </c>
      <c r="AQ55">
        <v>1</v>
      </c>
      <c r="AR55" s="75">
        <f ca="1">INDIRECT(ADDRESS(2+(MATCH(Table32[[#This Row],[SPAWNER]],Table40[SPAWNER],0)),2,1,1,"DATA_SCENES_UNITY_2"))</f>
        <v>3</v>
      </c>
    </row>
    <row r="56" spans="5:44" x14ac:dyDescent="0.25">
      <c r="E56" t="s">
        <v>409</v>
      </c>
      <c r="F56">
        <v>0</v>
      </c>
      <c r="G56">
        <v>0</v>
      </c>
      <c r="H56" t="s">
        <v>8</v>
      </c>
      <c r="I56" s="75" t="str">
        <f ca="1">IF(Table7[[#This Row],[Type]]="KILL",IF(_xlfn.NUMBERVALUE(RIGHT(Table7[[#This Row],[Min]],LEN(Table7[[#This Row],[Min]])-FIND("-",Table7[[#This Row],[Min]])))&gt;INDIRECT(ADDRESS(11+MATCH(LEFT(Table7[[#This Row],[Min]],FIND("-",Table7[[#This Row],[Min]])-1),Table1[Content Sku],0),14,1,1,"Entities")),"review","ok"),"ok")</f>
        <v>ok</v>
      </c>
      <c r="J56" t="s">
        <v>2775</v>
      </c>
      <c r="K56">
        <v>1</v>
      </c>
      <c r="L56" s="75">
        <f ca="1">INDIRECT(ADDRESS(2+(MATCH(Table34[[#This Row],[SPAWNER]],Table40[SPAWNER],0)),2,1,1,"DATA_SCENES_UNITY_2"))</f>
        <v>1</v>
      </c>
      <c r="U56" t="s">
        <v>397</v>
      </c>
      <c r="V56">
        <v>35000</v>
      </c>
      <c r="W56">
        <v>0</v>
      </c>
      <c r="X56" t="s">
        <v>205</v>
      </c>
      <c r="Y56" s="75" t="str">
        <f ca="1">IF(Table15[[#This Row],[Type]]="KILL",IF(_xlfn.NUMBERVALUE(RIGHT(Table15[[#This Row],[Min]],LEN(Table15[[#This Row],[Min]])-FIND("-",Table15[[#This Row],[Min]])))&gt;INDIRECT(ADDRESS(11+MATCH(LEFT(Table15[[#This Row],[Min]],FIND("-",Table15[[#This Row],[Min]])-1),Table1[Content Sku],0),16,1,1,"Entities")),"review","ok"),"ok")</f>
        <v>ok</v>
      </c>
      <c r="Z56" t="s">
        <v>122</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122</v>
      </c>
      <c r="AQ56">
        <v>1</v>
      </c>
      <c r="AR56" s="75">
        <f ca="1">INDIRECT(ADDRESS(2+(MATCH(Table32[[#This Row],[SPAWNER]],Table40[SPAWNER],0)),2,1,1,"DATA_SCENES_UNITY_2"))</f>
        <v>3</v>
      </c>
    </row>
    <row r="57" spans="5:44" x14ac:dyDescent="0.25">
      <c r="E57" t="s">
        <v>409</v>
      </c>
      <c r="F57">
        <v>4000</v>
      </c>
      <c r="G57">
        <v>12000</v>
      </c>
      <c r="H57" t="s">
        <v>205</v>
      </c>
      <c r="I57" s="75" t="str">
        <f ca="1">IF(Table7[[#This Row],[Type]]="KILL",IF(_xlfn.NUMBERVALUE(RIGHT(Table7[[#This Row],[Min]],LEN(Table7[[#This Row],[Min]])-FIND("-",Table7[[#This Row],[Min]])))&gt;INDIRECT(ADDRESS(11+MATCH(LEFT(Table7[[#This Row],[Min]],FIND("-",Table7[[#This Row],[Min]])-1),Table1[Content Sku],0),14,1,1,"Entities")),"review","ok"),"ok")</f>
        <v>ok</v>
      </c>
      <c r="J57" t="s">
        <v>2775</v>
      </c>
      <c r="K57">
        <v>1</v>
      </c>
      <c r="L57" s="75">
        <f ca="1">INDIRECT(ADDRESS(2+(MATCH(Table34[[#This Row],[SPAWNER]],Table40[SPAWNER],0)),2,1,1,"DATA_SCENES_UNITY_2"))</f>
        <v>1</v>
      </c>
      <c r="U57" t="s">
        <v>397</v>
      </c>
      <c r="V57">
        <v>0</v>
      </c>
      <c r="W57">
        <v>0</v>
      </c>
      <c r="X57" t="s">
        <v>8</v>
      </c>
      <c r="Y57" s="75" t="str">
        <f ca="1">IF(Table15[[#This Row],[Type]]="KILL",IF(_xlfn.NUMBERVALUE(RIGHT(Table15[[#This Row],[Min]],LEN(Table15[[#This Row],[Min]])-FIND("-",Table15[[#This Row],[Min]])))&gt;INDIRECT(ADDRESS(11+MATCH(LEFT(Table15[[#This Row],[Min]],FIND("-",Table15[[#This Row],[Min]])-1),Table1[Content Sku],0),16,1,1,"Entities")),"review","ok"),"ok")</f>
        <v>ok</v>
      </c>
      <c r="Z57" t="s">
        <v>122</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122</v>
      </c>
      <c r="AQ57">
        <v>1</v>
      </c>
      <c r="AR57" s="75">
        <f ca="1">INDIRECT(ADDRESS(2+(MATCH(Table32[[#This Row],[SPAWNER]],Table40[SPAWNER],0)),2,1,1,"DATA_SCENES_UNITY_2"))</f>
        <v>3</v>
      </c>
    </row>
    <row r="58" spans="5:44" x14ac:dyDescent="0.25">
      <c r="E58" t="s">
        <v>409</v>
      </c>
      <c r="F58">
        <v>12000</v>
      </c>
      <c r="G58">
        <v>0</v>
      </c>
      <c r="H58" t="s">
        <v>205</v>
      </c>
      <c r="I58" s="75" t="str">
        <f ca="1">IF(Table7[[#This Row],[Type]]="KILL",IF(_xlfn.NUMBERVALUE(RIGHT(Table7[[#This Row],[Min]],LEN(Table7[[#This Row],[Min]])-FIND("-",Table7[[#This Row],[Min]])))&gt;INDIRECT(ADDRESS(11+MATCH(LEFT(Table7[[#This Row],[Min]],FIND("-",Table7[[#This Row],[Min]])-1),Table1[Content Sku],0),14,1,1,"Entities")),"review","ok"),"ok")</f>
        <v>ok</v>
      </c>
      <c r="J58" t="s">
        <v>2775</v>
      </c>
      <c r="K58">
        <v>1</v>
      </c>
      <c r="L58" s="75">
        <f ca="1">INDIRECT(ADDRESS(2+(MATCH(Table34[[#This Row],[SPAWNER]],Table40[SPAWNER],0)),2,1,1,"DATA_SCENES_UNITY_2"))</f>
        <v>1</v>
      </c>
      <c r="U58" t="s">
        <v>397</v>
      </c>
      <c r="V58">
        <v>0</v>
      </c>
      <c r="W58">
        <v>0</v>
      </c>
      <c r="X58" t="s">
        <v>8</v>
      </c>
      <c r="Y58" s="75" t="str">
        <f ca="1">IF(Table15[[#This Row],[Type]]="KILL",IF(_xlfn.NUMBERVALUE(RIGHT(Table15[[#This Row],[Min]],LEN(Table15[[#This Row],[Min]])-FIND("-",Table15[[#This Row],[Min]])))&gt;INDIRECT(ADDRESS(11+MATCH(LEFT(Table15[[#This Row],[Min]],FIND("-",Table15[[#This Row],[Min]])-1),Table1[Content Sku],0),16,1,1,"Entities")),"review","ok"),"ok")</f>
        <v>ok</v>
      </c>
      <c r="Z58" t="s">
        <v>122</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122</v>
      </c>
      <c r="AQ58">
        <v>1</v>
      </c>
      <c r="AR58" s="75">
        <f ca="1">INDIRECT(ADDRESS(2+(MATCH(Table32[[#This Row],[SPAWNER]],Table40[SPAWNER],0)),2,1,1,"DATA_SCENES_UNITY_2"))</f>
        <v>3</v>
      </c>
    </row>
    <row r="59" spans="5:44" x14ac:dyDescent="0.25">
      <c r="E59" t="s">
        <v>397</v>
      </c>
      <c r="F59">
        <v>25000</v>
      </c>
      <c r="G59">
        <v>0</v>
      </c>
      <c r="H59" t="s">
        <v>205</v>
      </c>
      <c r="I59" s="75" t="str">
        <f ca="1">IF(Table7[[#This Row],[Type]]="KILL",IF(_xlfn.NUMBERVALUE(RIGHT(Table7[[#This Row],[Min]],LEN(Table7[[#This Row],[Min]])-FIND("-",Table7[[#This Row],[Min]])))&gt;INDIRECT(ADDRESS(11+MATCH(LEFT(Table7[[#This Row],[Min]],FIND("-",Table7[[#This Row],[Min]])-1),Table1[Content Sku],0),14,1,1,"Entities")),"review","ok"),"ok")</f>
        <v>ok</v>
      </c>
      <c r="J59" t="s">
        <v>2775</v>
      </c>
      <c r="K59">
        <v>1</v>
      </c>
      <c r="L59" s="75">
        <f ca="1">INDIRECT(ADDRESS(2+(MATCH(Table34[[#This Row],[SPAWNER]],Table40[SPAWNER],0)),2,1,1,"DATA_SCENES_UNITY_2"))</f>
        <v>1</v>
      </c>
      <c r="U59" t="s">
        <v>397</v>
      </c>
      <c r="V59">
        <v>40000</v>
      </c>
      <c r="W59">
        <v>0</v>
      </c>
      <c r="X59" t="s">
        <v>205</v>
      </c>
      <c r="Y59" s="75" t="str">
        <f ca="1">IF(Table15[[#This Row],[Type]]="KILL",IF(_xlfn.NUMBERVALUE(RIGHT(Table15[[#This Row],[Min]],LEN(Table15[[#This Row],[Min]])-FIND("-",Table15[[#This Row],[Min]])))&gt;INDIRECT(ADDRESS(11+MATCH(LEFT(Table15[[#This Row],[Min]],FIND("-",Table15[[#This Row],[Min]])-1),Table1[Content Sku],0),16,1,1,"Entities")),"review","ok"),"ok")</f>
        <v>ok</v>
      </c>
      <c r="Z59" t="s">
        <v>122</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122</v>
      </c>
      <c r="AQ59">
        <v>1</v>
      </c>
      <c r="AR59" s="75">
        <f ca="1">INDIRECT(ADDRESS(2+(MATCH(Table32[[#This Row],[SPAWNER]],Table40[SPAWNER],0)),2,1,1,"DATA_SCENES_UNITY_2"))</f>
        <v>3</v>
      </c>
    </row>
    <row r="60" spans="5:44" x14ac:dyDescent="0.25">
      <c r="E60" t="s">
        <v>397</v>
      </c>
      <c r="F60">
        <v>0</v>
      </c>
      <c r="G60">
        <v>0</v>
      </c>
      <c r="H60" t="s">
        <v>8</v>
      </c>
      <c r="I60" s="75" t="str">
        <f ca="1">IF(Table7[[#This Row],[Type]]="KILL",IF(_xlfn.NUMBERVALUE(RIGHT(Table7[[#This Row],[Min]],LEN(Table7[[#This Row],[Min]])-FIND("-",Table7[[#This Row],[Min]])))&gt;INDIRECT(ADDRESS(11+MATCH(LEFT(Table7[[#This Row],[Min]],FIND("-",Table7[[#This Row],[Min]])-1),Table1[Content Sku],0),14,1,1,"Entities")),"review","ok"),"ok")</f>
        <v>ok</v>
      </c>
      <c r="J60" t="s">
        <v>2775</v>
      </c>
      <c r="K60">
        <v>1</v>
      </c>
      <c r="L60" s="75">
        <f ca="1">INDIRECT(ADDRESS(2+(MATCH(Table34[[#This Row],[SPAWNER]],Table40[SPAWNER],0)),2,1,1,"DATA_SCENES_UNITY_2"))</f>
        <v>1</v>
      </c>
      <c r="U60" t="s">
        <v>397</v>
      </c>
      <c r="V60">
        <v>300</v>
      </c>
      <c r="W60">
        <v>0</v>
      </c>
      <c r="X60" t="s">
        <v>4439</v>
      </c>
      <c r="Y60" s="75" t="str">
        <f ca="1">IF(Table15[[#This Row],[Type]]="KILL",IF(_xlfn.NUMBERVALUE(RIGHT(Table15[[#This Row],[Min]],LEN(Table15[[#This Row],[Min]])-FIND("-",Table15[[#This Row],[Min]])))&gt;INDIRECT(ADDRESS(11+MATCH(LEFT(Table15[[#This Row],[Min]],FIND("-",Table15[[#This Row],[Min]])-1),Table1[Content Sku],0),16,1,1,"Entities")),"review","ok"),"ok")</f>
        <v>ok</v>
      </c>
      <c r="Z60" t="s">
        <v>122</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122</v>
      </c>
      <c r="AQ60">
        <v>1</v>
      </c>
      <c r="AR60" s="75">
        <f ca="1">INDIRECT(ADDRESS(2+(MATCH(Table32[[#This Row],[SPAWNER]],Table40[SPAWNER],0)),2,1,1,"DATA_SCENES_UNITY_2"))</f>
        <v>3</v>
      </c>
    </row>
    <row r="61" spans="5:44" x14ac:dyDescent="0.25">
      <c r="E61" t="s">
        <v>397</v>
      </c>
      <c r="F61">
        <v>15500</v>
      </c>
      <c r="G61">
        <v>0</v>
      </c>
      <c r="H61" t="s">
        <v>205</v>
      </c>
      <c r="I61" s="75" t="str">
        <f ca="1">IF(Table7[[#This Row],[Type]]="KILL",IF(_xlfn.NUMBERVALUE(RIGHT(Table7[[#This Row],[Min]],LEN(Table7[[#This Row],[Min]])-FIND("-",Table7[[#This Row],[Min]])))&gt;INDIRECT(ADDRESS(11+MATCH(LEFT(Table7[[#This Row],[Min]],FIND("-",Table7[[#This Row],[Min]])-1),Table1[Content Sku],0),14,1,1,"Entities")),"review","ok"),"ok")</f>
        <v>ok</v>
      </c>
      <c r="J61" t="s">
        <v>2775</v>
      </c>
      <c r="K61">
        <v>1</v>
      </c>
      <c r="L61" s="75">
        <f ca="1">INDIRECT(ADDRESS(2+(MATCH(Table34[[#This Row],[SPAWNER]],Table40[SPAWNER],0)),2,1,1,"DATA_SCENES_UNITY_2"))</f>
        <v>1</v>
      </c>
      <c r="U61" t="s">
        <v>397</v>
      </c>
      <c r="V61">
        <v>360</v>
      </c>
      <c r="W61">
        <v>0</v>
      </c>
      <c r="X61" t="s">
        <v>4439</v>
      </c>
      <c r="Y61" s="75" t="str">
        <f ca="1">IF(Table15[[#This Row],[Type]]="KILL",IF(_xlfn.NUMBERVALUE(RIGHT(Table15[[#This Row],[Min]],LEN(Table15[[#This Row],[Min]])-FIND("-",Table15[[#This Row],[Min]])))&gt;INDIRECT(ADDRESS(11+MATCH(LEFT(Table15[[#This Row],[Min]],FIND("-",Table15[[#This Row],[Min]])-1),Table1[Content Sku],0),16,1,1,"Entities")),"review","ok"),"ok")</f>
        <v>ok</v>
      </c>
      <c r="Z61" t="s">
        <v>122</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122</v>
      </c>
      <c r="AQ61">
        <v>1</v>
      </c>
      <c r="AR61" s="75">
        <f ca="1">INDIRECT(ADDRESS(2+(MATCH(Table32[[#This Row],[SPAWNER]],Table40[SPAWNER],0)),2,1,1,"DATA_SCENES_UNITY_2"))</f>
        <v>3</v>
      </c>
    </row>
    <row r="62" spans="5:44" x14ac:dyDescent="0.25">
      <c r="E62" t="s">
        <v>397</v>
      </c>
      <c r="F62">
        <v>18000</v>
      </c>
      <c r="G62">
        <v>0</v>
      </c>
      <c r="H62" t="s">
        <v>205</v>
      </c>
      <c r="I62" s="75" t="str">
        <f ca="1">IF(Table7[[#This Row],[Type]]="KILL",IF(_xlfn.NUMBERVALUE(RIGHT(Table7[[#This Row],[Min]],LEN(Table7[[#This Row],[Min]])-FIND("-",Table7[[#This Row],[Min]])))&gt;INDIRECT(ADDRESS(11+MATCH(LEFT(Table7[[#This Row],[Min]],FIND("-",Table7[[#This Row],[Min]])-1),Table1[Content Sku],0),14,1,1,"Entities")),"review","ok"),"ok")</f>
        <v>ok</v>
      </c>
      <c r="J62" t="s">
        <v>2775</v>
      </c>
      <c r="K62">
        <v>1</v>
      </c>
      <c r="L62" s="75">
        <f ca="1">INDIRECT(ADDRESS(2+(MATCH(Table34[[#This Row],[SPAWNER]],Table40[SPAWNER],0)),2,1,1,"DATA_SCENES_UNITY_2"))</f>
        <v>1</v>
      </c>
      <c r="U62" t="s">
        <v>397</v>
      </c>
      <c r="V62">
        <v>35000</v>
      </c>
      <c r="W62">
        <v>0</v>
      </c>
      <c r="X62" t="s">
        <v>205</v>
      </c>
      <c r="Y62" s="75" t="str">
        <f ca="1">IF(Table15[[#This Row],[Type]]="KILL",IF(_xlfn.NUMBERVALUE(RIGHT(Table15[[#This Row],[Min]],LEN(Table15[[#This Row],[Min]])-FIND("-",Table15[[#This Row],[Min]])))&gt;INDIRECT(ADDRESS(11+MATCH(LEFT(Table15[[#This Row],[Min]],FIND("-",Table15[[#This Row],[Min]])-1),Table1[Content Sku],0),16,1,1,"Entities")),"review","ok"),"ok")</f>
        <v>ok</v>
      </c>
      <c r="Z62" t="s">
        <v>122</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122</v>
      </c>
      <c r="AQ62">
        <v>1</v>
      </c>
      <c r="AR62" s="75">
        <f ca="1">INDIRECT(ADDRESS(2+(MATCH(Table32[[#This Row],[SPAWNER]],Table40[SPAWNER],0)),2,1,1,"DATA_SCENES_UNITY_2"))</f>
        <v>3</v>
      </c>
    </row>
    <row r="63" spans="5:44" x14ac:dyDescent="0.25">
      <c r="E63" t="s">
        <v>397</v>
      </c>
      <c r="F63">
        <v>5500</v>
      </c>
      <c r="G63">
        <v>0</v>
      </c>
      <c r="H63" t="s">
        <v>205</v>
      </c>
      <c r="I63" s="75" t="str">
        <f ca="1">IF(Table7[[#This Row],[Type]]="KILL",IF(_xlfn.NUMBERVALUE(RIGHT(Table7[[#This Row],[Min]],LEN(Table7[[#This Row],[Min]])-FIND("-",Table7[[#This Row],[Min]])))&gt;INDIRECT(ADDRESS(11+MATCH(LEFT(Table7[[#This Row],[Min]],FIND("-",Table7[[#This Row],[Min]])-1),Table1[Content Sku],0),14,1,1,"Entities")),"review","ok"),"ok")</f>
        <v>ok</v>
      </c>
      <c r="J63" t="s">
        <v>2775</v>
      </c>
      <c r="K63">
        <v>1</v>
      </c>
      <c r="L63" s="75">
        <f ca="1">INDIRECT(ADDRESS(2+(MATCH(Table34[[#This Row],[SPAWNER]],Table40[SPAWNER],0)),2,1,1,"DATA_SCENES_UNITY_2"))</f>
        <v>1</v>
      </c>
      <c r="U63" t="s">
        <v>397</v>
      </c>
      <c r="V63">
        <v>0</v>
      </c>
      <c r="W63">
        <v>0</v>
      </c>
      <c r="X63" t="s">
        <v>8</v>
      </c>
      <c r="Y63" s="75" t="str">
        <f ca="1">IF(Table15[[#This Row],[Type]]="KILL",IF(_xlfn.NUMBERVALUE(RIGHT(Table15[[#This Row],[Min]],LEN(Table15[[#This Row],[Min]])-FIND("-",Table15[[#This Row],[Min]])))&gt;INDIRECT(ADDRESS(11+MATCH(LEFT(Table15[[#This Row],[Min]],FIND("-",Table15[[#This Row],[Min]])-1),Table1[Content Sku],0),16,1,1,"Entities")),"review","ok"),"ok")</f>
        <v>ok</v>
      </c>
      <c r="Z63" t="s">
        <v>122</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122</v>
      </c>
      <c r="AQ63">
        <v>1</v>
      </c>
      <c r="AR63" s="75">
        <f ca="1">INDIRECT(ADDRESS(2+(MATCH(Table32[[#This Row],[SPAWNER]],Table40[SPAWNER],0)),2,1,1,"DATA_SCENES_UNITY_2"))</f>
        <v>3</v>
      </c>
    </row>
    <row r="64" spans="5:44" x14ac:dyDescent="0.25">
      <c r="E64" t="s">
        <v>397</v>
      </c>
      <c r="F64">
        <v>30000</v>
      </c>
      <c r="G64">
        <v>0</v>
      </c>
      <c r="H64" t="s">
        <v>205</v>
      </c>
      <c r="I64" s="75" t="str">
        <f ca="1">IF(Table7[[#This Row],[Type]]="KILL",IF(_xlfn.NUMBERVALUE(RIGHT(Table7[[#This Row],[Min]],LEN(Table7[[#This Row],[Min]])-FIND("-",Table7[[#This Row],[Min]])))&gt;INDIRECT(ADDRESS(11+MATCH(LEFT(Table7[[#This Row],[Min]],FIND("-",Table7[[#This Row],[Min]])-1),Table1[Content Sku],0),14,1,1,"Entities")),"review","ok"),"ok")</f>
        <v>ok</v>
      </c>
      <c r="J64" t="s">
        <v>2775</v>
      </c>
      <c r="K64">
        <v>1</v>
      </c>
      <c r="L64" s="75">
        <f ca="1">INDIRECT(ADDRESS(2+(MATCH(Table34[[#This Row],[SPAWNER]],Table40[SPAWNER],0)),2,1,1,"DATA_SCENES_UNITY_2"))</f>
        <v>1</v>
      </c>
      <c r="U64" t="s">
        <v>397</v>
      </c>
      <c r="V64">
        <v>300</v>
      </c>
      <c r="W64">
        <v>0</v>
      </c>
      <c r="X64" t="s">
        <v>4439</v>
      </c>
      <c r="Y64" s="75" t="str">
        <f ca="1">IF(Table15[[#This Row],[Type]]="KILL",IF(_xlfn.NUMBERVALUE(RIGHT(Table15[[#This Row],[Min]],LEN(Table15[[#This Row],[Min]])-FIND("-",Table15[[#This Row],[Min]])))&gt;INDIRECT(ADDRESS(11+MATCH(LEFT(Table15[[#This Row],[Min]],FIND("-",Table15[[#This Row],[Min]])-1),Table1[Content Sku],0),16,1,1,"Entities")),"review","ok"),"ok")</f>
        <v>ok</v>
      </c>
      <c r="Z64" t="s">
        <v>122</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122</v>
      </c>
      <c r="AQ64">
        <v>1</v>
      </c>
      <c r="AR64" s="75">
        <f ca="1">INDIRECT(ADDRESS(2+(MATCH(Table32[[#This Row],[SPAWNER]],Table40[SPAWNER],0)),2,1,1,"DATA_SCENES_UNITY_2"))</f>
        <v>3</v>
      </c>
    </row>
    <row r="65" spans="5:44" x14ac:dyDescent="0.25">
      <c r="E65" t="s">
        <v>397</v>
      </c>
      <c r="F65">
        <v>0</v>
      </c>
      <c r="G65">
        <v>0</v>
      </c>
      <c r="H65" t="s">
        <v>8</v>
      </c>
      <c r="I65" s="75" t="str">
        <f ca="1">IF(Table7[[#This Row],[Type]]="KILL",IF(_xlfn.NUMBERVALUE(RIGHT(Table7[[#This Row],[Min]],LEN(Table7[[#This Row],[Min]])-FIND("-",Table7[[#This Row],[Min]])))&gt;INDIRECT(ADDRESS(11+MATCH(LEFT(Table7[[#This Row],[Min]],FIND("-",Table7[[#This Row],[Min]])-1),Table1[Content Sku],0),14,1,1,"Entities")),"review","ok"),"ok")</f>
        <v>ok</v>
      </c>
      <c r="J65" t="s">
        <v>2775</v>
      </c>
      <c r="K65">
        <v>1</v>
      </c>
      <c r="L65" s="75">
        <f ca="1">INDIRECT(ADDRESS(2+(MATCH(Table34[[#This Row],[SPAWNER]],Table40[SPAWNER],0)),2,1,1,"DATA_SCENES_UNITY_2"))</f>
        <v>1</v>
      </c>
      <c r="U65" t="s">
        <v>397</v>
      </c>
      <c r="V65">
        <v>0</v>
      </c>
      <c r="W65">
        <v>0</v>
      </c>
      <c r="X65" t="s">
        <v>8</v>
      </c>
      <c r="Y65" s="75" t="str">
        <f ca="1">IF(Table15[[#This Row],[Type]]="KILL",IF(_xlfn.NUMBERVALUE(RIGHT(Table15[[#This Row],[Min]],LEN(Table15[[#This Row],[Min]])-FIND("-",Table15[[#This Row],[Min]])))&gt;INDIRECT(ADDRESS(11+MATCH(LEFT(Table15[[#This Row],[Min]],FIND("-",Table15[[#This Row],[Min]])-1),Table1[Content Sku],0),16,1,1,"Entities")),"review","ok"),"ok")</f>
        <v>ok</v>
      </c>
      <c r="Z65" t="s">
        <v>122</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122</v>
      </c>
      <c r="AQ65">
        <v>1</v>
      </c>
      <c r="AR65" s="75">
        <f ca="1">INDIRECT(ADDRESS(2+(MATCH(Table32[[#This Row],[SPAWNER]],Table40[SPAWNER],0)),2,1,1,"DATA_SCENES_UNITY_2"))</f>
        <v>3</v>
      </c>
    </row>
    <row r="66" spans="5:44" x14ac:dyDescent="0.25">
      <c r="E66" t="s">
        <v>397</v>
      </c>
      <c r="F66">
        <v>20000</v>
      </c>
      <c r="G66">
        <v>0</v>
      </c>
      <c r="H66" t="s">
        <v>205</v>
      </c>
      <c r="I66" s="75" t="str">
        <f ca="1">IF(Table7[[#This Row],[Type]]="KILL",IF(_xlfn.NUMBERVALUE(RIGHT(Table7[[#This Row],[Min]],LEN(Table7[[#This Row],[Min]])-FIND("-",Table7[[#This Row],[Min]])))&gt;INDIRECT(ADDRESS(11+MATCH(LEFT(Table7[[#This Row],[Min]],FIND("-",Table7[[#This Row],[Min]])-1),Table1[Content Sku],0),14,1,1,"Entities")),"review","ok"),"ok")</f>
        <v>ok</v>
      </c>
      <c r="J66" t="s">
        <v>2775</v>
      </c>
      <c r="K66">
        <v>1</v>
      </c>
      <c r="L66" s="75">
        <f ca="1">INDIRECT(ADDRESS(2+(MATCH(Table34[[#This Row],[SPAWNER]],Table40[SPAWNER],0)),2,1,1,"DATA_SCENES_UNITY_2"))</f>
        <v>1</v>
      </c>
      <c r="U66" t="s">
        <v>397</v>
      </c>
      <c r="V66">
        <v>0</v>
      </c>
      <c r="W66">
        <v>0</v>
      </c>
      <c r="X66" t="s">
        <v>8</v>
      </c>
      <c r="Y66" s="75" t="str">
        <f ca="1">IF(Table15[[#This Row],[Type]]="KILL",IF(_xlfn.NUMBERVALUE(RIGHT(Table15[[#This Row],[Min]],LEN(Table15[[#This Row],[Min]])-FIND("-",Table15[[#This Row],[Min]])))&gt;INDIRECT(ADDRESS(11+MATCH(LEFT(Table15[[#This Row],[Min]],FIND("-",Table15[[#This Row],[Min]])-1),Table1[Content Sku],0),16,1,1,"Entities")),"review","ok"),"ok")</f>
        <v>ok</v>
      </c>
      <c r="Z66" t="s">
        <v>122</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2775</v>
      </c>
      <c r="AQ66">
        <v>1</v>
      </c>
      <c r="AR66" s="75">
        <f ca="1">INDIRECT(ADDRESS(2+(MATCH(Table32[[#This Row],[SPAWNER]],Table40[SPAWNER],0)),2,1,1,"DATA_SCENES_UNITY_2"))</f>
        <v>1</v>
      </c>
    </row>
    <row r="67" spans="5:44" x14ac:dyDescent="0.25">
      <c r="E67" t="s">
        <v>397</v>
      </c>
      <c r="F67">
        <v>25000</v>
      </c>
      <c r="G67">
        <v>0</v>
      </c>
      <c r="H67" t="s">
        <v>205</v>
      </c>
      <c r="I67" s="75" t="str">
        <f ca="1">IF(Table7[[#This Row],[Type]]="KILL",IF(_xlfn.NUMBERVALUE(RIGHT(Table7[[#This Row],[Min]],LEN(Table7[[#This Row],[Min]])-FIND("-",Table7[[#This Row],[Min]])))&gt;INDIRECT(ADDRESS(11+MATCH(LEFT(Table7[[#This Row],[Min]],FIND("-",Table7[[#This Row],[Min]])-1),Table1[Content Sku],0),14,1,1,"Entities")),"review","ok"),"ok")</f>
        <v>ok</v>
      </c>
      <c r="J67" t="s">
        <v>2775</v>
      </c>
      <c r="K67">
        <v>1</v>
      </c>
      <c r="L67" s="75">
        <f ca="1">INDIRECT(ADDRESS(2+(MATCH(Table34[[#This Row],[SPAWNER]],Table40[SPAWNER],0)),2,1,1,"DATA_SCENES_UNITY_2"))</f>
        <v>1</v>
      </c>
      <c r="U67" t="s">
        <v>397</v>
      </c>
      <c r="V67">
        <v>0</v>
      </c>
      <c r="W67">
        <v>0</v>
      </c>
      <c r="X67" t="s">
        <v>8</v>
      </c>
      <c r="Y67" s="75" t="str">
        <f ca="1">IF(Table15[[#This Row],[Type]]="KILL",IF(_xlfn.NUMBERVALUE(RIGHT(Table15[[#This Row],[Min]],LEN(Table15[[#This Row],[Min]])-FIND("-",Table15[[#This Row],[Min]])))&gt;INDIRECT(ADDRESS(11+MATCH(LEFT(Table15[[#This Row],[Min]],FIND("-",Table15[[#This Row],[Min]])-1),Table1[Content Sku],0),16,1,1,"Entities")),"review","ok"),"ok")</f>
        <v>ok</v>
      </c>
      <c r="Z67" t="s">
        <v>122</v>
      </c>
      <c r="AA67">
        <v>1</v>
      </c>
      <c r="AB67" s="75">
        <f ca="1">INDIRECT(ADDRESS(2+(MATCH(Table33[[#This Row],[SPAWNER]],Table40[SPAWNER],0)),2,1,1,"DATA_SCENES_UNITY_2"))</f>
        <v>3</v>
      </c>
      <c r="AK67" t="s">
        <v>37</v>
      </c>
      <c r="AL67">
        <v>0</v>
      </c>
      <c r="AM67">
        <v>40000</v>
      </c>
      <c r="AN67" t="s">
        <v>205</v>
      </c>
      <c r="AO67" s="75" t="str">
        <f ca="1">IF(Table20[[#This Row],[Type]]="KILL",IF(_xlfn.NUMBERVALUE(RIGHT(Table20[[#This Row],[Min]],LEN(Table20[[#This Row],[Min]])-FIND("-",Table20[[#This Row],[Min]])))&gt;INDIRECT(ADDRESS(11+MATCH(LEFT(Table20[[#This Row],[Min]],FIND("-",Table20[[#This Row],[Min]])-1),Table1[Content Sku],0),18,1,1,"Entities")),"review","ok"),"ok")</f>
        <v>ok</v>
      </c>
      <c r="AP67" t="s">
        <v>2775</v>
      </c>
      <c r="AQ67">
        <v>1</v>
      </c>
      <c r="AR67" s="75">
        <f ca="1">INDIRECT(ADDRESS(2+(MATCH(Table32[[#This Row],[SPAWNER]],Table40[SPAWNER],0)),2,1,1,"DATA_SCENES_UNITY_2"))</f>
        <v>1</v>
      </c>
    </row>
    <row r="68" spans="5:44" x14ac:dyDescent="0.25">
      <c r="E68" t="s">
        <v>397</v>
      </c>
      <c r="F68">
        <v>17000</v>
      </c>
      <c r="G68">
        <v>0</v>
      </c>
      <c r="H68" t="s">
        <v>205</v>
      </c>
      <c r="I68" s="75" t="str">
        <f ca="1">IF(Table7[[#This Row],[Type]]="KILL",IF(_xlfn.NUMBERVALUE(RIGHT(Table7[[#This Row],[Min]],LEN(Table7[[#This Row],[Min]])-FIND("-",Table7[[#This Row],[Min]])))&gt;INDIRECT(ADDRESS(11+MATCH(LEFT(Table7[[#This Row],[Min]],FIND("-",Table7[[#This Row],[Min]])-1),Table1[Content Sku],0),14,1,1,"Entities")),"review","ok"),"ok")</f>
        <v>ok</v>
      </c>
      <c r="J68" t="s">
        <v>2775</v>
      </c>
      <c r="K68">
        <v>1</v>
      </c>
      <c r="L68" s="75">
        <f ca="1">INDIRECT(ADDRESS(2+(MATCH(Table34[[#This Row],[SPAWNER]],Table40[SPAWNER],0)),2,1,1,"DATA_SCENES_UNITY_2"))</f>
        <v>1</v>
      </c>
      <c r="U68" t="s">
        <v>397</v>
      </c>
      <c r="V68">
        <v>0</v>
      </c>
      <c r="W68">
        <v>0</v>
      </c>
      <c r="X68" t="s">
        <v>8</v>
      </c>
      <c r="Y68" s="75" t="str">
        <f ca="1">IF(Table15[[#This Row],[Type]]="KILL",IF(_xlfn.NUMBERVALUE(RIGHT(Table15[[#This Row],[Min]],LEN(Table15[[#This Row],[Min]])-FIND("-",Table15[[#This Row],[Min]])))&gt;INDIRECT(ADDRESS(11+MATCH(LEFT(Table15[[#This Row],[Min]],FIND("-",Table15[[#This Row],[Min]])-1),Table1[Content Sku],0),16,1,1,"Entities")),"review","ok"),"ok")</f>
        <v>ok</v>
      </c>
      <c r="Z68" t="s">
        <v>122</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2775</v>
      </c>
      <c r="AQ68">
        <v>1</v>
      </c>
      <c r="AR68" s="75">
        <f ca="1">INDIRECT(ADDRESS(2+(MATCH(Table32[[#This Row],[SPAWNER]],Table40[SPAWNER],0)),2,1,1,"DATA_SCENES_UNITY_2"))</f>
        <v>1</v>
      </c>
    </row>
    <row r="69" spans="5:44" x14ac:dyDescent="0.25">
      <c r="E69" t="s">
        <v>397</v>
      </c>
      <c r="F69">
        <v>0</v>
      </c>
      <c r="G69">
        <v>0</v>
      </c>
      <c r="H69" t="s">
        <v>8</v>
      </c>
      <c r="I69" s="75" t="str">
        <f ca="1">IF(Table7[[#This Row],[Type]]="KILL",IF(_xlfn.NUMBERVALUE(RIGHT(Table7[[#This Row],[Min]],LEN(Table7[[#This Row],[Min]])-FIND("-",Table7[[#This Row],[Min]])))&gt;INDIRECT(ADDRESS(11+MATCH(LEFT(Table7[[#This Row],[Min]],FIND("-",Table7[[#This Row],[Min]])-1),Table1[Content Sku],0),14,1,1,"Entities")),"review","ok"),"ok")</f>
        <v>ok</v>
      </c>
      <c r="J69" t="s">
        <v>2775</v>
      </c>
      <c r="K69">
        <v>1</v>
      </c>
      <c r="L69" s="75">
        <f ca="1">INDIRECT(ADDRESS(2+(MATCH(Table34[[#This Row],[SPAWNER]],Table40[SPAWNER],0)),2,1,1,"DATA_SCENES_UNITY_2"))</f>
        <v>1</v>
      </c>
      <c r="U69" t="s">
        <v>397</v>
      </c>
      <c r="V69">
        <v>40000</v>
      </c>
      <c r="W69">
        <v>0</v>
      </c>
      <c r="X69" t="s">
        <v>205</v>
      </c>
      <c r="Y69" s="75" t="str">
        <f ca="1">IF(Table15[[#This Row],[Type]]="KILL",IF(_xlfn.NUMBERVALUE(RIGHT(Table15[[#This Row],[Min]],LEN(Table15[[#This Row],[Min]])-FIND("-",Table15[[#This Row],[Min]])))&gt;INDIRECT(ADDRESS(11+MATCH(LEFT(Table15[[#This Row],[Min]],FIND("-",Table15[[#This Row],[Min]])-1),Table1[Content Sku],0),16,1,1,"Entities")),"review","ok"),"ok")</f>
        <v>ok</v>
      </c>
      <c r="Z69" t="s">
        <v>122</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2775</v>
      </c>
      <c r="AQ69">
        <v>1</v>
      </c>
      <c r="AR69" s="75">
        <f ca="1">INDIRECT(ADDRESS(2+(MATCH(Table32[[#This Row],[SPAWNER]],Table40[SPAWNER],0)),2,1,1,"DATA_SCENES_UNITY_2"))</f>
        <v>1</v>
      </c>
    </row>
    <row r="70" spans="5:44" x14ac:dyDescent="0.25">
      <c r="E70" t="s">
        <v>397</v>
      </c>
      <c r="F70">
        <v>6500</v>
      </c>
      <c r="G70">
        <v>0</v>
      </c>
      <c r="H70" t="s">
        <v>205</v>
      </c>
      <c r="I70" s="75" t="str">
        <f ca="1">IF(Table7[[#This Row],[Type]]="KILL",IF(_xlfn.NUMBERVALUE(RIGHT(Table7[[#This Row],[Min]],LEN(Table7[[#This Row],[Min]])-FIND("-",Table7[[#This Row],[Min]])))&gt;INDIRECT(ADDRESS(11+MATCH(LEFT(Table7[[#This Row],[Min]],FIND("-",Table7[[#This Row],[Min]])-1),Table1[Content Sku],0),14,1,1,"Entities")),"review","ok"),"ok")</f>
        <v>ok</v>
      </c>
      <c r="J70" t="s">
        <v>551</v>
      </c>
      <c r="K70">
        <v>2</v>
      </c>
      <c r="L70" s="75">
        <f ca="1">INDIRECT(ADDRESS(2+(MATCH(Table34[[#This Row],[SPAWNER]],Table40[SPAWNER],0)),2,1,1,"DATA_SCENES_UNITY_2"))</f>
        <v>2</v>
      </c>
      <c r="U70" t="s">
        <v>397</v>
      </c>
      <c r="V70">
        <v>40000</v>
      </c>
      <c r="W70">
        <v>0</v>
      </c>
      <c r="X70" t="s">
        <v>205</v>
      </c>
      <c r="Y70" s="75" t="str">
        <f ca="1">IF(Table15[[#This Row],[Type]]="KILL",IF(_xlfn.NUMBERVALUE(RIGHT(Table15[[#This Row],[Min]],LEN(Table15[[#This Row],[Min]])-FIND("-",Table15[[#This Row],[Min]])))&gt;INDIRECT(ADDRESS(11+MATCH(LEFT(Table15[[#This Row],[Min]],FIND("-",Table15[[#This Row],[Min]])-1),Table1[Content Sku],0),16,1,1,"Entities")),"review","ok"),"ok")</f>
        <v>ok</v>
      </c>
      <c r="Z70" t="s">
        <v>122</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2775</v>
      </c>
      <c r="AQ70">
        <v>1</v>
      </c>
      <c r="AR70" s="75">
        <f ca="1">INDIRECT(ADDRESS(2+(MATCH(Table32[[#This Row],[SPAWNER]],Table40[SPAWNER],0)),2,1,1,"DATA_SCENES_UNITY_2"))</f>
        <v>1</v>
      </c>
    </row>
    <row r="71" spans="5:44" x14ac:dyDescent="0.25">
      <c r="E71" t="s">
        <v>397</v>
      </c>
      <c r="F71">
        <v>15000</v>
      </c>
      <c r="G71">
        <v>0</v>
      </c>
      <c r="H71" t="s">
        <v>205</v>
      </c>
      <c r="I71" s="75" t="str">
        <f ca="1">IF(Table7[[#This Row],[Type]]="KILL",IF(_xlfn.NUMBERVALUE(RIGHT(Table7[[#This Row],[Min]],LEN(Table7[[#This Row],[Min]])-FIND("-",Table7[[#This Row],[Min]])))&gt;INDIRECT(ADDRESS(11+MATCH(LEFT(Table7[[#This Row],[Min]],FIND("-",Table7[[#This Row],[Min]])-1),Table1[Content Sku],0),14,1,1,"Entities")),"review","ok"),"ok")</f>
        <v>ok</v>
      </c>
      <c r="J71" t="s">
        <v>551</v>
      </c>
      <c r="K71">
        <v>3</v>
      </c>
      <c r="L71" s="75">
        <f ca="1">INDIRECT(ADDRESS(2+(MATCH(Table34[[#This Row],[SPAWNER]],Table40[SPAWNER],0)),2,1,1,"DATA_SCENES_UNITY_2"))</f>
        <v>2</v>
      </c>
      <c r="U71" t="s">
        <v>397</v>
      </c>
      <c r="V71">
        <v>40000</v>
      </c>
      <c r="W71">
        <v>0</v>
      </c>
      <c r="X71" t="s">
        <v>205</v>
      </c>
      <c r="Y71" s="75" t="str">
        <f ca="1">IF(Table15[[#This Row],[Type]]="KILL",IF(_xlfn.NUMBERVALUE(RIGHT(Table15[[#This Row],[Min]],LEN(Table15[[#This Row],[Min]])-FIND("-",Table15[[#This Row],[Min]])))&gt;INDIRECT(ADDRESS(11+MATCH(LEFT(Table15[[#This Row],[Min]],FIND("-",Table15[[#This Row],[Min]])-1),Table1[Content Sku],0),16,1,1,"Entities")),"review","ok"),"ok")</f>
        <v>ok</v>
      </c>
      <c r="Z71" t="s">
        <v>122</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2775</v>
      </c>
      <c r="AQ71">
        <v>1</v>
      </c>
      <c r="AR71" s="75">
        <f ca="1">INDIRECT(ADDRESS(2+(MATCH(Table32[[#This Row],[SPAWNER]],Table40[SPAWNER],0)),2,1,1,"DATA_SCENES_UNITY_2"))</f>
        <v>1</v>
      </c>
    </row>
    <row r="72" spans="5:44" x14ac:dyDescent="0.25">
      <c r="E72" t="s">
        <v>397</v>
      </c>
      <c r="F72">
        <v>15000</v>
      </c>
      <c r="G72">
        <v>0</v>
      </c>
      <c r="H72" t="s">
        <v>205</v>
      </c>
      <c r="I72" s="75" t="str">
        <f ca="1">IF(Table7[[#This Row],[Type]]="KILL",IF(_xlfn.NUMBERVALUE(RIGHT(Table7[[#This Row],[Min]],LEN(Table7[[#This Row],[Min]])-FIND("-",Table7[[#This Row],[Min]])))&gt;INDIRECT(ADDRESS(11+MATCH(LEFT(Table7[[#This Row],[Min]],FIND("-",Table7[[#This Row],[Min]])-1),Table1[Content Sku],0),14,1,1,"Entities")),"review","ok"),"ok")</f>
        <v>ok</v>
      </c>
      <c r="J72" t="s">
        <v>551</v>
      </c>
      <c r="K72">
        <v>2</v>
      </c>
      <c r="L72" s="75">
        <f ca="1">INDIRECT(ADDRESS(2+(MATCH(Table34[[#This Row],[SPAWNER]],Table40[SPAWNER],0)),2,1,1,"DATA_SCENES_UNITY_2"))</f>
        <v>2</v>
      </c>
      <c r="U72" t="s">
        <v>397</v>
      </c>
      <c r="V72">
        <v>40000</v>
      </c>
      <c r="W72">
        <v>0</v>
      </c>
      <c r="X72" t="s">
        <v>205</v>
      </c>
      <c r="Y72" s="75" t="str">
        <f ca="1">IF(Table15[[#This Row],[Type]]="KILL",IF(_xlfn.NUMBERVALUE(RIGHT(Table15[[#This Row],[Min]],LEN(Table15[[#This Row],[Min]])-FIND("-",Table15[[#This Row],[Min]])))&gt;INDIRECT(ADDRESS(11+MATCH(LEFT(Table15[[#This Row],[Min]],FIND("-",Table15[[#This Row],[Min]])-1),Table1[Content Sku],0),16,1,1,"Entities")),"review","ok"),"ok")</f>
        <v>ok</v>
      </c>
      <c r="Z72" t="s">
        <v>122</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2775</v>
      </c>
      <c r="AQ72">
        <v>1</v>
      </c>
      <c r="AR72" s="75">
        <f ca="1">INDIRECT(ADDRESS(2+(MATCH(Table32[[#This Row],[SPAWNER]],Table40[SPAWNER],0)),2,1,1,"DATA_SCENES_UNITY_2"))</f>
        <v>1</v>
      </c>
    </row>
    <row r="73" spans="5:44" x14ac:dyDescent="0.25">
      <c r="E73" t="s">
        <v>397</v>
      </c>
      <c r="F73">
        <v>5000</v>
      </c>
      <c r="G73">
        <v>0</v>
      </c>
      <c r="H73" t="s">
        <v>205</v>
      </c>
      <c r="I73" s="75" t="str">
        <f ca="1">IF(Table7[[#This Row],[Type]]="KILL",IF(_xlfn.NUMBERVALUE(RIGHT(Table7[[#This Row],[Min]],LEN(Table7[[#This Row],[Min]])-FIND("-",Table7[[#This Row],[Min]])))&gt;INDIRECT(ADDRESS(11+MATCH(LEFT(Table7[[#This Row],[Min]],FIND("-",Table7[[#This Row],[Min]])-1),Table1[Content Sku],0),14,1,1,"Entities")),"review","ok"),"ok")</f>
        <v>ok</v>
      </c>
      <c r="J73" t="s">
        <v>551</v>
      </c>
      <c r="K73">
        <v>1</v>
      </c>
      <c r="L73" s="75">
        <f ca="1">INDIRECT(ADDRESS(2+(MATCH(Table34[[#This Row],[SPAWNER]],Table40[SPAWNER],0)),2,1,1,"DATA_SCENES_UNITY_2"))</f>
        <v>2</v>
      </c>
      <c r="U73" t="s">
        <v>397</v>
      </c>
      <c r="V73">
        <v>40000</v>
      </c>
      <c r="W73">
        <v>0</v>
      </c>
      <c r="X73" t="s">
        <v>205</v>
      </c>
      <c r="Y73" s="75" t="str">
        <f ca="1">IF(Table15[[#This Row],[Type]]="KILL",IF(_xlfn.NUMBERVALUE(RIGHT(Table15[[#This Row],[Min]],LEN(Table15[[#This Row],[Min]])-FIND("-",Table15[[#This Row],[Min]])))&gt;INDIRECT(ADDRESS(11+MATCH(LEFT(Table15[[#This Row],[Min]],FIND("-",Table15[[#This Row],[Min]])-1),Table1[Content Sku],0),16,1,1,"Entities")),"review","ok"),"ok")</f>
        <v>ok</v>
      </c>
      <c r="Z73" t="s">
        <v>122</v>
      </c>
      <c r="AA73">
        <v>1</v>
      </c>
      <c r="AB73" s="75">
        <f ca="1">INDIRECT(ADDRESS(2+(MATCH(Table33[[#This Row],[SPAWNER]],Table40[SPAWNER],0)),2,1,1,"DATA_SCENES_UNITY_2"))</f>
        <v>3</v>
      </c>
      <c r="AK73" t="s">
        <v>37</v>
      </c>
      <c r="AL73">
        <v>0</v>
      </c>
      <c r="AM73">
        <v>33000</v>
      </c>
      <c r="AN73" t="s">
        <v>205</v>
      </c>
      <c r="AO73" s="75" t="str">
        <f ca="1">IF(Table20[[#This Row],[Type]]="KILL",IF(_xlfn.NUMBERVALUE(RIGHT(Table20[[#This Row],[Min]],LEN(Table20[[#This Row],[Min]])-FIND("-",Table20[[#This Row],[Min]])))&gt;INDIRECT(ADDRESS(11+MATCH(LEFT(Table20[[#This Row],[Min]],FIND("-",Table20[[#This Row],[Min]])-1),Table1[Content Sku],0),18,1,1,"Entities")),"review","ok"),"ok")</f>
        <v>ok</v>
      </c>
      <c r="AP73" t="s">
        <v>2775</v>
      </c>
      <c r="AQ73">
        <v>1</v>
      </c>
      <c r="AR73" s="75">
        <f ca="1">INDIRECT(ADDRESS(2+(MATCH(Table32[[#This Row],[SPAWNER]],Table40[SPAWNER],0)),2,1,1,"DATA_SCENES_UNITY_2"))</f>
        <v>1</v>
      </c>
    </row>
    <row r="74" spans="5:44" x14ac:dyDescent="0.25">
      <c r="E74" t="s">
        <v>397</v>
      </c>
      <c r="F74">
        <v>20000</v>
      </c>
      <c r="G74">
        <v>0</v>
      </c>
      <c r="H74" t="s">
        <v>205</v>
      </c>
      <c r="I74" s="75" t="str">
        <f ca="1">IF(Table7[[#This Row],[Type]]="KILL",IF(_xlfn.NUMBERVALUE(RIGHT(Table7[[#This Row],[Min]],LEN(Table7[[#This Row],[Min]])-FIND("-",Table7[[#This Row],[Min]])))&gt;INDIRECT(ADDRESS(11+MATCH(LEFT(Table7[[#This Row],[Min]],FIND("-",Table7[[#This Row],[Min]])-1),Table1[Content Sku],0),14,1,1,"Entities")),"review","ok"),"ok")</f>
        <v>ok</v>
      </c>
      <c r="J74" t="s">
        <v>551</v>
      </c>
      <c r="K74">
        <v>2</v>
      </c>
      <c r="L74" s="75">
        <f ca="1">INDIRECT(ADDRESS(2+(MATCH(Table34[[#This Row],[SPAWNER]],Table40[SPAWNER],0)),2,1,1,"DATA_SCENES_UNITY_2"))</f>
        <v>2</v>
      </c>
      <c r="U74" t="s">
        <v>397</v>
      </c>
      <c r="V74">
        <v>0</v>
      </c>
      <c r="W74">
        <v>0</v>
      </c>
      <c r="X74" t="s">
        <v>8</v>
      </c>
      <c r="Y74" s="75" t="str">
        <f ca="1">IF(Table15[[#This Row],[Type]]="KILL",IF(_xlfn.NUMBERVALUE(RIGHT(Table15[[#This Row],[Min]],LEN(Table15[[#This Row],[Min]])-FIND("-",Table15[[#This Row],[Min]])))&gt;INDIRECT(ADDRESS(11+MATCH(LEFT(Table15[[#This Row],[Min]],FIND("-",Table15[[#This Row],[Min]])-1),Table1[Content Sku],0),16,1,1,"Entities")),"review","ok"),"ok")</f>
        <v>ok</v>
      </c>
      <c r="Z74" t="s">
        <v>122</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2775</v>
      </c>
      <c r="AQ74">
        <v>1</v>
      </c>
      <c r="AR74" s="75">
        <f ca="1">INDIRECT(ADDRESS(2+(MATCH(Table32[[#This Row],[SPAWNER]],Table40[SPAWNER],0)),2,1,1,"DATA_SCENES_UNITY_2"))</f>
        <v>1</v>
      </c>
    </row>
    <row r="75" spans="5:44" x14ac:dyDescent="0.25">
      <c r="E75" t="s">
        <v>397</v>
      </c>
      <c r="F75">
        <v>0</v>
      </c>
      <c r="G75">
        <v>0</v>
      </c>
      <c r="H75" t="s">
        <v>8</v>
      </c>
      <c r="I75" s="75" t="str">
        <f ca="1">IF(Table7[[#This Row],[Type]]="KILL",IF(_xlfn.NUMBERVALUE(RIGHT(Table7[[#This Row],[Min]],LEN(Table7[[#This Row],[Min]])-FIND("-",Table7[[#This Row],[Min]])))&gt;INDIRECT(ADDRESS(11+MATCH(LEFT(Table7[[#This Row],[Min]],FIND("-",Table7[[#This Row],[Min]])-1),Table1[Content Sku],0),14,1,1,"Entities")),"review","ok"),"ok")</f>
        <v>ok</v>
      </c>
      <c r="J75" t="s">
        <v>551</v>
      </c>
      <c r="K75">
        <v>2</v>
      </c>
      <c r="L75" s="75">
        <f ca="1">INDIRECT(ADDRESS(2+(MATCH(Table34[[#This Row],[SPAWNER]],Table40[SPAWNER],0)),2,1,1,"DATA_SCENES_UNITY_2"))</f>
        <v>2</v>
      </c>
      <c r="U75" t="s">
        <v>397</v>
      </c>
      <c r="V75">
        <v>60000</v>
      </c>
      <c r="W75">
        <v>0</v>
      </c>
      <c r="X75" t="s">
        <v>205</v>
      </c>
      <c r="Y75" s="75" t="str">
        <f ca="1">IF(Table15[[#This Row],[Type]]="KILL",IF(_xlfn.NUMBERVALUE(RIGHT(Table15[[#This Row],[Min]],LEN(Table15[[#This Row],[Min]])-FIND("-",Table15[[#This Row],[Min]])))&gt;INDIRECT(ADDRESS(11+MATCH(LEFT(Table15[[#This Row],[Min]],FIND("-",Table15[[#This Row],[Min]])-1),Table1[Content Sku],0),16,1,1,"Entities")),"review","ok"),"ok")</f>
        <v>ok</v>
      </c>
      <c r="Z75" t="s">
        <v>122</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2775</v>
      </c>
      <c r="AQ75">
        <v>1</v>
      </c>
      <c r="AR75" s="75">
        <f ca="1">INDIRECT(ADDRESS(2+(MATCH(Table32[[#This Row],[SPAWNER]],Table40[SPAWNER],0)),2,1,1,"DATA_SCENES_UNITY_2"))</f>
        <v>1</v>
      </c>
    </row>
    <row r="76" spans="5:44" x14ac:dyDescent="0.25">
      <c r="E76" t="s">
        <v>397</v>
      </c>
      <c r="F76">
        <v>6500</v>
      </c>
      <c r="G76">
        <v>0</v>
      </c>
      <c r="H76" t="s">
        <v>205</v>
      </c>
      <c r="I76" s="75" t="str">
        <f ca="1">IF(Table7[[#This Row],[Type]]="KILL",IF(_xlfn.NUMBERVALUE(RIGHT(Table7[[#This Row],[Min]],LEN(Table7[[#This Row],[Min]])-FIND("-",Table7[[#This Row],[Min]])))&gt;INDIRECT(ADDRESS(11+MATCH(LEFT(Table7[[#This Row],[Min]],FIND("-",Table7[[#This Row],[Min]])-1),Table1[Content Sku],0),14,1,1,"Entities")),"review","ok"),"ok")</f>
        <v>ok</v>
      </c>
      <c r="J76" t="s">
        <v>551</v>
      </c>
      <c r="K76">
        <v>3</v>
      </c>
      <c r="L76" s="75">
        <f ca="1">INDIRECT(ADDRESS(2+(MATCH(Table34[[#This Row],[SPAWNER]],Table40[SPAWNER],0)),2,1,1,"DATA_SCENES_UNITY_2"))</f>
        <v>2</v>
      </c>
      <c r="U76" t="s">
        <v>397</v>
      </c>
      <c r="V76">
        <v>40000</v>
      </c>
      <c r="W76">
        <v>0</v>
      </c>
      <c r="X76" t="s">
        <v>205</v>
      </c>
      <c r="Y76" s="75" t="str">
        <f ca="1">IF(Table15[[#This Row],[Type]]="KILL",IF(_xlfn.NUMBERVALUE(RIGHT(Table15[[#This Row],[Min]],LEN(Table15[[#This Row],[Min]])-FIND("-",Table15[[#This Row],[Min]])))&gt;INDIRECT(ADDRESS(11+MATCH(LEFT(Table15[[#This Row],[Min]],FIND("-",Table15[[#This Row],[Min]])-1),Table1[Content Sku],0),16,1,1,"Entities")),"review","ok"),"ok")</f>
        <v>ok</v>
      </c>
      <c r="Z76" t="s">
        <v>122</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2775</v>
      </c>
      <c r="AQ76">
        <v>1</v>
      </c>
      <c r="AR76" s="75">
        <f ca="1">INDIRECT(ADDRESS(2+(MATCH(Table32[[#This Row],[SPAWNER]],Table40[SPAWNER],0)),2,1,1,"DATA_SCENES_UNITY_2"))</f>
        <v>1</v>
      </c>
    </row>
    <row r="77" spans="5:44" x14ac:dyDescent="0.25">
      <c r="E77" t="s">
        <v>397</v>
      </c>
      <c r="F77">
        <v>20000</v>
      </c>
      <c r="G77">
        <v>0</v>
      </c>
      <c r="H77" t="s">
        <v>205</v>
      </c>
      <c r="I77" s="75" t="str">
        <f ca="1">IF(Table7[[#This Row],[Type]]="KILL",IF(_xlfn.NUMBERVALUE(RIGHT(Table7[[#This Row],[Min]],LEN(Table7[[#This Row],[Min]])-FIND("-",Table7[[#This Row],[Min]])))&gt;INDIRECT(ADDRESS(11+MATCH(LEFT(Table7[[#This Row],[Min]],FIND("-",Table7[[#This Row],[Min]])-1),Table1[Content Sku],0),14,1,1,"Entities")),"review","ok"),"ok")</f>
        <v>ok</v>
      </c>
      <c r="J77" t="s">
        <v>551</v>
      </c>
      <c r="K77">
        <v>2</v>
      </c>
      <c r="L77" s="75">
        <f ca="1">INDIRECT(ADDRESS(2+(MATCH(Table34[[#This Row],[SPAWNER]],Table40[SPAWNER],0)),2,1,1,"DATA_SCENES_UNITY_2"))</f>
        <v>2</v>
      </c>
      <c r="U77" t="s">
        <v>397</v>
      </c>
      <c r="V77">
        <v>40000</v>
      </c>
      <c r="W77">
        <v>0</v>
      </c>
      <c r="X77" t="s">
        <v>205</v>
      </c>
      <c r="Y77" s="75" t="str">
        <f ca="1">IF(Table15[[#This Row],[Type]]="KILL",IF(_xlfn.NUMBERVALUE(RIGHT(Table15[[#This Row],[Min]],LEN(Table15[[#This Row],[Min]])-FIND("-",Table15[[#This Row],[Min]])))&gt;INDIRECT(ADDRESS(11+MATCH(LEFT(Table15[[#This Row],[Min]],FIND("-",Table15[[#This Row],[Min]])-1),Table1[Content Sku],0),16,1,1,"Entities")),"review","ok"),"ok")</f>
        <v>ok</v>
      </c>
      <c r="Z77" t="s">
        <v>122</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2775</v>
      </c>
      <c r="AQ77">
        <v>1</v>
      </c>
      <c r="AR77" s="75">
        <f ca="1">INDIRECT(ADDRESS(2+(MATCH(Table32[[#This Row],[SPAWNER]],Table40[SPAWNER],0)),2,1,1,"DATA_SCENES_UNITY_2"))</f>
        <v>1</v>
      </c>
    </row>
    <row r="78" spans="5:44" x14ac:dyDescent="0.25">
      <c r="E78" t="s">
        <v>397</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551</v>
      </c>
      <c r="K78">
        <v>2</v>
      </c>
      <c r="L78" s="75">
        <f ca="1">INDIRECT(ADDRESS(2+(MATCH(Table34[[#This Row],[SPAWNER]],Table40[SPAWNER],0)),2,1,1,"DATA_SCENES_UNITY_2"))</f>
        <v>2</v>
      </c>
      <c r="U78" t="s">
        <v>397</v>
      </c>
      <c r="V78">
        <v>0</v>
      </c>
      <c r="W78">
        <v>0</v>
      </c>
      <c r="X78" t="s">
        <v>8</v>
      </c>
      <c r="Y78" s="75" t="str">
        <f ca="1">IF(Table15[[#This Row],[Type]]="KILL",IF(_xlfn.NUMBERVALUE(RIGHT(Table15[[#This Row],[Min]],LEN(Table15[[#This Row],[Min]])-FIND("-",Table15[[#This Row],[Min]])))&gt;INDIRECT(ADDRESS(11+MATCH(LEFT(Table15[[#This Row],[Min]],FIND("-",Table15[[#This Row],[Min]])-1),Table1[Content Sku],0),16,1,1,"Entities")),"review","ok"),"ok")</f>
        <v>ok</v>
      </c>
      <c r="Z78" t="s">
        <v>122</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551</v>
      </c>
      <c r="AQ78">
        <v>10</v>
      </c>
      <c r="AR78" s="75">
        <f ca="1">INDIRECT(ADDRESS(2+(MATCH(Table32[[#This Row],[SPAWNER]],Table40[SPAWNER],0)),2,1,1,"DATA_SCENES_UNITY_2"))</f>
        <v>2</v>
      </c>
    </row>
    <row r="79" spans="5:44" x14ac:dyDescent="0.25">
      <c r="E79" t="s">
        <v>397</v>
      </c>
      <c r="F79">
        <v>0</v>
      </c>
      <c r="G79">
        <v>0</v>
      </c>
      <c r="H79" t="s">
        <v>8</v>
      </c>
      <c r="I79" s="75" t="str">
        <f ca="1">IF(Table7[[#This Row],[Type]]="KILL",IF(_xlfn.NUMBERVALUE(RIGHT(Table7[[#This Row],[Min]],LEN(Table7[[#This Row],[Min]])-FIND("-",Table7[[#This Row],[Min]])))&gt;INDIRECT(ADDRESS(11+MATCH(LEFT(Table7[[#This Row],[Min]],FIND("-",Table7[[#This Row],[Min]])-1),Table1[Content Sku],0),14,1,1,"Entities")),"review","ok"),"ok")</f>
        <v>ok</v>
      </c>
      <c r="J79" t="s">
        <v>551</v>
      </c>
      <c r="K79">
        <v>1</v>
      </c>
      <c r="L79" s="75">
        <f ca="1">INDIRECT(ADDRESS(2+(MATCH(Table34[[#This Row],[SPAWNER]],Table40[SPAWNER],0)),2,1,1,"DATA_SCENES_UNITY_2"))</f>
        <v>2</v>
      </c>
      <c r="U79" t="s">
        <v>397</v>
      </c>
      <c r="V79">
        <v>30000</v>
      </c>
      <c r="W79">
        <v>0</v>
      </c>
      <c r="X79" t="s">
        <v>205</v>
      </c>
      <c r="Y79" s="75" t="str">
        <f ca="1">IF(Table15[[#This Row],[Type]]="KILL",IF(_xlfn.NUMBERVALUE(RIGHT(Table15[[#This Row],[Min]],LEN(Table15[[#This Row],[Min]])-FIND("-",Table15[[#This Row],[Min]])))&gt;INDIRECT(ADDRESS(11+MATCH(LEFT(Table15[[#This Row],[Min]],FIND("-",Table15[[#This Row],[Min]])-1),Table1[Content Sku],0),16,1,1,"Entities")),"review","ok"),"ok")</f>
        <v>ok</v>
      </c>
      <c r="Z79" t="s">
        <v>122</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551</v>
      </c>
      <c r="AQ79">
        <v>20</v>
      </c>
      <c r="AR79" s="75">
        <f ca="1">INDIRECT(ADDRESS(2+(MATCH(Table32[[#This Row],[SPAWNER]],Table40[SPAWNER],0)),2,1,1,"DATA_SCENES_UNITY_2"))</f>
        <v>2</v>
      </c>
    </row>
    <row r="80" spans="5:44" x14ac:dyDescent="0.25">
      <c r="E80" t="s">
        <v>397</v>
      </c>
      <c r="F80">
        <v>20000</v>
      </c>
      <c r="G80">
        <v>0</v>
      </c>
      <c r="H80" t="s">
        <v>205</v>
      </c>
      <c r="I80" s="75" t="str">
        <f ca="1">IF(Table7[[#This Row],[Type]]="KILL",IF(_xlfn.NUMBERVALUE(RIGHT(Table7[[#This Row],[Min]],LEN(Table7[[#This Row],[Min]])-FIND("-",Table7[[#This Row],[Min]])))&gt;INDIRECT(ADDRESS(11+MATCH(LEFT(Table7[[#This Row],[Min]],FIND("-",Table7[[#This Row],[Min]])-1),Table1[Content Sku],0),14,1,1,"Entities")),"review","ok"),"ok")</f>
        <v>ok</v>
      </c>
      <c r="J80" t="s">
        <v>551</v>
      </c>
      <c r="K80">
        <v>4</v>
      </c>
      <c r="L80" s="75">
        <f ca="1">INDIRECT(ADDRESS(2+(MATCH(Table34[[#This Row],[SPAWNER]],Table40[SPAWNER],0)),2,1,1,"DATA_SCENES_UNITY_2"))</f>
        <v>2</v>
      </c>
      <c r="U80" t="s">
        <v>397</v>
      </c>
      <c r="V80">
        <v>40000</v>
      </c>
      <c r="W80">
        <v>0</v>
      </c>
      <c r="X80" t="s">
        <v>205</v>
      </c>
      <c r="Y80" s="75" t="str">
        <f ca="1">IF(Table15[[#This Row],[Type]]="KILL",IF(_xlfn.NUMBERVALUE(RIGHT(Table15[[#This Row],[Min]],LEN(Table15[[#This Row],[Min]])-FIND("-",Table15[[#This Row],[Min]])))&gt;INDIRECT(ADDRESS(11+MATCH(LEFT(Table15[[#This Row],[Min]],FIND("-",Table15[[#This Row],[Min]])-1),Table1[Content Sku],0),16,1,1,"Entities")),"review","ok"),"ok")</f>
        <v>ok</v>
      </c>
      <c r="Z80" t="s">
        <v>122</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551</v>
      </c>
      <c r="AQ80">
        <v>5</v>
      </c>
      <c r="AR80" s="75">
        <f ca="1">INDIRECT(ADDRESS(2+(MATCH(Table32[[#This Row],[SPAWNER]],Table40[SPAWNER],0)),2,1,1,"DATA_SCENES_UNITY_2"))</f>
        <v>2</v>
      </c>
    </row>
    <row r="81" spans="5:44" x14ac:dyDescent="0.25">
      <c r="E81" t="s">
        <v>397</v>
      </c>
      <c r="F81">
        <v>14000</v>
      </c>
      <c r="G81">
        <v>0</v>
      </c>
      <c r="H81" t="s">
        <v>205</v>
      </c>
      <c r="I81" s="75" t="str">
        <f ca="1">IF(Table7[[#This Row],[Type]]="KILL",IF(_xlfn.NUMBERVALUE(RIGHT(Table7[[#This Row],[Min]],LEN(Table7[[#This Row],[Min]])-FIND("-",Table7[[#This Row],[Min]])))&gt;INDIRECT(ADDRESS(11+MATCH(LEFT(Table7[[#This Row],[Min]],FIND("-",Table7[[#This Row],[Min]])-1),Table1[Content Sku],0),14,1,1,"Entities")),"review","ok"),"ok")</f>
        <v>ok</v>
      </c>
      <c r="J81" t="s">
        <v>551</v>
      </c>
      <c r="K81">
        <v>4</v>
      </c>
      <c r="L81" s="75">
        <f ca="1">INDIRECT(ADDRESS(2+(MATCH(Table34[[#This Row],[SPAWNER]],Table40[SPAWNER],0)),2,1,1,"DATA_SCENES_UNITY_2"))</f>
        <v>2</v>
      </c>
      <c r="U81" t="s">
        <v>397</v>
      </c>
      <c r="V81">
        <v>30000</v>
      </c>
      <c r="W81">
        <v>0</v>
      </c>
      <c r="X81" t="s">
        <v>205</v>
      </c>
      <c r="Y81" s="75" t="str">
        <f ca="1">IF(Table15[[#This Row],[Type]]="KILL",IF(_xlfn.NUMBERVALUE(RIGHT(Table15[[#This Row],[Min]],LEN(Table15[[#This Row],[Min]])-FIND("-",Table15[[#This Row],[Min]])))&gt;INDIRECT(ADDRESS(11+MATCH(LEFT(Table15[[#This Row],[Min]],FIND("-",Table15[[#This Row],[Min]])-1),Table1[Content Sku],0),16,1,1,"Entities")),"review","ok"),"ok")</f>
        <v>ok</v>
      </c>
      <c r="Z81" t="s">
        <v>122</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551</v>
      </c>
      <c r="AQ81">
        <v>3</v>
      </c>
      <c r="AR81" s="75">
        <f ca="1">INDIRECT(ADDRESS(2+(MATCH(Table32[[#This Row],[SPAWNER]],Table40[SPAWNER],0)),2,1,1,"DATA_SCENES_UNITY_2"))</f>
        <v>2</v>
      </c>
    </row>
    <row r="82" spans="5:44" x14ac:dyDescent="0.25">
      <c r="E82" t="s">
        <v>397</v>
      </c>
      <c r="F82">
        <v>26000</v>
      </c>
      <c r="G82">
        <v>0</v>
      </c>
      <c r="H82" t="s">
        <v>205</v>
      </c>
      <c r="I82" s="75" t="str">
        <f ca="1">IF(Table7[[#This Row],[Type]]="KILL",IF(_xlfn.NUMBERVALUE(RIGHT(Table7[[#This Row],[Min]],LEN(Table7[[#This Row],[Min]])-FIND("-",Table7[[#This Row],[Min]])))&gt;INDIRECT(ADDRESS(11+MATCH(LEFT(Table7[[#This Row],[Min]],FIND("-",Table7[[#This Row],[Min]])-1),Table1[Content Sku],0),14,1,1,"Entities")),"review","ok"),"ok")</f>
        <v>ok</v>
      </c>
      <c r="J82" t="s">
        <v>551</v>
      </c>
      <c r="K82">
        <v>2</v>
      </c>
      <c r="L82" s="75">
        <f ca="1">INDIRECT(ADDRESS(2+(MATCH(Table34[[#This Row],[SPAWNER]],Table40[SPAWNER],0)),2,1,1,"DATA_SCENES_UNITY_2"))</f>
        <v>2</v>
      </c>
      <c r="U82" t="s">
        <v>397</v>
      </c>
      <c r="V82">
        <v>300</v>
      </c>
      <c r="W82">
        <v>0</v>
      </c>
      <c r="X82" t="s">
        <v>4439</v>
      </c>
      <c r="Y82" s="75" t="str">
        <f ca="1">IF(Table15[[#This Row],[Type]]="KILL",IF(_xlfn.NUMBERVALUE(RIGHT(Table15[[#This Row],[Min]],LEN(Table15[[#This Row],[Min]])-FIND("-",Table15[[#This Row],[Min]])))&gt;INDIRECT(ADDRESS(11+MATCH(LEFT(Table15[[#This Row],[Min]],FIND("-",Table15[[#This Row],[Min]])-1),Table1[Content Sku],0),16,1,1,"Entities")),"review","ok"),"ok")</f>
        <v>ok</v>
      </c>
      <c r="Z82" t="s">
        <v>122</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551</v>
      </c>
      <c r="AQ82">
        <v>1</v>
      </c>
      <c r="AR82" s="75">
        <f ca="1">INDIRECT(ADDRESS(2+(MATCH(Table32[[#This Row],[SPAWNER]],Table40[SPAWNER],0)),2,1,1,"DATA_SCENES_UNITY_2"))</f>
        <v>2</v>
      </c>
    </row>
    <row r="83" spans="5:44" x14ac:dyDescent="0.25">
      <c r="E83" t="s">
        <v>397</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551</v>
      </c>
      <c r="K83">
        <v>2</v>
      </c>
      <c r="L83" s="75">
        <f ca="1">INDIRECT(ADDRESS(2+(MATCH(Table34[[#This Row],[SPAWNER]],Table40[SPAWNER],0)),2,1,1,"DATA_SCENES_UNITY_2"))</f>
        <v>2</v>
      </c>
      <c r="U83" t="s">
        <v>36</v>
      </c>
      <c r="V83">
        <v>0</v>
      </c>
      <c r="W83">
        <v>0</v>
      </c>
      <c r="X83" t="s">
        <v>8</v>
      </c>
      <c r="Y83" s="75" t="str">
        <f ca="1">IF(Table15[[#This Row],[Type]]="KILL",IF(_xlfn.NUMBERVALUE(RIGHT(Table15[[#This Row],[Min]],LEN(Table15[[#This Row],[Min]])-FIND("-",Table15[[#This Row],[Min]])))&gt;INDIRECT(ADDRESS(11+MATCH(LEFT(Table15[[#This Row],[Min]],FIND("-",Table15[[#This Row],[Min]])-1),Table1[Content Sku],0),16,1,1,"Entities")),"review","ok"),"ok")</f>
        <v>ok</v>
      </c>
      <c r="Z83" t="s">
        <v>122</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551</v>
      </c>
      <c r="AQ83">
        <v>3</v>
      </c>
      <c r="AR83" s="75">
        <f ca="1">INDIRECT(ADDRESS(2+(MATCH(Table32[[#This Row],[SPAWNER]],Table40[SPAWNER],0)),2,1,1,"DATA_SCENES_UNITY_2"))</f>
        <v>2</v>
      </c>
    </row>
    <row r="84" spans="5:44" x14ac:dyDescent="0.25">
      <c r="E84" t="s">
        <v>397</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551</v>
      </c>
      <c r="K84">
        <v>3</v>
      </c>
      <c r="L84" s="75">
        <f ca="1">INDIRECT(ADDRESS(2+(MATCH(Table34[[#This Row],[SPAWNER]],Table40[SPAWNER],0)),2,1,1,"DATA_SCENES_UNITY_2"))</f>
        <v>2</v>
      </c>
      <c r="U84" t="s">
        <v>36</v>
      </c>
      <c r="V84">
        <v>23000</v>
      </c>
      <c r="W84">
        <v>0</v>
      </c>
      <c r="X84" t="s">
        <v>205</v>
      </c>
      <c r="Y84" s="75" t="str">
        <f ca="1">IF(Table15[[#This Row],[Type]]="KILL",IF(_xlfn.NUMBERVALUE(RIGHT(Table15[[#This Row],[Min]],LEN(Table15[[#This Row],[Min]])-FIND("-",Table15[[#This Row],[Min]])))&gt;INDIRECT(ADDRESS(11+MATCH(LEFT(Table15[[#This Row],[Min]],FIND("-",Table15[[#This Row],[Min]])-1),Table1[Content Sku],0),16,1,1,"Entities")),"review","ok"),"ok")</f>
        <v>ok</v>
      </c>
      <c r="Z84" t="s">
        <v>122</v>
      </c>
      <c r="AA84">
        <v>1</v>
      </c>
      <c r="AB84" s="75">
        <f ca="1">INDIRECT(ADDRESS(2+(MATCH(Table33[[#This Row],[SPAWNER]],Table40[SPAWNER],0)),2,1,1,"DATA_SCENES_UNITY_2"))</f>
        <v>3</v>
      </c>
      <c r="AK84" t="s">
        <v>37</v>
      </c>
      <c r="AL84">
        <v>26000</v>
      </c>
      <c r="AM84">
        <v>0</v>
      </c>
      <c r="AN84" t="s">
        <v>205</v>
      </c>
      <c r="AO84" s="75" t="str">
        <f ca="1">IF(Table20[[#This Row],[Type]]="KILL",IF(_xlfn.NUMBERVALUE(RIGHT(Table20[[#This Row],[Min]],LEN(Table20[[#This Row],[Min]])-FIND("-",Table20[[#This Row],[Min]])))&gt;INDIRECT(ADDRESS(11+MATCH(LEFT(Table20[[#This Row],[Min]],FIND("-",Table20[[#This Row],[Min]])-1),Table1[Content Sku],0),18,1,1,"Entities")),"review","ok"),"ok")</f>
        <v>ok</v>
      </c>
      <c r="AP84" t="s">
        <v>551</v>
      </c>
      <c r="AQ84">
        <v>2</v>
      </c>
      <c r="AR84" s="75">
        <f ca="1">INDIRECT(ADDRESS(2+(MATCH(Table32[[#This Row],[SPAWNER]],Table40[SPAWNER],0)),2,1,1,"DATA_SCENES_UNITY_2"))</f>
        <v>2</v>
      </c>
    </row>
    <row r="85" spans="5:44" x14ac:dyDescent="0.25">
      <c r="E85" t="s">
        <v>397</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551</v>
      </c>
      <c r="K85">
        <v>2</v>
      </c>
      <c r="L85" s="75">
        <f ca="1">INDIRECT(ADDRESS(2+(MATCH(Table34[[#This Row],[SPAWNER]],Table40[SPAWNER],0)),2,1,1,"DATA_SCENES_UNITY_2"))</f>
        <v>2</v>
      </c>
      <c r="U85" t="s">
        <v>36</v>
      </c>
      <c r="V85">
        <v>0</v>
      </c>
      <c r="W85">
        <v>0</v>
      </c>
      <c r="X85" t="s">
        <v>8</v>
      </c>
      <c r="Y85" s="75" t="str">
        <f ca="1">IF(Table15[[#This Row],[Type]]="KILL",IF(_xlfn.NUMBERVALUE(RIGHT(Table15[[#This Row],[Min]],LEN(Table15[[#This Row],[Min]])-FIND("-",Table15[[#This Row],[Min]])))&gt;INDIRECT(ADDRESS(11+MATCH(LEFT(Table15[[#This Row],[Min]],FIND("-",Table15[[#This Row],[Min]])-1),Table1[Content Sku],0),16,1,1,"Entities")),"review","ok"),"ok")</f>
        <v>ok</v>
      </c>
      <c r="Z85" t="s">
        <v>122</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551</v>
      </c>
      <c r="AQ85">
        <v>1</v>
      </c>
      <c r="AR85" s="75">
        <f ca="1">INDIRECT(ADDRESS(2+(MATCH(Table32[[#This Row],[SPAWNER]],Table40[SPAWNER],0)),2,1,1,"DATA_SCENES_UNITY_2"))</f>
        <v>2</v>
      </c>
    </row>
    <row r="86" spans="5:44" x14ac:dyDescent="0.25">
      <c r="E86" t="s">
        <v>397</v>
      </c>
      <c r="F86">
        <v>0</v>
      </c>
      <c r="G86">
        <v>0</v>
      </c>
      <c r="H86" t="s">
        <v>8</v>
      </c>
      <c r="I86" s="75" t="str">
        <f ca="1">IF(Table7[[#This Row],[Type]]="KILL",IF(_xlfn.NUMBERVALUE(RIGHT(Table7[[#This Row],[Min]],LEN(Table7[[#This Row],[Min]])-FIND("-",Table7[[#This Row],[Min]])))&gt;INDIRECT(ADDRESS(11+MATCH(LEFT(Table7[[#This Row],[Min]],FIND("-",Table7[[#This Row],[Min]])-1),Table1[Content Sku],0),14,1,1,"Entities")),"review","ok"),"ok")</f>
        <v>ok</v>
      </c>
      <c r="J86" t="s">
        <v>551</v>
      </c>
      <c r="K86">
        <v>3</v>
      </c>
      <c r="L86" s="75">
        <f ca="1">INDIRECT(ADDRESS(2+(MATCH(Table34[[#This Row],[SPAWNER]],Table40[SPAWNER],0)),2,1,1,"DATA_SCENES_UNITY_2"))</f>
        <v>2</v>
      </c>
      <c r="U86" t="s">
        <v>36</v>
      </c>
      <c r="V86">
        <v>17000</v>
      </c>
      <c r="W86">
        <v>0</v>
      </c>
      <c r="X86" t="s">
        <v>205</v>
      </c>
      <c r="Y86" s="75" t="str">
        <f ca="1">IF(Table15[[#This Row],[Type]]="KILL",IF(_xlfn.NUMBERVALUE(RIGHT(Table15[[#This Row],[Min]],LEN(Table15[[#This Row],[Min]])-FIND("-",Table15[[#This Row],[Min]])))&gt;INDIRECT(ADDRESS(11+MATCH(LEFT(Table15[[#This Row],[Min]],FIND("-",Table15[[#This Row],[Min]])-1),Table1[Content Sku],0),16,1,1,"Entities")),"review","ok"),"ok")</f>
        <v>ok</v>
      </c>
      <c r="Z86" t="s">
        <v>122</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551</v>
      </c>
      <c r="AQ86">
        <v>4</v>
      </c>
      <c r="AR86" s="75">
        <f ca="1">INDIRECT(ADDRESS(2+(MATCH(Table32[[#This Row],[SPAWNER]],Table40[SPAWNER],0)),2,1,1,"DATA_SCENES_UNITY_2"))</f>
        <v>2</v>
      </c>
    </row>
    <row r="87" spans="5:44" x14ac:dyDescent="0.25">
      <c r="E87" t="s">
        <v>397</v>
      </c>
      <c r="F87">
        <v>7000</v>
      </c>
      <c r="G87">
        <v>0</v>
      </c>
      <c r="H87" t="s">
        <v>205</v>
      </c>
      <c r="I87" s="75" t="str">
        <f ca="1">IF(Table7[[#This Row],[Type]]="KILL",IF(_xlfn.NUMBERVALUE(RIGHT(Table7[[#This Row],[Min]],LEN(Table7[[#This Row],[Min]])-FIND("-",Table7[[#This Row],[Min]])))&gt;INDIRECT(ADDRESS(11+MATCH(LEFT(Table7[[#This Row],[Min]],FIND("-",Table7[[#This Row],[Min]])-1),Table1[Content Sku],0),14,1,1,"Entities")),"review","ok"),"ok")</f>
        <v>ok</v>
      </c>
      <c r="J87" t="s">
        <v>551</v>
      </c>
      <c r="K87">
        <v>3</v>
      </c>
      <c r="L87" s="75">
        <f ca="1">INDIRECT(ADDRESS(2+(MATCH(Table34[[#This Row],[SPAWNER]],Table40[SPAWNER],0)),2,1,1,"DATA_SCENES_UNITY_2"))</f>
        <v>2</v>
      </c>
      <c r="U87" t="s">
        <v>36</v>
      </c>
      <c r="V87">
        <v>41000</v>
      </c>
      <c r="W87">
        <v>0</v>
      </c>
      <c r="X87" t="s">
        <v>205</v>
      </c>
      <c r="Y87" s="75" t="str">
        <f ca="1">IF(Table15[[#This Row],[Type]]="KILL",IF(_xlfn.NUMBERVALUE(RIGHT(Table15[[#This Row],[Min]],LEN(Table15[[#This Row],[Min]])-FIND("-",Table15[[#This Row],[Min]])))&gt;INDIRECT(ADDRESS(11+MATCH(LEFT(Table15[[#This Row],[Min]],FIND("-",Table15[[#This Row],[Min]])-1),Table1[Content Sku],0),16,1,1,"Entities")),"review","ok"),"ok")</f>
        <v>ok</v>
      </c>
      <c r="Z87" t="s">
        <v>122</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551</v>
      </c>
      <c r="AQ87">
        <v>4</v>
      </c>
      <c r="AR87" s="75">
        <f ca="1">INDIRECT(ADDRESS(2+(MATCH(Table32[[#This Row],[SPAWNER]],Table40[SPAWNER],0)),2,1,1,"DATA_SCENES_UNITY_2"))</f>
        <v>2</v>
      </c>
    </row>
    <row r="88" spans="5:44" x14ac:dyDescent="0.25">
      <c r="E88" t="s">
        <v>397</v>
      </c>
      <c r="F88">
        <v>29000</v>
      </c>
      <c r="G88">
        <v>0</v>
      </c>
      <c r="H88" t="s">
        <v>205</v>
      </c>
      <c r="I88" s="75" t="str">
        <f ca="1">IF(Table7[[#This Row],[Type]]="KILL",IF(_xlfn.NUMBERVALUE(RIGHT(Table7[[#This Row],[Min]],LEN(Table7[[#This Row],[Min]])-FIND("-",Table7[[#This Row],[Min]])))&gt;INDIRECT(ADDRESS(11+MATCH(LEFT(Table7[[#This Row],[Min]],FIND("-",Table7[[#This Row],[Min]])-1),Table1[Content Sku],0),14,1,1,"Entities")),"review","ok"),"ok")</f>
        <v>ok</v>
      </c>
      <c r="J88" t="s">
        <v>551</v>
      </c>
      <c r="K88">
        <v>3</v>
      </c>
      <c r="L88" s="75">
        <f ca="1">INDIRECT(ADDRESS(2+(MATCH(Table34[[#This Row],[SPAWNER]],Table40[SPAWNER],0)),2,1,1,"DATA_SCENES_UNITY_2"))</f>
        <v>2</v>
      </c>
      <c r="U88" t="s">
        <v>36</v>
      </c>
      <c r="V88">
        <v>14000</v>
      </c>
      <c r="W88">
        <v>0</v>
      </c>
      <c r="X88" t="s">
        <v>205</v>
      </c>
      <c r="Y88" s="75" t="str">
        <f ca="1">IF(Table15[[#This Row],[Type]]="KILL",IF(_xlfn.NUMBERVALUE(RIGHT(Table15[[#This Row],[Min]],LEN(Table15[[#This Row],[Min]])-FIND("-",Table15[[#This Row],[Min]])))&gt;INDIRECT(ADDRESS(11+MATCH(LEFT(Table15[[#This Row],[Min]],FIND("-",Table15[[#This Row],[Min]])-1),Table1[Content Sku],0),16,1,1,"Entities")),"review","ok"),"ok")</f>
        <v>ok</v>
      </c>
      <c r="Z88" t="s">
        <v>122</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551</v>
      </c>
      <c r="AQ88">
        <v>4</v>
      </c>
      <c r="AR88" s="75">
        <f ca="1">INDIRECT(ADDRESS(2+(MATCH(Table32[[#This Row],[SPAWNER]],Table40[SPAWNER],0)),2,1,1,"DATA_SCENES_UNITY_2"))</f>
        <v>2</v>
      </c>
    </row>
    <row r="89" spans="5:44" x14ac:dyDescent="0.25">
      <c r="E89" t="s">
        <v>397</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551</v>
      </c>
      <c r="K89">
        <v>2</v>
      </c>
      <c r="L89" s="75">
        <f ca="1">INDIRECT(ADDRESS(2+(MATCH(Table34[[#This Row],[SPAWNER]],Table40[SPAWNER],0)),2,1,1,"DATA_SCENES_UNITY_2"))</f>
        <v>2</v>
      </c>
      <c r="U89" t="s">
        <v>36</v>
      </c>
      <c r="V89">
        <v>25000</v>
      </c>
      <c r="W89">
        <v>0</v>
      </c>
      <c r="X89" t="s">
        <v>205</v>
      </c>
      <c r="Y89" s="75" t="str">
        <f ca="1">IF(Table15[[#This Row],[Type]]="KILL",IF(_xlfn.NUMBERVALUE(RIGHT(Table15[[#This Row],[Min]],LEN(Table15[[#This Row],[Min]])-FIND("-",Table15[[#This Row],[Min]])))&gt;INDIRECT(ADDRESS(11+MATCH(LEFT(Table15[[#This Row],[Min]],FIND("-",Table15[[#This Row],[Min]])-1),Table1[Content Sku],0),16,1,1,"Entities")),"review","ok"),"ok")</f>
        <v>ok</v>
      </c>
      <c r="Z89" t="s">
        <v>122</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551</v>
      </c>
      <c r="AQ89">
        <v>3</v>
      </c>
      <c r="AR89" s="75">
        <f ca="1">INDIRECT(ADDRESS(2+(MATCH(Table32[[#This Row],[SPAWNER]],Table40[SPAWNER],0)),2,1,1,"DATA_SCENES_UNITY_2"))</f>
        <v>2</v>
      </c>
    </row>
    <row r="90" spans="5:44" x14ac:dyDescent="0.25">
      <c r="E90" t="s">
        <v>397</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551</v>
      </c>
      <c r="K90">
        <v>3</v>
      </c>
      <c r="L90" s="75">
        <f ca="1">INDIRECT(ADDRESS(2+(MATCH(Table34[[#This Row],[SPAWNER]],Table40[SPAWNER],0)),2,1,1,"DATA_SCENES_UNITY_2"))</f>
        <v>2</v>
      </c>
      <c r="U90" t="s">
        <v>36</v>
      </c>
      <c r="V90">
        <v>0</v>
      </c>
      <c r="W90">
        <v>0</v>
      </c>
      <c r="X90" t="s">
        <v>8</v>
      </c>
      <c r="Y90" s="75" t="str">
        <f ca="1">IF(Table15[[#This Row],[Type]]="KILL",IF(_xlfn.NUMBERVALUE(RIGHT(Table15[[#This Row],[Min]],LEN(Table15[[#This Row],[Min]])-FIND("-",Table15[[#This Row],[Min]])))&gt;INDIRECT(ADDRESS(11+MATCH(LEFT(Table15[[#This Row],[Min]],FIND("-",Table15[[#This Row],[Min]])-1),Table1[Content Sku],0),16,1,1,"Entities")),"review","ok"),"ok")</f>
        <v>ok</v>
      </c>
      <c r="Z90" t="s">
        <v>122</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551</v>
      </c>
      <c r="AQ90">
        <v>22</v>
      </c>
      <c r="AR90" s="75">
        <f ca="1">INDIRECT(ADDRESS(2+(MATCH(Table32[[#This Row],[SPAWNER]],Table40[SPAWNER],0)),2,1,1,"DATA_SCENES_UNITY_2"))</f>
        <v>2</v>
      </c>
    </row>
    <row r="91" spans="5:44" x14ac:dyDescent="0.25">
      <c r="E91" t="s">
        <v>397</v>
      </c>
      <c r="F91">
        <v>20000</v>
      </c>
      <c r="G91">
        <v>0</v>
      </c>
      <c r="H91" t="s">
        <v>205</v>
      </c>
      <c r="I91" s="75" t="str">
        <f ca="1">IF(Table7[[#This Row],[Type]]="KILL",IF(_xlfn.NUMBERVALUE(RIGHT(Table7[[#This Row],[Min]],LEN(Table7[[#This Row],[Min]])-FIND("-",Table7[[#This Row],[Min]])))&gt;INDIRECT(ADDRESS(11+MATCH(LEFT(Table7[[#This Row],[Min]],FIND("-",Table7[[#This Row],[Min]])-1),Table1[Content Sku],0),14,1,1,"Entities")),"review","ok"),"ok")</f>
        <v>ok</v>
      </c>
      <c r="U91" t="s">
        <v>36</v>
      </c>
      <c r="V91">
        <v>20000</v>
      </c>
      <c r="W91">
        <v>0</v>
      </c>
      <c r="X91" t="s">
        <v>205</v>
      </c>
      <c r="Y91" s="75" t="str">
        <f ca="1">IF(Table15[[#This Row],[Type]]="KILL",IF(_xlfn.NUMBERVALUE(RIGHT(Table15[[#This Row],[Min]],LEN(Table15[[#This Row],[Min]])-FIND("-",Table15[[#This Row],[Min]])))&gt;INDIRECT(ADDRESS(11+MATCH(LEFT(Table15[[#This Row],[Min]],FIND("-",Table15[[#This Row],[Min]])-1),Table1[Content Sku],0),16,1,1,"Entities")),"review","ok"),"ok")</f>
        <v>ok</v>
      </c>
      <c r="Z91" t="s">
        <v>122</v>
      </c>
      <c r="AA91">
        <v>1</v>
      </c>
      <c r="AB91" s="75">
        <f ca="1">INDIRECT(ADDRESS(2+(MATCH(Table33[[#This Row],[SPAWNER]],Table40[SPAWNER],0)),2,1,1,"DATA_SCENES_UNITY_2"))</f>
        <v>3</v>
      </c>
      <c r="AK91" t="s">
        <v>37</v>
      </c>
      <c r="AL91">
        <v>27000</v>
      </c>
      <c r="AM91">
        <v>0</v>
      </c>
      <c r="AN91" t="s">
        <v>205</v>
      </c>
      <c r="AO91" s="75" t="str">
        <f ca="1">IF(Table20[[#This Row],[Type]]="KILL",IF(_xlfn.NUMBERVALUE(RIGHT(Table20[[#This Row],[Min]],LEN(Table20[[#This Row],[Min]])-FIND("-",Table20[[#This Row],[Min]])))&gt;INDIRECT(ADDRESS(11+MATCH(LEFT(Table20[[#This Row],[Min]],FIND("-",Table20[[#This Row],[Min]])-1),Table1[Content Sku],0),18,1,1,"Entities")),"review","ok"),"ok")</f>
        <v>ok</v>
      </c>
      <c r="AP91" t="s">
        <v>551</v>
      </c>
      <c r="AQ91">
        <v>1</v>
      </c>
      <c r="AR91" s="75">
        <f ca="1">INDIRECT(ADDRESS(2+(MATCH(Table32[[#This Row],[SPAWNER]],Table40[SPAWNER],0)),2,1,1,"DATA_SCENES_UNITY_2"))</f>
        <v>2</v>
      </c>
    </row>
    <row r="92" spans="5:44" x14ac:dyDescent="0.25">
      <c r="E92" t="s">
        <v>397</v>
      </c>
      <c r="F92">
        <v>14000</v>
      </c>
      <c r="G92">
        <v>0</v>
      </c>
      <c r="H92" t="s">
        <v>205</v>
      </c>
      <c r="I92" s="75" t="str">
        <f ca="1">IF(Table7[[#This Row],[Type]]="KILL",IF(_xlfn.NUMBERVALUE(RIGHT(Table7[[#This Row],[Min]],LEN(Table7[[#This Row],[Min]])-FIND("-",Table7[[#This Row],[Min]])))&gt;INDIRECT(ADDRESS(11+MATCH(LEFT(Table7[[#This Row],[Min]],FIND("-",Table7[[#This Row],[Min]])-1),Table1[Content Sku],0),14,1,1,"Entities")),"review","ok"),"ok")</f>
        <v>ok</v>
      </c>
      <c r="U92" t="s">
        <v>36</v>
      </c>
      <c r="V92">
        <v>17000</v>
      </c>
      <c r="W92">
        <v>0</v>
      </c>
      <c r="X92" t="s">
        <v>205</v>
      </c>
      <c r="Y92" s="75" t="str">
        <f ca="1">IF(Table15[[#This Row],[Type]]="KILL",IF(_xlfn.NUMBERVALUE(RIGHT(Table15[[#This Row],[Min]],LEN(Table15[[#This Row],[Min]])-FIND("-",Table15[[#This Row],[Min]])))&gt;INDIRECT(ADDRESS(11+MATCH(LEFT(Table15[[#This Row],[Min]],FIND("-",Table15[[#This Row],[Min]])-1),Table1[Content Sku],0),16,1,1,"Entities")),"review","ok"),"ok")</f>
        <v>ok</v>
      </c>
      <c r="Z92" t="s">
        <v>122</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551</v>
      </c>
      <c r="AQ92">
        <v>2</v>
      </c>
      <c r="AR92" s="75">
        <f ca="1">INDIRECT(ADDRESS(2+(MATCH(Table32[[#This Row],[SPAWNER]],Table40[SPAWNER],0)),2,1,1,"DATA_SCENES_UNITY_2"))</f>
        <v>2</v>
      </c>
    </row>
    <row r="93" spans="5:44" x14ac:dyDescent="0.25">
      <c r="E93" t="s">
        <v>397</v>
      </c>
      <c r="F93">
        <v>25000</v>
      </c>
      <c r="G93">
        <v>0</v>
      </c>
      <c r="H93" t="s">
        <v>205</v>
      </c>
      <c r="I93" s="75" t="str">
        <f ca="1">IF(Table7[[#This Row],[Type]]="KILL",IF(_xlfn.NUMBERVALUE(RIGHT(Table7[[#This Row],[Min]],LEN(Table7[[#This Row],[Min]])-FIND("-",Table7[[#This Row],[Min]])))&gt;INDIRECT(ADDRESS(11+MATCH(LEFT(Table7[[#This Row],[Min]],FIND("-",Table7[[#This Row],[Min]])-1),Table1[Content Sku],0),14,1,1,"Entities")),"review","ok"),"ok")</f>
        <v>ok</v>
      </c>
      <c r="U93" t="s">
        <v>36</v>
      </c>
      <c r="V93">
        <v>26000</v>
      </c>
      <c r="W93">
        <v>0</v>
      </c>
      <c r="X93" t="s">
        <v>205</v>
      </c>
      <c r="Y93" s="75" t="str">
        <f ca="1">IF(Table15[[#This Row],[Type]]="KILL",IF(_xlfn.NUMBERVALUE(RIGHT(Table15[[#This Row],[Min]],LEN(Table15[[#This Row],[Min]])-FIND("-",Table15[[#This Row],[Min]])))&gt;INDIRECT(ADDRESS(11+MATCH(LEFT(Table15[[#This Row],[Min]],FIND("-",Table15[[#This Row],[Min]])-1),Table1[Content Sku],0),16,1,1,"Entities")),"review","ok"),"ok")</f>
        <v>ok</v>
      </c>
      <c r="Z93" t="s">
        <v>122</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551</v>
      </c>
      <c r="AQ93">
        <v>3</v>
      </c>
      <c r="AR93" s="75">
        <f ca="1">INDIRECT(ADDRESS(2+(MATCH(Table32[[#This Row],[SPAWNER]],Table40[SPAWNER],0)),2,1,1,"DATA_SCENES_UNITY_2"))</f>
        <v>2</v>
      </c>
    </row>
    <row r="94" spans="5:44" x14ac:dyDescent="0.25">
      <c r="E94" t="s">
        <v>397</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U94" t="s">
        <v>36</v>
      </c>
      <c r="V94">
        <v>0</v>
      </c>
      <c r="W94">
        <v>0</v>
      </c>
      <c r="X94" t="s">
        <v>8</v>
      </c>
      <c r="Y94" s="75" t="str">
        <f ca="1">IF(Table15[[#This Row],[Type]]="KILL",IF(_xlfn.NUMBERVALUE(RIGHT(Table15[[#This Row],[Min]],LEN(Table15[[#This Row],[Min]])-FIND("-",Table15[[#This Row],[Min]])))&gt;INDIRECT(ADDRESS(11+MATCH(LEFT(Table15[[#This Row],[Min]],FIND("-",Table15[[#This Row],[Min]])-1),Table1[Content Sku],0),16,1,1,"Entities")),"review","ok"),"ok")</f>
        <v>ok</v>
      </c>
      <c r="Z94" t="s">
        <v>122</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551</v>
      </c>
      <c r="AQ94">
        <v>10</v>
      </c>
      <c r="AR94" s="75">
        <f ca="1">INDIRECT(ADDRESS(2+(MATCH(Table32[[#This Row],[SPAWNER]],Table40[SPAWNER],0)),2,1,1,"DATA_SCENES_UNITY_2"))</f>
        <v>2</v>
      </c>
    </row>
    <row r="95" spans="5:44" x14ac:dyDescent="0.25">
      <c r="E95" t="s">
        <v>397</v>
      </c>
      <c r="F95">
        <v>20500</v>
      </c>
      <c r="G95">
        <v>0</v>
      </c>
      <c r="H95" t="s">
        <v>205</v>
      </c>
      <c r="I95" s="75" t="str">
        <f ca="1">IF(Table7[[#This Row],[Type]]="KILL",IF(_xlfn.NUMBERVALUE(RIGHT(Table7[[#This Row],[Min]],LEN(Table7[[#This Row],[Min]])-FIND("-",Table7[[#This Row],[Min]])))&gt;INDIRECT(ADDRESS(11+MATCH(LEFT(Table7[[#This Row],[Min]],FIND("-",Table7[[#This Row],[Min]])-1),Table1[Content Sku],0),14,1,1,"Entities")),"review","ok"),"ok")</f>
        <v>ok</v>
      </c>
      <c r="U95" t="s">
        <v>36</v>
      </c>
      <c r="V95">
        <v>46000</v>
      </c>
      <c r="W95">
        <v>0</v>
      </c>
      <c r="X95" t="s">
        <v>205</v>
      </c>
      <c r="Y95" s="75" t="str">
        <f ca="1">IF(Table15[[#This Row],[Type]]="KILL",IF(_xlfn.NUMBERVALUE(RIGHT(Table15[[#This Row],[Min]],LEN(Table15[[#This Row],[Min]])-FIND("-",Table15[[#This Row],[Min]])))&gt;INDIRECT(ADDRESS(11+MATCH(LEFT(Table15[[#This Row],[Min]],FIND("-",Table15[[#This Row],[Min]])-1),Table1[Content Sku],0),16,1,1,"Entities")),"review","ok"),"ok")</f>
        <v>ok</v>
      </c>
      <c r="Z95" t="s">
        <v>122</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551</v>
      </c>
      <c r="AQ95">
        <v>4</v>
      </c>
      <c r="AR95" s="75">
        <f ca="1">INDIRECT(ADDRESS(2+(MATCH(Table32[[#This Row],[SPAWNER]],Table40[SPAWNER],0)),2,1,1,"DATA_SCENES_UNITY_2"))</f>
        <v>2</v>
      </c>
    </row>
    <row r="96" spans="5:44" x14ac:dyDescent="0.25">
      <c r="E96" t="s">
        <v>397</v>
      </c>
      <c r="F96">
        <v>25500</v>
      </c>
      <c r="G96">
        <v>0</v>
      </c>
      <c r="H96" t="s">
        <v>205</v>
      </c>
      <c r="I96" s="75" t="str">
        <f ca="1">IF(Table7[[#This Row],[Type]]="KILL",IF(_xlfn.NUMBERVALUE(RIGHT(Table7[[#This Row],[Min]],LEN(Table7[[#This Row],[Min]])-FIND("-",Table7[[#This Row],[Min]])))&gt;INDIRECT(ADDRESS(11+MATCH(LEFT(Table7[[#This Row],[Min]],FIND("-",Table7[[#This Row],[Min]])-1),Table1[Content Sku],0),14,1,1,"Entities")),"review","ok"),"ok")</f>
        <v>ok</v>
      </c>
      <c r="U96" t="s">
        <v>36</v>
      </c>
      <c r="V96">
        <v>44000</v>
      </c>
      <c r="W96">
        <v>0</v>
      </c>
      <c r="X96" t="s">
        <v>205</v>
      </c>
      <c r="Y96" s="75" t="str">
        <f ca="1">IF(Table15[[#This Row],[Type]]="KILL",IF(_xlfn.NUMBERVALUE(RIGHT(Table15[[#This Row],[Min]],LEN(Table15[[#This Row],[Min]])-FIND("-",Table15[[#This Row],[Min]])))&gt;INDIRECT(ADDRESS(11+MATCH(LEFT(Table15[[#This Row],[Min]],FIND("-",Table15[[#This Row],[Min]])-1),Table1[Content Sku],0),16,1,1,"Entities")),"review","ok"),"ok")</f>
        <v>ok</v>
      </c>
      <c r="Z96" t="s">
        <v>122</v>
      </c>
      <c r="AA96">
        <v>1</v>
      </c>
      <c r="AB96" s="75">
        <f ca="1">INDIRECT(ADDRESS(2+(MATCH(Table33[[#This Row],[SPAWNER]],Table40[SPAWNER],0)),2,1,1,"DATA_SCENES_UNITY_2"))</f>
        <v>3</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551</v>
      </c>
      <c r="AQ96">
        <v>6</v>
      </c>
      <c r="AR96" s="75">
        <f ca="1">INDIRECT(ADDRESS(2+(MATCH(Table32[[#This Row],[SPAWNER]],Table40[SPAWNER],0)),2,1,1,"DATA_SCENES_UNITY_2"))</f>
        <v>2</v>
      </c>
    </row>
    <row r="97" spans="5:44" x14ac:dyDescent="0.25">
      <c r="E97" t="s">
        <v>397</v>
      </c>
      <c r="F97">
        <v>6000</v>
      </c>
      <c r="G97">
        <v>0</v>
      </c>
      <c r="H97" t="s">
        <v>205</v>
      </c>
      <c r="I97" s="75" t="str">
        <f ca="1">IF(Table7[[#This Row],[Type]]="KILL",IF(_xlfn.NUMBERVALUE(RIGHT(Table7[[#This Row],[Min]],LEN(Table7[[#This Row],[Min]])-FIND("-",Table7[[#This Row],[Min]])))&gt;INDIRECT(ADDRESS(11+MATCH(LEFT(Table7[[#This Row],[Min]],FIND("-",Table7[[#This Row],[Min]])-1),Table1[Content Sku],0),14,1,1,"Entities")),"review","ok"),"ok")</f>
        <v>ok</v>
      </c>
      <c r="U97" t="s">
        <v>36</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122</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551</v>
      </c>
      <c r="AQ97">
        <v>1</v>
      </c>
      <c r="AR97" s="75">
        <f ca="1">INDIRECT(ADDRESS(2+(MATCH(Table32[[#This Row],[SPAWNER]],Table40[SPAWNER],0)),2,1,1,"DATA_SCENES_UNITY_2"))</f>
        <v>2</v>
      </c>
    </row>
    <row r="98" spans="5:44" x14ac:dyDescent="0.25">
      <c r="E98" t="s">
        <v>397</v>
      </c>
      <c r="F98">
        <v>24000</v>
      </c>
      <c r="G98">
        <v>0</v>
      </c>
      <c r="H98" t="s">
        <v>205</v>
      </c>
      <c r="I98" s="75" t="str">
        <f ca="1">IF(Table7[[#This Row],[Type]]="KILL",IF(_xlfn.NUMBERVALUE(RIGHT(Table7[[#This Row],[Min]],LEN(Table7[[#This Row],[Min]])-FIND("-",Table7[[#This Row],[Min]])))&gt;INDIRECT(ADDRESS(11+MATCH(LEFT(Table7[[#This Row],[Min]],FIND("-",Table7[[#This Row],[Min]])-1),Table1[Content Sku],0),14,1,1,"Entities")),"review","ok"),"ok")</f>
        <v>ok</v>
      </c>
      <c r="U98" t="s">
        <v>36</v>
      </c>
      <c r="V98">
        <v>0</v>
      </c>
      <c r="W98">
        <v>0</v>
      </c>
      <c r="X98" t="s">
        <v>8</v>
      </c>
      <c r="Y98" s="75" t="str">
        <f ca="1">IF(Table15[[#This Row],[Type]]="KILL",IF(_xlfn.NUMBERVALUE(RIGHT(Table15[[#This Row],[Min]],LEN(Table15[[#This Row],[Min]])-FIND("-",Table15[[#This Row],[Min]])))&gt;INDIRECT(ADDRESS(11+MATCH(LEFT(Table15[[#This Row],[Min]],FIND("-",Table15[[#This Row],[Min]])-1),Table1[Content Sku],0),16,1,1,"Entities")),"review","ok"),"ok")</f>
        <v>ok</v>
      </c>
      <c r="Z98" t="s">
        <v>122</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551</v>
      </c>
      <c r="AQ98">
        <v>16</v>
      </c>
      <c r="AR98" s="75">
        <f ca="1">INDIRECT(ADDRESS(2+(MATCH(Table32[[#This Row],[SPAWNER]],Table40[SPAWNER],0)),2,1,1,"DATA_SCENES_UNITY_2"))</f>
        <v>2</v>
      </c>
    </row>
    <row r="99" spans="5:44" x14ac:dyDescent="0.25">
      <c r="E99" t="s">
        <v>397</v>
      </c>
      <c r="F99">
        <v>5500</v>
      </c>
      <c r="G99">
        <v>0</v>
      </c>
      <c r="H99" t="s">
        <v>205</v>
      </c>
      <c r="I99" s="75" t="str">
        <f ca="1">IF(Table7[[#This Row],[Type]]="KILL",IF(_xlfn.NUMBERVALUE(RIGHT(Table7[[#This Row],[Min]],LEN(Table7[[#This Row],[Min]])-FIND("-",Table7[[#This Row],[Min]])))&gt;INDIRECT(ADDRESS(11+MATCH(LEFT(Table7[[#This Row],[Min]],FIND("-",Table7[[#This Row],[Min]])-1),Table1[Content Sku],0),14,1,1,"Entities")),"review","ok"),"ok")</f>
        <v>ok</v>
      </c>
      <c r="U99" t="s">
        <v>36</v>
      </c>
      <c r="V99">
        <v>0</v>
      </c>
      <c r="W99">
        <v>0</v>
      </c>
      <c r="X99" t="s">
        <v>8</v>
      </c>
      <c r="Y99" s="75" t="str">
        <f ca="1">IF(Table15[[#This Row],[Type]]="KILL",IF(_xlfn.NUMBERVALUE(RIGHT(Table15[[#This Row],[Min]],LEN(Table15[[#This Row],[Min]])-FIND("-",Table15[[#This Row],[Min]])))&gt;INDIRECT(ADDRESS(11+MATCH(LEFT(Table15[[#This Row],[Min]],FIND("-",Table15[[#This Row],[Min]])-1),Table1[Content Sku],0),16,1,1,"Entities")),"review","ok"),"ok")</f>
        <v>ok</v>
      </c>
      <c r="Z99" t="s">
        <v>122</v>
      </c>
      <c r="AA99">
        <v>1</v>
      </c>
      <c r="AB99" s="75">
        <f ca="1">INDIRECT(ADDRESS(2+(MATCH(Table33[[#This Row],[SPAWNER]],Table40[SPAWNER],0)),2,1,1,"DATA_SCENES_UNITY_2"))</f>
        <v>3</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551</v>
      </c>
      <c r="AQ99">
        <v>14</v>
      </c>
      <c r="AR99" s="75">
        <f ca="1">INDIRECT(ADDRESS(2+(MATCH(Table32[[#This Row],[SPAWNER]],Table40[SPAWNER],0)),2,1,1,"DATA_SCENES_UNITY_2"))</f>
        <v>2</v>
      </c>
    </row>
    <row r="100" spans="5:44" x14ac:dyDescent="0.25">
      <c r="E100" t="s">
        <v>397</v>
      </c>
      <c r="F100">
        <v>24000</v>
      </c>
      <c r="G100">
        <v>0</v>
      </c>
      <c r="H100" t="s">
        <v>205</v>
      </c>
      <c r="I100" s="75" t="str">
        <f ca="1">IF(Table7[[#This Row],[Type]]="KILL",IF(_xlfn.NUMBERVALUE(RIGHT(Table7[[#This Row],[Min]],LEN(Table7[[#This Row],[Min]])-FIND("-",Table7[[#This Row],[Min]])))&gt;INDIRECT(ADDRESS(11+MATCH(LEFT(Table7[[#This Row],[Min]],FIND("-",Table7[[#This Row],[Min]])-1),Table1[Content Sku],0),14,1,1,"Entities")),"review","ok"),"ok")</f>
        <v>ok</v>
      </c>
      <c r="U100" t="s">
        <v>36</v>
      </c>
      <c r="V100">
        <v>30000</v>
      </c>
      <c r="W100">
        <v>0</v>
      </c>
      <c r="X100" t="s">
        <v>205</v>
      </c>
      <c r="Y100" s="75" t="str">
        <f ca="1">IF(Table15[[#This Row],[Type]]="KILL",IF(_xlfn.NUMBERVALUE(RIGHT(Table15[[#This Row],[Min]],LEN(Table15[[#This Row],[Min]])-FIND("-",Table15[[#This Row],[Min]])))&gt;INDIRECT(ADDRESS(11+MATCH(LEFT(Table15[[#This Row],[Min]],FIND("-",Table15[[#This Row],[Min]])-1),Table1[Content Sku],0),16,1,1,"Entities")),"review","ok"),"ok")</f>
        <v>ok</v>
      </c>
      <c r="Z100" t="s">
        <v>122</v>
      </c>
      <c r="AA100">
        <v>1</v>
      </c>
      <c r="AB100" s="75">
        <f ca="1">INDIRECT(ADDRESS(2+(MATCH(Table33[[#This Row],[SPAWNER]],Table40[SPAWNER],0)),2,1,1,"DATA_SCENES_UNITY_2"))</f>
        <v>3</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551</v>
      </c>
      <c r="AQ100">
        <v>2</v>
      </c>
      <c r="AR100" s="75">
        <f ca="1">INDIRECT(ADDRESS(2+(MATCH(Table32[[#This Row],[SPAWNER]],Table40[SPAWNER],0)),2,1,1,"DATA_SCENES_UNITY_2"))</f>
        <v>2</v>
      </c>
    </row>
    <row r="101" spans="5:44" x14ac:dyDescent="0.25">
      <c r="E101" t="s">
        <v>397</v>
      </c>
      <c r="F101">
        <v>22000</v>
      </c>
      <c r="G101">
        <v>0</v>
      </c>
      <c r="H101" t="s">
        <v>205</v>
      </c>
      <c r="I101" s="75" t="str">
        <f ca="1">IF(Table7[[#This Row],[Type]]="KILL",IF(_xlfn.NUMBERVALUE(RIGHT(Table7[[#This Row],[Min]],LEN(Table7[[#This Row],[Min]])-FIND("-",Table7[[#This Row],[Min]])))&gt;INDIRECT(ADDRESS(11+MATCH(LEFT(Table7[[#This Row],[Min]],FIND("-",Table7[[#This Row],[Min]])-1),Table1[Content Sku],0),14,1,1,"Entities")),"review","ok"),"ok")</f>
        <v>ok</v>
      </c>
      <c r="U101" t="s">
        <v>36</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122</v>
      </c>
      <c r="AA101">
        <v>1</v>
      </c>
      <c r="AB101" s="75">
        <f ca="1">INDIRECT(ADDRESS(2+(MATCH(Table33[[#This Row],[SPAWNER]],Table40[SPAWNER],0)),2,1,1,"DATA_SCENES_UNITY_2"))</f>
        <v>3</v>
      </c>
      <c r="AK101" t="s">
        <v>37</v>
      </c>
      <c r="AL101">
        <v>20000</v>
      </c>
      <c r="AM101">
        <v>0</v>
      </c>
      <c r="AN101" t="s">
        <v>205</v>
      </c>
      <c r="AO101" s="75" t="str">
        <f ca="1">IF(Table20[[#This Row],[Type]]="KILL",IF(_xlfn.NUMBERVALUE(RIGHT(Table20[[#This Row],[Min]],LEN(Table20[[#This Row],[Min]])-FIND("-",Table20[[#This Row],[Min]])))&gt;INDIRECT(ADDRESS(11+MATCH(LEFT(Table20[[#This Row],[Min]],FIND("-",Table20[[#This Row],[Min]])-1),Table1[Content Sku],0),18,1,1,"Entities")),"review","ok"),"ok")</f>
        <v>ok</v>
      </c>
      <c r="AP101" t="s">
        <v>551</v>
      </c>
      <c r="AQ101">
        <v>12</v>
      </c>
      <c r="AR101" s="75">
        <f ca="1">INDIRECT(ADDRESS(2+(MATCH(Table32[[#This Row],[SPAWNER]],Table40[SPAWNER],0)),2,1,1,"DATA_SCENES_UNITY_2"))</f>
        <v>2</v>
      </c>
    </row>
    <row r="102" spans="5:44" x14ac:dyDescent="0.25">
      <c r="E102" t="s">
        <v>397</v>
      </c>
      <c r="F102">
        <v>20000</v>
      </c>
      <c r="G102">
        <v>0</v>
      </c>
      <c r="H102" t="s">
        <v>205</v>
      </c>
      <c r="I102" s="75" t="str">
        <f ca="1">IF(Table7[[#This Row],[Type]]="KILL",IF(_xlfn.NUMBERVALUE(RIGHT(Table7[[#This Row],[Min]],LEN(Table7[[#This Row],[Min]])-FIND("-",Table7[[#This Row],[Min]])))&gt;INDIRECT(ADDRESS(11+MATCH(LEFT(Table7[[#This Row],[Min]],FIND("-",Table7[[#This Row],[Min]])-1),Table1[Content Sku],0),14,1,1,"Entities")),"review","ok"),"ok")</f>
        <v>ok</v>
      </c>
      <c r="U102" t="s">
        <v>36</v>
      </c>
      <c r="V102">
        <v>42000</v>
      </c>
      <c r="W102">
        <v>0</v>
      </c>
      <c r="X102" t="s">
        <v>205</v>
      </c>
      <c r="Y102" s="75" t="str">
        <f ca="1">IF(Table15[[#This Row],[Type]]="KILL",IF(_xlfn.NUMBERVALUE(RIGHT(Table15[[#This Row],[Min]],LEN(Table15[[#This Row],[Min]])-FIND("-",Table15[[#This Row],[Min]])))&gt;INDIRECT(ADDRESS(11+MATCH(LEFT(Table15[[#This Row],[Min]],FIND("-",Table15[[#This Row],[Min]])-1),Table1[Content Sku],0),16,1,1,"Entities")),"review","ok"),"ok")</f>
        <v>ok</v>
      </c>
      <c r="Z102" t="s">
        <v>2775</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551</v>
      </c>
      <c r="AQ102">
        <v>1</v>
      </c>
      <c r="AR102" s="75">
        <f ca="1">INDIRECT(ADDRESS(2+(MATCH(Table32[[#This Row],[SPAWNER]],Table40[SPAWNER],0)),2,1,1,"DATA_SCENES_UNITY_2"))</f>
        <v>2</v>
      </c>
    </row>
    <row r="103" spans="5:44" x14ac:dyDescent="0.25">
      <c r="E103" t="s">
        <v>397</v>
      </c>
      <c r="F103">
        <v>26000</v>
      </c>
      <c r="G103">
        <v>0</v>
      </c>
      <c r="H103" t="s">
        <v>205</v>
      </c>
      <c r="I103" s="75" t="str">
        <f ca="1">IF(Table7[[#This Row],[Type]]="KILL",IF(_xlfn.NUMBERVALUE(RIGHT(Table7[[#This Row],[Min]],LEN(Table7[[#This Row],[Min]])-FIND("-",Table7[[#This Row],[Min]])))&gt;INDIRECT(ADDRESS(11+MATCH(LEFT(Table7[[#This Row],[Min]],FIND("-",Table7[[#This Row],[Min]])-1),Table1[Content Sku],0),14,1,1,"Entities")),"review","ok"),"ok")</f>
        <v>ok</v>
      </c>
      <c r="U103" t="s">
        <v>36</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2775</v>
      </c>
      <c r="AA103">
        <v>1</v>
      </c>
      <c r="AB103" s="75">
        <f ca="1">INDIRECT(ADDRESS(2+(MATCH(Table33[[#This Row],[SPAWNER]],Table40[SPAWNER],0)),2,1,1,"DATA_SCENES_UNITY_2"))</f>
        <v>1</v>
      </c>
      <c r="AK103" t="s">
        <v>37</v>
      </c>
      <c r="AL103">
        <v>0</v>
      </c>
      <c r="AM103">
        <v>33000</v>
      </c>
      <c r="AN103" t="s">
        <v>205</v>
      </c>
      <c r="AO103" s="75" t="str">
        <f ca="1">IF(Table20[[#This Row],[Type]]="KILL",IF(_xlfn.NUMBERVALUE(RIGHT(Table20[[#This Row],[Min]],LEN(Table20[[#This Row],[Min]])-FIND("-",Table20[[#This Row],[Min]])))&gt;INDIRECT(ADDRESS(11+MATCH(LEFT(Table20[[#This Row],[Min]],FIND("-",Table20[[#This Row],[Min]])-1),Table1[Content Sku],0),18,1,1,"Entities")),"review","ok"),"ok")</f>
        <v>ok</v>
      </c>
      <c r="AP103" t="s">
        <v>551</v>
      </c>
      <c r="AQ103">
        <v>10</v>
      </c>
      <c r="AR103" s="75">
        <f ca="1">INDIRECT(ADDRESS(2+(MATCH(Table32[[#This Row],[SPAWNER]],Table40[SPAWNER],0)),2,1,1,"DATA_SCENES_UNITY_2"))</f>
        <v>2</v>
      </c>
    </row>
    <row r="104" spans="5:44" x14ac:dyDescent="0.25">
      <c r="E104" t="s">
        <v>413</v>
      </c>
      <c r="F104">
        <v>10000</v>
      </c>
      <c r="G104">
        <v>15000</v>
      </c>
      <c r="H104" t="s">
        <v>205</v>
      </c>
      <c r="I104" s="75" t="str">
        <f ca="1">IF(Table7[[#This Row],[Type]]="KILL",IF(_xlfn.NUMBERVALUE(RIGHT(Table7[[#This Row],[Min]],LEN(Table7[[#This Row],[Min]])-FIND("-",Table7[[#This Row],[Min]])))&gt;INDIRECT(ADDRESS(11+MATCH(LEFT(Table7[[#This Row],[Min]],FIND("-",Table7[[#This Row],[Min]])-1),Table1[Content Sku],0),14,1,1,"Entities")),"review","ok"),"ok")</f>
        <v>ok</v>
      </c>
      <c r="U104" t="s">
        <v>36</v>
      </c>
      <c r="V104">
        <v>0</v>
      </c>
      <c r="W104">
        <v>0</v>
      </c>
      <c r="X104" t="s">
        <v>8</v>
      </c>
      <c r="Y104" s="75" t="str">
        <f ca="1">IF(Table15[[#This Row],[Type]]="KILL",IF(_xlfn.NUMBERVALUE(RIGHT(Table15[[#This Row],[Min]],LEN(Table15[[#This Row],[Min]])-FIND("-",Table15[[#This Row],[Min]])))&gt;INDIRECT(ADDRESS(11+MATCH(LEFT(Table15[[#This Row],[Min]],FIND("-",Table15[[#This Row],[Min]])-1),Table1[Content Sku],0),16,1,1,"Entities")),"review","ok"),"ok")</f>
        <v>ok</v>
      </c>
      <c r="Z104" t="s">
        <v>2775</v>
      </c>
      <c r="AA104">
        <v>1</v>
      </c>
      <c r="AB104" s="75">
        <f ca="1">INDIRECT(ADDRESS(2+(MATCH(Table33[[#This Row],[SPAWNER]],Table40[SPAWNER],0)),2,1,1,"DATA_SCENES_UNITY_2"))</f>
        <v>1</v>
      </c>
      <c r="AK104" t="s">
        <v>37</v>
      </c>
      <c r="AL104">
        <v>180</v>
      </c>
      <c r="AM104">
        <v>0</v>
      </c>
      <c r="AN104" t="s">
        <v>4439</v>
      </c>
      <c r="AO104" s="75" t="str">
        <f ca="1">IF(Table20[[#This Row],[Type]]="KILL",IF(_xlfn.NUMBERVALUE(RIGHT(Table20[[#This Row],[Min]],LEN(Table20[[#This Row],[Min]])-FIND("-",Table20[[#This Row],[Min]])))&gt;INDIRECT(ADDRESS(11+MATCH(LEFT(Table20[[#This Row],[Min]],FIND("-",Table20[[#This Row],[Min]])-1),Table1[Content Sku],0),18,1,1,"Entities")),"review","ok"),"ok")</f>
        <v>ok</v>
      </c>
      <c r="AP104" t="s">
        <v>551</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U105" t="s">
        <v>36</v>
      </c>
      <c r="V105">
        <v>300</v>
      </c>
      <c r="W105">
        <v>0</v>
      </c>
      <c r="X105" t="s">
        <v>4439</v>
      </c>
      <c r="Y105" s="75" t="str">
        <f ca="1">IF(Table15[[#This Row],[Type]]="KILL",IF(_xlfn.NUMBERVALUE(RIGHT(Table15[[#This Row],[Min]],LEN(Table15[[#This Row],[Min]])-FIND("-",Table15[[#This Row],[Min]])))&gt;INDIRECT(ADDRESS(11+MATCH(LEFT(Table15[[#This Row],[Min]],FIND("-",Table15[[#This Row],[Min]])-1),Table1[Content Sku],0),16,1,1,"Entities")),"review","ok"),"ok")</f>
        <v>ok</v>
      </c>
      <c r="Z105" t="s">
        <v>2775</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4</v>
      </c>
      <c r="F106">
        <v>0</v>
      </c>
      <c r="G106">
        <v>0</v>
      </c>
      <c r="H106" t="s">
        <v>8</v>
      </c>
      <c r="I106" s="75" t="str">
        <f ca="1">IF(Table7[[#This Row],[Type]]="KILL",IF(_xlfn.NUMBERVALUE(RIGHT(Table7[[#This Row],[Min]],LEN(Table7[[#This Row],[Min]])-FIND("-",Table7[[#This Row],[Min]])))&gt;INDIRECT(ADDRESS(11+MATCH(LEFT(Table7[[#This Row],[Min]],FIND("-",Table7[[#This Row],[Min]])-1),Table1[Content Sku],0),14,1,1,"Entities")),"review","ok"),"ok")</f>
        <v>ok</v>
      </c>
      <c r="U106" t="s">
        <v>36</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2775</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4</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U107" t="s">
        <v>36</v>
      </c>
      <c r="V107">
        <v>0</v>
      </c>
      <c r="W107">
        <v>0</v>
      </c>
      <c r="X107" t="s">
        <v>8</v>
      </c>
      <c r="Y107" s="75" t="str">
        <f ca="1">IF(Table15[[#This Row],[Type]]="KILL",IF(_xlfn.NUMBERVALUE(RIGHT(Table15[[#This Row],[Min]],LEN(Table15[[#This Row],[Min]])-FIND("-",Table15[[#This Row],[Min]])))&gt;INDIRECT(ADDRESS(11+MATCH(LEFT(Table15[[#This Row],[Min]],FIND("-",Table15[[#This Row],[Min]])-1),Table1[Content Sku],0),16,1,1,"Entities")),"review","ok"),"ok")</f>
        <v>ok</v>
      </c>
      <c r="Z107" t="s">
        <v>2775</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4</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U108" t="s">
        <v>36</v>
      </c>
      <c r="V108">
        <v>0</v>
      </c>
      <c r="W108">
        <v>0</v>
      </c>
      <c r="X108" t="s">
        <v>8</v>
      </c>
      <c r="Y108" s="75" t="str">
        <f ca="1">IF(Table15[[#This Row],[Type]]="KILL",IF(_xlfn.NUMBERVALUE(RIGHT(Table15[[#This Row],[Min]],LEN(Table15[[#This Row],[Min]])-FIND("-",Table15[[#This Row],[Min]])))&gt;INDIRECT(ADDRESS(11+MATCH(LEFT(Table15[[#This Row],[Min]],FIND("-",Table15[[#This Row],[Min]])-1),Table1[Content Sku],0),16,1,1,"Entities")),"review","ok"),"ok")</f>
        <v>ok</v>
      </c>
      <c r="Z108" t="s">
        <v>2775</v>
      </c>
      <c r="AA108">
        <v>1</v>
      </c>
      <c r="AB108" s="75">
        <f ca="1">INDIRECT(ADDRESS(2+(MATCH(Table33[[#This Row],[SPAWNER]],Table40[SPAWNER],0)),2,1,1,"DATA_SCENES_UNITY_2"))</f>
        <v>1</v>
      </c>
      <c r="AK108" t="s">
        <v>37</v>
      </c>
      <c r="AL108">
        <v>0</v>
      </c>
      <c r="AM108">
        <v>25000</v>
      </c>
      <c r="AN108" t="s">
        <v>205</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4</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U109" t="s">
        <v>36</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2775</v>
      </c>
      <c r="AA109">
        <v>1</v>
      </c>
      <c r="AB109" s="75">
        <f ca="1">INDIRECT(ADDRESS(2+(MATCH(Table33[[#This Row],[SPAWNER]],Table40[SPAWNER],0)),2,1,1,"DATA_SCENES_UNITY_2"))</f>
        <v>1</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6650</v>
      </c>
      <c r="G110">
        <v>0</v>
      </c>
      <c r="H110" t="s">
        <v>205</v>
      </c>
      <c r="I110" s="75" t="str">
        <f ca="1">IF(Table7[[#This Row],[Type]]="KILL",IF(_xlfn.NUMBERVALUE(RIGHT(Table7[[#This Row],[Min]],LEN(Table7[[#This Row],[Min]])-FIND("-",Table7[[#This Row],[Min]])))&gt;INDIRECT(ADDRESS(11+MATCH(LEFT(Table7[[#This Row],[Min]],FIND("-",Table7[[#This Row],[Min]])-1),Table1[Content Sku],0),14,1,1,"Entities")),"review","ok"),"ok")</f>
        <v>ok</v>
      </c>
      <c r="U110" t="s">
        <v>36</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2775</v>
      </c>
      <c r="AA110">
        <v>1</v>
      </c>
      <c r="AB110" s="75">
        <f ca="1">INDIRECT(ADDRESS(2+(MATCH(Table33[[#This Row],[SPAWNER]],Table40[SPAWNER],0)),2,1,1,"DATA_SCENES_UNITY_2"))</f>
        <v>1</v>
      </c>
      <c r="AK110" t="s">
        <v>37</v>
      </c>
      <c r="AL110">
        <v>29000</v>
      </c>
      <c r="AM110">
        <v>0</v>
      </c>
      <c r="AN110" t="s">
        <v>205</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6500</v>
      </c>
      <c r="G111">
        <v>0</v>
      </c>
      <c r="H111" t="s">
        <v>205</v>
      </c>
      <c r="I111" s="75" t="str">
        <f ca="1">IF(Table7[[#This Row],[Type]]="KILL",IF(_xlfn.NUMBERVALUE(RIGHT(Table7[[#This Row],[Min]],LEN(Table7[[#This Row],[Min]])-FIND("-",Table7[[#This Row],[Min]])))&gt;INDIRECT(ADDRESS(11+MATCH(LEFT(Table7[[#This Row],[Min]],FIND("-",Table7[[#This Row],[Min]])-1),Table1[Content Sku],0),14,1,1,"Entities")),"review","ok"),"ok")</f>
        <v>ok</v>
      </c>
      <c r="U111" t="s">
        <v>36</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2775</v>
      </c>
      <c r="AA111">
        <v>1</v>
      </c>
      <c r="AB111" s="75">
        <f ca="1">INDIRECT(ADDRESS(2+(MATCH(Table33[[#This Row],[SPAWNER]],Table40[SPAWNER],0)),2,1,1,"DATA_SCENES_UNITY_2"))</f>
        <v>1</v>
      </c>
      <c r="AK111" t="s">
        <v>37</v>
      </c>
      <c r="AL111">
        <v>0</v>
      </c>
      <c r="AM111">
        <v>27000</v>
      </c>
      <c r="AN111" t="s">
        <v>205</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0</v>
      </c>
      <c r="G112">
        <v>0</v>
      </c>
      <c r="H112" t="s">
        <v>8</v>
      </c>
      <c r="I112" s="75" t="str">
        <f ca="1">IF(Table7[[#This Row],[Type]]="KILL",IF(_xlfn.NUMBERVALUE(RIGHT(Table7[[#This Row],[Min]],LEN(Table7[[#This Row],[Min]])-FIND("-",Table7[[#This Row],[Min]])))&gt;INDIRECT(ADDRESS(11+MATCH(LEFT(Table7[[#This Row],[Min]],FIND("-",Table7[[#This Row],[Min]])-1),Table1[Content Sku],0),14,1,1,"Entities")),"review","ok"),"ok")</f>
        <v>ok</v>
      </c>
      <c r="U112" t="s">
        <v>37</v>
      </c>
      <c r="V112">
        <v>0</v>
      </c>
      <c r="W112">
        <v>0</v>
      </c>
      <c r="X112" t="s">
        <v>8</v>
      </c>
      <c r="Y112" s="75" t="str">
        <f ca="1">IF(Table15[[#This Row],[Type]]="KILL",IF(_xlfn.NUMBERVALUE(RIGHT(Table15[[#This Row],[Min]],LEN(Table15[[#This Row],[Min]])-FIND("-",Table15[[#This Row],[Min]])))&gt;INDIRECT(ADDRESS(11+MATCH(LEFT(Table15[[#This Row],[Min]],FIND("-",Table15[[#This Row],[Min]])-1),Table1[Content Sku],0),16,1,1,"Entities")),"review","ok"),"ok")</f>
        <v>ok</v>
      </c>
      <c r="Z112" t="s">
        <v>2775</v>
      </c>
      <c r="AA112">
        <v>1</v>
      </c>
      <c r="AB112" s="75">
        <f ca="1">INDIRECT(ADDRESS(2+(MATCH(Table33[[#This Row],[SPAWNER]],Table40[SPAWNER],0)),2,1,1,"DATA_SCENES_UNITY_2"))</f>
        <v>1</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0</v>
      </c>
      <c r="G113">
        <v>0</v>
      </c>
      <c r="H113" t="s">
        <v>8</v>
      </c>
      <c r="I113" s="75" t="str">
        <f ca="1">IF(Table7[[#This Row],[Type]]="KILL",IF(_xlfn.NUMBERVALUE(RIGHT(Table7[[#This Row],[Min]],LEN(Table7[[#This Row],[Min]])-FIND("-",Table7[[#This Row],[Min]])))&gt;INDIRECT(ADDRESS(11+MATCH(LEFT(Table7[[#This Row],[Min]],FIND("-",Table7[[#This Row],[Min]])-1),Table1[Content Sku],0),14,1,1,"Entities")),"review","ok"),"ok")</f>
        <v>ok</v>
      </c>
      <c r="U113" t="s">
        <v>37</v>
      </c>
      <c r="V113">
        <v>0</v>
      </c>
      <c r="W113">
        <v>0</v>
      </c>
      <c r="X113" t="s">
        <v>8</v>
      </c>
      <c r="Y113" s="75" t="str">
        <f ca="1">IF(Table15[[#This Row],[Type]]="KILL",IF(_xlfn.NUMBERVALUE(RIGHT(Table15[[#This Row],[Min]],LEN(Table15[[#This Row],[Min]])-FIND("-",Table15[[#This Row],[Min]])))&gt;INDIRECT(ADDRESS(11+MATCH(LEFT(Table15[[#This Row],[Min]],FIND("-",Table15[[#This Row],[Min]])-1),Table1[Content Sku],0),16,1,1,"Entities")),"review","ok"),"ok")</f>
        <v>ok</v>
      </c>
      <c r="Z113" t="s">
        <v>2775</v>
      </c>
      <c r="AA113">
        <v>1</v>
      </c>
      <c r="AB113" s="75">
        <f ca="1">INDIRECT(ADDRESS(2+(MATCH(Table33[[#This Row],[SPAWNER]],Table40[SPAWNER],0)),2,1,1,"DATA_SCENES_UNITY_2"))</f>
        <v>1</v>
      </c>
      <c r="AK113" t="s">
        <v>37</v>
      </c>
      <c r="AL113">
        <v>0</v>
      </c>
      <c r="AM113">
        <v>29000</v>
      </c>
      <c r="AN113" t="s">
        <v>205</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U114" t="s">
        <v>37</v>
      </c>
      <c r="V114">
        <v>0</v>
      </c>
      <c r="W114">
        <v>0</v>
      </c>
      <c r="X114" t="s">
        <v>8</v>
      </c>
      <c r="Y114" s="75" t="str">
        <f ca="1">IF(Table15[[#This Row],[Type]]="KILL",IF(_xlfn.NUMBERVALUE(RIGHT(Table15[[#This Row],[Min]],LEN(Table15[[#This Row],[Min]])-FIND("-",Table15[[#This Row],[Min]])))&gt;INDIRECT(ADDRESS(11+MATCH(LEFT(Table15[[#This Row],[Min]],FIND("-",Table15[[#This Row],[Min]])-1),Table1[Content Sku],0),16,1,1,"Entities")),"review","ok"),"ok")</f>
        <v>ok</v>
      </c>
      <c r="Z114" t="s">
        <v>2775</v>
      </c>
      <c r="AA114">
        <v>1</v>
      </c>
      <c r="AB114" s="75">
        <f ca="1">INDIRECT(ADDRESS(2+(MATCH(Table33[[#This Row],[SPAWNER]],Table40[SPAWNER],0)),2,1,1,"DATA_SCENES_UNITY_2"))</f>
        <v>1</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35000</v>
      </c>
      <c r="G115">
        <v>0</v>
      </c>
      <c r="H115" t="s">
        <v>205</v>
      </c>
      <c r="I115" s="75" t="str">
        <f ca="1">IF(Table7[[#This Row],[Type]]="KILL",IF(_xlfn.NUMBERVALUE(RIGHT(Table7[[#This Row],[Min]],LEN(Table7[[#This Row],[Min]])-FIND("-",Table7[[#This Row],[Min]])))&gt;INDIRECT(ADDRESS(11+MATCH(LEFT(Table7[[#This Row],[Min]],FIND("-",Table7[[#This Row],[Min]])-1),Table1[Content Sku],0),14,1,1,"Entities")),"review","ok"),"ok")</f>
        <v>ok</v>
      </c>
      <c r="U115" t="s">
        <v>37</v>
      </c>
      <c r="V115">
        <v>0</v>
      </c>
      <c r="W115">
        <v>0</v>
      </c>
      <c r="X115" t="s">
        <v>8</v>
      </c>
      <c r="Y115" s="75" t="str">
        <f ca="1">IF(Table15[[#This Row],[Type]]="KILL",IF(_xlfn.NUMBERVALUE(RIGHT(Table15[[#This Row],[Min]],LEN(Table15[[#This Row],[Min]])-FIND("-",Table15[[#This Row],[Min]])))&gt;INDIRECT(ADDRESS(11+MATCH(LEFT(Table15[[#This Row],[Min]],FIND("-",Table15[[#This Row],[Min]])-1),Table1[Content Sku],0),16,1,1,"Entities")),"review","ok"),"ok")</f>
        <v>ok</v>
      </c>
      <c r="Z115" t="s">
        <v>2775</v>
      </c>
      <c r="AA115">
        <v>1</v>
      </c>
      <c r="AB115" s="75">
        <f ca="1">INDIRECT(ADDRESS(2+(MATCH(Table33[[#This Row],[SPAWNER]],Table40[SPAWNER],0)),2,1,1,"DATA_SCENES_UNITY_2"))</f>
        <v>1</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15000</v>
      </c>
      <c r="G116">
        <v>0</v>
      </c>
      <c r="H116" t="s">
        <v>205</v>
      </c>
      <c r="I116" s="75" t="str">
        <f ca="1">IF(Table7[[#This Row],[Type]]="KILL",IF(_xlfn.NUMBERVALUE(RIGHT(Table7[[#This Row],[Min]],LEN(Table7[[#This Row],[Min]])-FIND("-",Table7[[#This Row],[Min]])))&gt;INDIRECT(ADDRESS(11+MATCH(LEFT(Table7[[#This Row],[Min]],FIND("-",Table7[[#This Row],[Min]])-1),Table1[Content Sku],0),14,1,1,"Entities")),"review","ok"),"ok")</f>
        <v>ok</v>
      </c>
      <c r="U116" t="s">
        <v>37</v>
      </c>
      <c r="V116">
        <v>0</v>
      </c>
      <c r="W116">
        <v>0</v>
      </c>
      <c r="X116" t="s">
        <v>8</v>
      </c>
      <c r="Y116" s="75" t="str">
        <f ca="1">IF(Table15[[#This Row],[Type]]="KILL",IF(_xlfn.NUMBERVALUE(RIGHT(Table15[[#This Row],[Min]],LEN(Table15[[#This Row],[Min]])-FIND("-",Table15[[#This Row],[Min]])))&gt;INDIRECT(ADDRESS(11+MATCH(LEFT(Table15[[#This Row],[Min]],FIND("-",Table15[[#This Row],[Min]])-1),Table1[Content Sku],0),16,1,1,"Entities")),"review","ok"),"ok")</f>
        <v>ok</v>
      </c>
      <c r="Z116" t="s">
        <v>2775</v>
      </c>
      <c r="AA116">
        <v>1</v>
      </c>
      <c r="AB116" s="75">
        <f ca="1">INDIRECT(ADDRESS(2+(MATCH(Table33[[#This Row],[SPAWNER]],Table40[SPAWNER],0)),2,1,1,"DATA_SCENES_UNITY_2"))</f>
        <v>1</v>
      </c>
      <c r="AK116" t="s">
        <v>37</v>
      </c>
      <c r="AL116">
        <v>20000</v>
      </c>
      <c r="AM116">
        <v>0</v>
      </c>
      <c r="AN116" t="s">
        <v>205</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5650</v>
      </c>
      <c r="G117">
        <v>0</v>
      </c>
      <c r="H117" t="s">
        <v>205</v>
      </c>
      <c r="I117" s="75" t="str">
        <f ca="1">IF(Table7[[#This Row],[Type]]="KILL",IF(_xlfn.NUMBERVALUE(RIGHT(Table7[[#This Row],[Min]],LEN(Table7[[#This Row],[Min]])-FIND("-",Table7[[#This Row],[Min]])))&gt;INDIRECT(ADDRESS(11+MATCH(LEFT(Table7[[#This Row],[Min]],FIND("-",Table7[[#This Row],[Min]])-1),Table1[Content Sku],0),14,1,1,"Entities")),"review","ok"),"ok")</f>
        <v>ok</v>
      </c>
      <c r="U117" t="s">
        <v>37</v>
      </c>
      <c r="V117" t="s">
        <v>8018</v>
      </c>
      <c r="W117" t="s">
        <v>4477</v>
      </c>
      <c r="X117" t="s">
        <v>4478</v>
      </c>
      <c r="Y117" s="75" t="str">
        <f ca="1">IF(Table15[[#This Row],[Type]]="KILL",IF(_xlfn.NUMBERVALUE(RIGHT(Table15[[#This Row],[Min]],LEN(Table15[[#This Row],[Min]])-FIND("-",Table15[[#This Row],[Min]])))&gt;INDIRECT(ADDRESS(11+MATCH(LEFT(Table15[[#This Row],[Min]],FIND("-",Table15[[#This Row],[Min]])-1),Table1[Content Sku],0),16,1,1,"Entities")),"review","ok"),"ok")</f>
        <v>review</v>
      </c>
      <c r="Z117" t="s">
        <v>2775</v>
      </c>
      <c r="AA117">
        <v>1</v>
      </c>
      <c r="AB117" s="75">
        <f ca="1">INDIRECT(ADDRESS(2+(MATCH(Table33[[#This Row],[SPAWNER]],Table40[SPAWNER],0)),2,1,1,"DATA_SCENES_UNITY_2"))</f>
        <v>1</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4750</v>
      </c>
      <c r="G118">
        <v>0</v>
      </c>
      <c r="H118" t="s">
        <v>205</v>
      </c>
      <c r="I118" s="75" t="str">
        <f ca="1">IF(Table7[[#This Row],[Type]]="KILL",IF(_xlfn.NUMBERVALUE(RIGHT(Table7[[#This Row],[Min]],LEN(Table7[[#This Row],[Min]])-FIND("-",Table7[[#This Row],[Min]])))&gt;INDIRECT(ADDRESS(11+MATCH(LEFT(Table7[[#This Row],[Min]],FIND("-",Table7[[#This Row],[Min]])-1),Table1[Content Sku],0),14,1,1,"Entities")),"review","ok"),"ok")</f>
        <v>ok</v>
      </c>
      <c r="U118" t="s">
        <v>37</v>
      </c>
      <c r="V118">
        <v>0</v>
      </c>
      <c r="W118">
        <v>0</v>
      </c>
      <c r="X118" t="s">
        <v>8</v>
      </c>
      <c r="Y118" s="75" t="str">
        <f ca="1">IF(Table15[[#This Row],[Type]]="KILL",IF(_xlfn.NUMBERVALUE(RIGHT(Table15[[#This Row],[Min]],LEN(Table15[[#This Row],[Min]])-FIND("-",Table15[[#This Row],[Min]])))&gt;INDIRECT(ADDRESS(11+MATCH(LEFT(Table15[[#This Row],[Min]],FIND("-",Table15[[#This Row],[Min]])-1),Table1[Content Sku],0),16,1,1,"Entities")),"review","ok"),"ok")</f>
        <v>ok</v>
      </c>
      <c r="Z118" t="s">
        <v>2775</v>
      </c>
      <c r="AA118">
        <v>1</v>
      </c>
      <c r="AB118" s="75">
        <f ca="1">INDIRECT(ADDRESS(2+(MATCH(Table33[[#This Row],[SPAWNER]],Table40[SPAWNER],0)),2,1,1,"DATA_SCENES_UNITY_2"))</f>
        <v>1</v>
      </c>
      <c r="AK118" t="s">
        <v>37</v>
      </c>
      <c r="AL118">
        <v>20000</v>
      </c>
      <c r="AM118">
        <v>0</v>
      </c>
      <c r="AN118" t="s">
        <v>205</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U119" t="s">
        <v>37</v>
      </c>
      <c r="V119">
        <v>0</v>
      </c>
      <c r="W119">
        <v>0</v>
      </c>
      <c r="X119" t="s">
        <v>8</v>
      </c>
      <c r="Y119" s="75" t="str">
        <f ca="1">IF(Table15[[#This Row],[Type]]="KILL",IF(_xlfn.NUMBERVALUE(RIGHT(Table15[[#This Row],[Min]],LEN(Table15[[#This Row],[Min]])-FIND("-",Table15[[#This Row],[Min]])))&gt;INDIRECT(ADDRESS(11+MATCH(LEFT(Table15[[#This Row],[Min]],FIND("-",Table15[[#This Row],[Min]])-1),Table1[Content Sku],0),16,1,1,"Entities")),"review","ok"),"ok")</f>
        <v>ok</v>
      </c>
      <c r="Z119" t="s">
        <v>2775</v>
      </c>
      <c r="AA119">
        <v>1</v>
      </c>
      <c r="AB119" s="75">
        <f ca="1">INDIRECT(ADDRESS(2+(MATCH(Table33[[#This Row],[SPAWNER]],Table40[SPAWNER],0)),2,1,1,"DATA_SCENES_UNITY_2"))</f>
        <v>1</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24000</v>
      </c>
      <c r="G120">
        <v>0</v>
      </c>
      <c r="H120" t="s">
        <v>205</v>
      </c>
      <c r="I120" s="75" t="str">
        <f ca="1">IF(Table7[[#This Row],[Type]]="KILL",IF(_xlfn.NUMBERVALUE(RIGHT(Table7[[#This Row],[Min]],LEN(Table7[[#This Row],[Min]])-FIND("-",Table7[[#This Row],[Min]])))&gt;INDIRECT(ADDRESS(11+MATCH(LEFT(Table7[[#This Row],[Min]],FIND("-",Table7[[#This Row],[Min]])-1),Table1[Content Sku],0),14,1,1,"Entities")),"review","ok"),"ok")</f>
        <v>ok</v>
      </c>
      <c r="U120" t="s">
        <v>37</v>
      </c>
      <c r="V120">
        <v>0</v>
      </c>
      <c r="W120">
        <v>0</v>
      </c>
      <c r="X120" t="s">
        <v>8</v>
      </c>
      <c r="Y120" s="75" t="str">
        <f ca="1">IF(Table15[[#This Row],[Type]]="KILL",IF(_xlfn.NUMBERVALUE(RIGHT(Table15[[#This Row],[Min]],LEN(Table15[[#This Row],[Min]])-FIND("-",Table15[[#This Row],[Min]])))&gt;INDIRECT(ADDRESS(11+MATCH(LEFT(Table15[[#This Row],[Min]],FIND("-",Table15[[#This Row],[Min]])-1),Table1[Content Sku],0),16,1,1,"Entities")),"review","ok"),"ok")</f>
        <v>ok</v>
      </c>
      <c r="Z120" t="s">
        <v>2775</v>
      </c>
      <c r="AA120">
        <v>1</v>
      </c>
      <c r="AB120" s="75">
        <f ca="1">INDIRECT(ADDRESS(2+(MATCH(Table33[[#This Row],[SPAWNER]],Table40[SPAWNER],0)),2,1,1,"DATA_SCENES_UNITY_2"))</f>
        <v>1</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6000</v>
      </c>
      <c r="G121">
        <v>0</v>
      </c>
      <c r="H121" t="s">
        <v>205</v>
      </c>
      <c r="I121" s="75" t="str">
        <f ca="1">IF(Table7[[#This Row],[Type]]="KILL",IF(_xlfn.NUMBERVALUE(RIGHT(Table7[[#This Row],[Min]],LEN(Table7[[#This Row],[Min]])-FIND("-",Table7[[#This Row],[Min]])))&gt;INDIRECT(ADDRESS(11+MATCH(LEFT(Table7[[#This Row],[Min]],FIND("-",Table7[[#This Row],[Min]])-1),Table1[Content Sku],0),14,1,1,"Entities")),"review","ok"),"ok")</f>
        <v>ok</v>
      </c>
      <c r="U121" t="s">
        <v>37</v>
      </c>
      <c r="V121">
        <v>0</v>
      </c>
      <c r="W121">
        <v>0</v>
      </c>
      <c r="X121" t="s">
        <v>8</v>
      </c>
      <c r="Y121" s="75" t="str">
        <f ca="1">IF(Table15[[#This Row],[Type]]="KILL",IF(_xlfn.NUMBERVALUE(RIGHT(Table15[[#This Row],[Min]],LEN(Table15[[#This Row],[Min]])-FIND("-",Table15[[#This Row],[Min]])))&gt;INDIRECT(ADDRESS(11+MATCH(LEFT(Table15[[#This Row],[Min]],FIND("-",Table15[[#This Row],[Min]])-1),Table1[Content Sku],0),16,1,1,"Entities")),"review","ok"),"ok")</f>
        <v>ok</v>
      </c>
      <c r="Z121" t="s">
        <v>2775</v>
      </c>
      <c r="AA121">
        <v>1</v>
      </c>
      <c r="AB121" s="75">
        <f ca="1">INDIRECT(ADDRESS(2+(MATCH(Table33[[#This Row],[SPAWNER]],Table40[SPAWNER],0)),2,1,1,"DATA_SCENES_UNITY_2"))</f>
        <v>1</v>
      </c>
      <c r="AK121" t="s">
        <v>37</v>
      </c>
      <c r="AL121">
        <v>28000</v>
      </c>
      <c r="AM121">
        <v>0</v>
      </c>
      <c r="AN121" t="s">
        <v>205</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24000</v>
      </c>
      <c r="G122">
        <v>0</v>
      </c>
      <c r="H122" t="s">
        <v>205</v>
      </c>
      <c r="I122" s="75" t="str">
        <f ca="1">IF(Table7[[#This Row],[Type]]="KILL",IF(_xlfn.NUMBERVALUE(RIGHT(Table7[[#This Row],[Min]],LEN(Table7[[#This Row],[Min]])-FIND("-",Table7[[#This Row],[Min]])))&gt;INDIRECT(ADDRESS(11+MATCH(LEFT(Table7[[#This Row],[Min]],FIND("-",Table7[[#This Row],[Min]])-1),Table1[Content Sku],0),14,1,1,"Entities")),"review","ok"),"ok")</f>
        <v>ok</v>
      </c>
      <c r="U122" t="s">
        <v>37</v>
      </c>
      <c r="V122">
        <v>14000</v>
      </c>
      <c r="W122">
        <v>0</v>
      </c>
      <c r="X122" t="s">
        <v>205</v>
      </c>
      <c r="Y122" s="75" t="str">
        <f ca="1">IF(Table15[[#This Row],[Type]]="KILL",IF(_xlfn.NUMBERVALUE(RIGHT(Table15[[#This Row],[Min]],LEN(Table15[[#This Row],[Min]])-FIND("-",Table15[[#This Row],[Min]])))&gt;INDIRECT(ADDRESS(11+MATCH(LEFT(Table15[[#This Row],[Min]],FIND("-",Table15[[#This Row],[Min]])-1),Table1[Content Sku],0),16,1,1,"Entities")),"review","ok"),"ok")</f>
        <v>ok</v>
      </c>
      <c r="Z122" t="s">
        <v>2775</v>
      </c>
      <c r="AA122">
        <v>1</v>
      </c>
      <c r="AB122" s="75">
        <f ca="1">INDIRECT(ADDRESS(2+(MATCH(Table33[[#This Row],[SPAWNER]],Table40[SPAWNER],0)),2,1,1,"DATA_SCENES_UNITY_2"))</f>
        <v>1</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18500</v>
      </c>
      <c r="G123">
        <v>0</v>
      </c>
      <c r="H123" t="s">
        <v>205</v>
      </c>
      <c r="I123" s="75" t="str">
        <f ca="1">IF(Table7[[#This Row],[Type]]="KILL",IF(_xlfn.NUMBERVALUE(RIGHT(Table7[[#This Row],[Min]],LEN(Table7[[#This Row],[Min]])-FIND("-",Table7[[#This Row],[Min]])))&gt;INDIRECT(ADDRESS(11+MATCH(LEFT(Table7[[#This Row],[Min]],FIND("-",Table7[[#This Row],[Min]])-1),Table1[Content Sku],0),14,1,1,"Entities")),"review","ok"),"ok")</f>
        <v>ok</v>
      </c>
      <c r="U123" t="s">
        <v>37</v>
      </c>
      <c r="V123">
        <v>0</v>
      </c>
      <c r="W123">
        <v>45000</v>
      </c>
      <c r="X123" t="s">
        <v>205</v>
      </c>
      <c r="Y123" s="75" t="str">
        <f ca="1">IF(Table15[[#This Row],[Type]]="KILL",IF(_xlfn.NUMBERVALUE(RIGHT(Table15[[#This Row],[Min]],LEN(Table15[[#This Row],[Min]])-FIND("-",Table15[[#This Row],[Min]])))&gt;INDIRECT(ADDRESS(11+MATCH(LEFT(Table15[[#This Row],[Min]],FIND("-",Table15[[#This Row],[Min]])-1),Table1[Content Sku],0),16,1,1,"Entities")),"review","ok"),"ok")</f>
        <v>ok</v>
      </c>
      <c r="Z123" t="s">
        <v>2775</v>
      </c>
      <c r="AA123">
        <v>1</v>
      </c>
      <c r="AB123" s="75">
        <f ca="1">INDIRECT(ADDRESS(2+(MATCH(Table33[[#This Row],[SPAWNER]],Table40[SPAWNER],0)),2,1,1,"DATA_SCENES_UNITY_2"))</f>
        <v>1</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U124" t="s">
        <v>37</v>
      </c>
      <c r="V124">
        <v>0</v>
      </c>
      <c r="W124">
        <v>0</v>
      </c>
      <c r="X124" t="s">
        <v>8</v>
      </c>
      <c r="Y124" s="75" t="str">
        <f ca="1">IF(Table15[[#This Row],[Type]]="KILL",IF(_xlfn.NUMBERVALUE(RIGHT(Table15[[#This Row],[Min]],LEN(Table15[[#This Row],[Min]])-FIND("-",Table15[[#This Row],[Min]])))&gt;INDIRECT(ADDRESS(11+MATCH(LEFT(Table15[[#This Row],[Min]],FIND("-",Table15[[#This Row],[Min]])-1),Table1[Content Sku],0),16,1,1,"Entities")),"review","ok"),"ok")</f>
        <v>ok</v>
      </c>
      <c r="Z124" t="s">
        <v>2775</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4650</v>
      </c>
      <c r="G125">
        <v>0</v>
      </c>
      <c r="H125" t="s">
        <v>205</v>
      </c>
      <c r="I125" s="75" t="str">
        <f ca="1">IF(Table7[[#This Row],[Type]]="KILL",IF(_xlfn.NUMBERVALUE(RIGHT(Table7[[#This Row],[Min]],LEN(Table7[[#This Row],[Min]])-FIND("-",Table7[[#This Row],[Min]])))&gt;INDIRECT(ADDRESS(11+MATCH(LEFT(Table7[[#This Row],[Min]],FIND("-",Table7[[#This Row],[Min]])-1),Table1[Content Sku],0),14,1,1,"Entities")),"review","ok"),"ok")</f>
        <v>ok</v>
      </c>
      <c r="U125" t="s">
        <v>37</v>
      </c>
      <c r="V125">
        <v>0</v>
      </c>
      <c r="W125">
        <v>0</v>
      </c>
      <c r="X125" t="s">
        <v>8</v>
      </c>
      <c r="Y125" s="75" t="str">
        <f ca="1">IF(Table15[[#This Row],[Type]]="KILL",IF(_xlfn.NUMBERVALUE(RIGHT(Table15[[#This Row],[Min]],LEN(Table15[[#This Row],[Min]])-FIND("-",Table15[[#This Row],[Min]])))&gt;INDIRECT(ADDRESS(11+MATCH(LEFT(Table15[[#This Row],[Min]],FIND("-",Table15[[#This Row],[Min]])-1),Table1[Content Sku],0),16,1,1,"Entities")),"review","ok"),"ok")</f>
        <v>ok</v>
      </c>
      <c r="Z125" t="s">
        <v>551</v>
      </c>
      <c r="AA125">
        <v>1</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551</v>
      </c>
      <c r="AA126">
        <v>4</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551</v>
      </c>
      <c r="AA127">
        <v>4</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3650</v>
      </c>
      <c r="G128">
        <v>0</v>
      </c>
      <c r="H128" t="s">
        <v>205</v>
      </c>
      <c r="I128" s="75" t="str">
        <f ca="1">IF(Table7[[#This Row],[Type]]="KILL",IF(_xlfn.NUMBERVALUE(RIGHT(Table7[[#This Row],[Min]],LEN(Table7[[#This Row],[Min]])-FIND("-",Table7[[#This Row],[Min]])))&gt;INDIRECT(ADDRESS(11+MATCH(LEFT(Table7[[#This Row],[Min]],FIND("-",Table7[[#This Row],[Min]])-1),Table1[Content Sku],0),14,1,1,"Entities")),"review","ok"),"ok")</f>
        <v>ok</v>
      </c>
      <c r="U128" t="s">
        <v>37</v>
      </c>
      <c r="V128">
        <v>12000</v>
      </c>
      <c r="W128">
        <v>0</v>
      </c>
      <c r="X128" t="s">
        <v>205</v>
      </c>
      <c r="Y128" s="75" t="str">
        <f ca="1">IF(Table15[[#This Row],[Type]]="KILL",IF(_xlfn.NUMBERVALUE(RIGHT(Table15[[#This Row],[Min]],LEN(Table15[[#This Row],[Min]])-FIND("-",Table15[[#This Row],[Min]])))&gt;INDIRECT(ADDRESS(11+MATCH(LEFT(Table15[[#This Row],[Min]],FIND("-",Table15[[#This Row],[Min]])-1),Table1[Content Sku],0),16,1,1,"Entities")),"review","ok"),"ok")</f>
        <v>ok</v>
      </c>
      <c r="Z128" t="s">
        <v>551</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0</v>
      </c>
      <c r="G129">
        <v>0</v>
      </c>
      <c r="H129" t="s">
        <v>8</v>
      </c>
      <c r="I129" s="75" t="str">
        <f ca="1">IF(Table7[[#This Row],[Type]]="KILL",IF(_xlfn.NUMBERVALUE(RIGHT(Table7[[#This Row],[Min]],LEN(Table7[[#This Row],[Min]])-FIND("-",Table7[[#This Row],[Min]])))&gt;INDIRECT(ADDRESS(11+MATCH(LEFT(Table7[[#This Row],[Min]],FIND("-",Table7[[#This Row],[Min]])-1),Table1[Content Sku],0),14,1,1,"Entities")),"review","ok"),"ok")</f>
        <v>ok</v>
      </c>
      <c r="U129" t="s">
        <v>37</v>
      </c>
      <c r="V129">
        <v>20000</v>
      </c>
      <c r="W129">
        <v>0</v>
      </c>
      <c r="X129" t="s">
        <v>205</v>
      </c>
      <c r="Y129" s="75" t="str">
        <f ca="1">IF(Table15[[#This Row],[Type]]="KILL",IF(_xlfn.NUMBERVALUE(RIGHT(Table15[[#This Row],[Min]],LEN(Table15[[#This Row],[Min]])-FIND("-",Table15[[#This Row],[Min]])))&gt;INDIRECT(ADDRESS(11+MATCH(LEFT(Table15[[#This Row],[Min]],FIND("-",Table15[[#This Row],[Min]])-1),Table1[Content Sku],0),16,1,1,"Entities")),"review","ok"),"ok")</f>
        <v>ok</v>
      </c>
      <c r="Z129" t="s">
        <v>551</v>
      </c>
      <c r="AA129">
        <v>3</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22000</v>
      </c>
      <c r="G130">
        <v>0</v>
      </c>
      <c r="H130" t="s">
        <v>205</v>
      </c>
      <c r="I130" s="75" t="str">
        <f ca="1">IF(Table7[[#This Row],[Type]]="KILL",IF(_xlfn.NUMBERVALUE(RIGHT(Table7[[#This Row],[Min]],LEN(Table7[[#This Row],[Min]])-FIND("-",Table7[[#This Row],[Min]])))&gt;INDIRECT(ADDRESS(11+MATCH(LEFT(Table7[[#This Row],[Min]],FIND("-",Table7[[#This Row],[Min]])-1),Table1[Content Sku],0),14,1,1,"Entities")),"review","ok"),"ok")</f>
        <v>ok</v>
      </c>
      <c r="U130" t="s">
        <v>37</v>
      </c>
      <c r="V130">
        <v>0</v>
      </c>
      <c r="W130">
        <v>0</v>
      </c>
      <c r="X130" t="s">
        <v>8</v>
      </c>
      <c r="Y130" s="75" t="str">
        <f ca="1">IF(Table15[[#This Row],[Type]]="KILL",IF(_xlfn.NUMBERVALUE(RIGHT(Table15[[#This Row],[Min]],LEN(Table15[[#This Row],[Min]])-FIND("-",Table15[[#This Row],[Min]])))&gt;INDIRECT(ADDRESS(11+MATCH(LEFT(Table15[[#This Row],[Min]],FIND("-",Table15[[#This Row],[Min]])-1),Table1[Content Sku],0),16,1,1,"Entities")),"review","ok"),"ok")</f>
        <v>ok</v>
      </c>
      <c r="Z130" t="s">
        <v>551</v>
      </c>
      <c r="AA130">
        <v>1</v>
      </c>
      <c r="AB130" s="75">
        <f ca="1">INDIRECT(ADDRESS(2+(MATCH(Table33[[#This Row],[SPAWNER]],Table40[SPAWNER],0)),2,1,1,"DATA_SCENES_UNITY_2"))</f>
        <v>2</v>
      </c>
      <c r="AK130" t="s">
        <v>37</v>
      </c>
      <c r="AL130">
        <v>0</v>
      </c>
      <c r="AM130">
        <v>20000</v>
      </c>
      <c r="AN130" t="s">
        <v>205</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U131" t="s">
        <v>37</v>
      </c>
      <c r="V131" t="s">
        <v>8018</v>
      </c>
      <c r="W131" t="s">
        <v>4477</v>
      </c>
      <c r="X131" t="s">
        <v>4478</v>
      </c>
      <c r="Y131" s="75" t="str">
        <f ca="1">IF(Table15[[#This Row],[Type]]="KILL",IF(_xlfn.NUMBERVALUE(RIGHT(Table15[[#This Row],[Min]],LEN(Table15[[#This Row],[Min]])-FIND("-",Table15[[#This Row],[Min]])))&gt;INDIRECT(ADDRESS(11+MATCH(LEFT(Table15[[#This Row],[Min]],FIND("-",Table15[[#This Row],[Min]])-1),Table1[Content Sku],0),16,1,1,"Entities")),"review","ok"),"ok")</f>
        <v>review</v>
      </c>
      <c r="Z131" t="s">
        <v>551</v>
      </c>
      <c r="AA131">
        <v>1</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7500</v>
      </c>
      <c r="G132">
        <v>0</v>
      </c>
      <c r="H132" t="s">
        <v>205</v>
      </c>
      <c r="I132" s="75" t="str">
        <f ca="1">IF(Table7[[#This Row],[Type]]="KILL",IF(_xlfn.NUMBERVALUE(RIGHT(Table7[[#This Row],[Min]],LEN(Table7[[#This Row],[Min]])-FIND("-",Table7[[#This Row],[Min]])))&gt;INDIRECT(ADDRESS(11+MATCH(LEFT(Table7[[#This Row],[Min]],FIND("-",Table7[[#This Row],[Min]])-1),Table1[Content Sku],0),14,1,1,"Entities")),"review","ok"),"ok")</f>
        <v>ok</v>
      </c>
      <c r="U132" t="s">
        <v>37</v>
      </c>
      <c r="V132">
        <v>0</v>
      </c>
      <c r="W132">
        <v>0</v>
      </c>
      <c r="X132" t="s">
        <v>8</v>
      </c>
      <c r="Y132" s="75" t="str">
        <f ca="1">IF(Table15[[#This Row],[Type]]="KILL",IF(_xlfn.NUMBERVALUE(RIGHT(Table15[[#This Row],[Min]],LEN(Table15[[#This Row],[Min]])-FIND("-",Table15[[#This Row],[Min]])))&gt;INDIRECT(ADDRESS(11+MATCH(LEFT(Table15[[#This Row],[Min]],FIND("-",Table15[[#This Row],[Min]])-1),Table1[Content Sku],0),16,1,1,"Entities")),"review","ok"),"ok")</f>
        <v>ok</v>
      </c>
      <c r="Z132" t="s">
        <v>551</v>
      </c>
      <c r="AA132">
        <v>6</v>
      </c>
      <c r="AB132" s="75">
        <f ca="1">INDIRECT(ADDRESS(2+(MATCH(Table33[[#This Row],[SPAWNER]],Table40[SPAWNER],0)),2,1,1,"DATA_SCENES_UNITY_2"))</f>
        <v>2</v>
      </c>
      <c r="AK132" t="s">
        <v>37</v>
      </c>
      <c r="AL132">
        <v>0</v>
      </c>
      <c r="AM132">
        <v>21000</v>
      </c>
      <c r="AN132" t="s">
        <v>205</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18000</v>
      </c>
      <c r="G133">
        <v>0</v>
      </c>
      <c r="H133" t="s">
        <v>205</v>
      </c>
      <c r="I133" s="75" t="str">
        <f ca="1">IF(Table7[[#This Row],[Type]]="KILL",IF(_xlfn.NUMBERVALUE(RIGHT(Table7[[#This Row],[Min]],LEN(Table7[[#This Row],[Min]])-FIND("-",Table7[[#This Row],[Min]])))&gt;INDIRECT(ADDRESS(11+MATCH(LEFT(Table7[[#This Row],[Min]],FIND("-",Table7[[#This Row],[Min]])-1),Table1[Content Sku],0),14,1,1,"Entities")),"review","ok"),"ok")</f>
        <v>ok</v>
      </c>
      <c r="U133" t="s">
        <v>37</v>
      </c>
      <c r="V133">
        <v>20000</v>
      </c>
      <c r="W133">
        <v>0</v>
      </c>
      <c r="X133" t="s">
        <v>205</v>
      </c>
      <c r="Y133" s="75" t="str">
        <f ca="1">IF(Table15[[#This Row],[Type]]="KILL",IF(_xlfn.NUMBERVALUE(RIGHT(Table15[[#This Row],[Min]],LEN(Table15[[#This Row],[Min]])-FIND("-",Table15[[#This Row],[Min]])))&gt;INDIRECT(ADDRESS(11+MATCH(LEFT(Table15[[#This Row],[Min]],FIND("-",Table15[[#This Row],[Min]])-1),Table1[Content Sku],0),16,1,1,"Entities")),"review","ok"),"ok")</f>
        <v>ok</v>
      </c>
      <c r="Z133" t="s">
        <v>551</v>
      </c>
      <c r="AA133">
        <v>5</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36</v>
      </c>
      <c r="F134">
        <v>6750</v>
      </c>
      <c r="G134">
        <v>0</v>
      </c>
      <c r="H134" t="s">
        <v>205</v>
      </c>
      <c r="I134" s="75" t="str">
        <f ca="1">IF(Table7[[#This Row],[Type]]="KILL",IF(_xlfn.NUMBERVALUE(RIGHT(Table7[[#This Row],[Min]],LEN(Table7[[#This Row],[Min]])-FIND("-",Table7[[#This Row],[Min]])))&gt;INDIRECT(ADDRESS(11+MATCH(LEFT(Table7[[#This Row],[Min]],FIND("-",Table7[[#This Row],[Min]])-1),Table1[Content Sku],0),14,1,1,"Entities")),"review","ok"),"ok")</f>
        <v>ok</v>
      </c>
      <c r="U134" t="s">
        <v>37</v>
      </c>
      <c r="V134">
        <v>0</v>
      </c>
      <c r="W134">
        <v>0</v>
      </c>
      <c r="X134" t="s">
        <v>8</v>
      </c>
      <c r="Y134" s="75" t="str">
        <f ca="1">IF(Table15[[#This Row],[Type]]="KILL",IF(_xlfn.NUMBERVALUE(RIGHT(Table15[[#This Row],[Min]],LEN(Table15[[#This Row],[Min]])-FIND("-",Table15[[#This Row],[Min]])))&gt;INDIRECT(ADDRESS(11+MATCH(LEFT(Table15[[#This Row],[Min]],FIND("-",Table15[[#This Row],[Min]])-1),Table1[Content Sku],0),16,1,1,"Entities")),"review","ok"),"ok")</f>
        <v>ok</v>
      </c>
      <c r="Z134" t="s">
        <v>551</v>
      </c>
      <c r="AA134">
        <v>2</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36</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551</v>
      </c>
      <c r="AA135">
        <v>3</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36</v>
      </c>
      <c r="F136">
        <v>4000</v>
      </c>
      <c r="G136">
        <v>0</v>
      </c>
      <c r="H136" t="s">
        <v>205</v>
      </c>
      <c r="I136" s="75" t="str">
        <f ca="1">IF(Table7[[#This Row],[Type]]="KILL",IF(_xlfn.NUMBERVALUE(RIGHT(Table7[[#This Row],[Min]],LEN(Table7[[#This Row],[Min]])-FIND("-",Table7[[#This Row],[Min]])))&gt;INDIRECT(ADDRESS(11+MATCH(LEFT(Table7[[#This Row],[Min]],FIND("-",Table7[[#This Row],[Min]])-1),Table1[Content Sku],0),14,1,1,"Entities")),"review","ok"),"ok")</f>
        <v>ok</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551</v>
      </c>
      <c r="AA136">
        <v>1</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36</v>
      </c>
      <c r="F137">
        <v>6500</v>
      </c>
      <c r="G137">
        <v>0</v>
      </c>
      <c r="H137" t="s">
        <v>205</v>
      </c>
      <c r="I137" s="75" t="str">
        <f ca="1">IF(Table7[[#This Row],[Type]]="KILL",IF(_xlfn.NUMBERVALUE(RIGHT(Table7[[#This Row],[Min]],LEN(Table7[[#This Row],[Min]])-FIND("-",Table7[[#This Row],[Min]])))&gt;INDIRECT(ADDRESS(11+MATCH(LEFT(Table7[[#This Row],[Min]],FIND("-",Table7[[#This Row],[Min]])-1),Table1[Content Sku],0),14,1,1,"Entities")),"review","ok"),"ok")</f>
        <v>ok</v>
      </c>
      <c r="U137" t="s">
        <v>37</v>
      </c>
      <c r="V137">
        <v>18000</v>
      </c>
      <c r="W137">
        <v>0</v>
      </c>
      <c r="X137" t="s">
        <v>205</v>
      </c>
      <c r="Y137" s="75" t="str">
        <f ca="1">IF(Table15[[#This Row],[Type]]="KILL",IF(_xlfn.NUMBERVALUE(RIGHT(Table15[[#This Row],[Min]],LEN(Table15[[#This Row],[Min]])-FIND("-",Table15[[#This Row],[Min]])))&gt;INDIRECT(ADDRESS(11+MATCH(LEFT(Table15[[#This Row],[Min]],FIND("-",Table15[[#This Row],[Min]])-1),Table1[Content Sku],0),16,1,1,"Entities")),"review","ok"),"ok")</f>
        <v>ok</v>
      </c>
      <c r="Z137" t="s">
        <v>551</v>
      </c>
      <c r="AA137">
        <v>1</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551</v>
      </c>
      <c r="AA138">
        <v>3</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551</v>
      </c>
      <c r="AA139">
        <v>1</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551</v>
      </c>
      <c r="AA140">
        <v>1</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U141" t="s">
        <v>37</v>
      </c>
      <c r="V141">
        <v>20000</v>
      </c>
      <c r="W141">
        <v>0</v>
      </c>
      <c r="X141" t="s">
        <v>205</v>
      </c>
      <c r="Y141" s="75" t="str">
        <f ca="1">IF(Table15[[#This Row],[Type]]="KILL",IF(_xlfn.NUMBERVALUE(RIGHT(Table15[[#This Row],[Min]],LEN(Table15[[#This Row],[Min]])-FIND("-",Table15[[#This Row],[Min]])))&gt;INDIRECT(ADDRESS(11+MATCH(LEFT(Table15[[#This Row],[Min]],FIND("-",Table15[[#This Row],[Min]])-1),Table1[Content Sku],0),16,1,1,"Entities")),"review","ok"),"ok")</f>
        <v>ok</v>
      </c>
      <c r="Z141" t="s">
        <v>551</v>
      </c>
      <c r="AA141">
        <v>1</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551</v>
      </c>
      <c r="AA142">
        <v>2</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551</v>
      </c>
      <c r="AA143">
        <v>8</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551</v>
      </c>
      <c r="AA144">
        <v>3</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37</v>
      </c>
      <c r="V145">
        <v>18000</v>
      </c>
      <c r="W145">
        <v>0</v>
      </c>
      <c r="X145" t="s">
        <v>205</v>
      </c>
      <c r="Y145" s="75" t="str">
        <f ca="1">IF(Table15[[#This Row],[Type]]="KILL",IF(_xlfn.NUMBERVALUE(RIGHT(Table15[[#This Row],[Min]],LEN(Table15[[#This Row],[Min]])-FIND("-",Table15[[#This Row],[Min]])))&gt;INDIRECT(ADDRESS(11+MATCH(LEFT(Table15[[#This Row],[Min]],FIND("-",Table15[[#This Row],[Min]])-1),Table1[Content Sku],0),16,1,1,"Entities")),"review","ok"),"ok")</f>
        <v>ok</v>
      </c>
      <c r="Z145" t="s">
        <v>551</v>
      </c>
      <c r="AA145">
        <v>1</v>
      </c>
      <c r="AB145" s="75">
        <f ca="1">INDIRECT(ADDRESS(2+(MATCH(Table33[[#This Row],[SPAWNER]],Table40[SPAWNER],0)),2,1,1,"DATA_SCENES_UNITY_2"))</f>
        <v>2</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18000</v>
      </c>
      <c r="H146" t="s">
        <v>205</v>
      </c>
      <c r="I146" s="75" t="str">
        <f ca="1">IF(Table7[[#This Row],[Type]]="KILL",IF(_xlfn.NUMBERVALUE(RIGHT(Table7[[#This Row],[Min]],LEN(Table7[[#This Row],[Min]])-FIND("-",Table7[[#This Row],[Min]])))&gt;INDIRECT(ADDRESS(11+MATCH(LEFT(Table7[[#This Row],[Min]],FIND("-",Table7[[#This Row],[Min]])-1),Table1[Content Sku],0),14,1,1,"Entities")),"review","ok"),"ok")</f>
        <v>ok</v>
      </c>
      <c r="U146" t="s">
        <v>37</v>
      </c>
      <c r="V146">
        <v>20000</v>
      </c>
      <c r="W146">
        <v>0</v>
      </c>
      <c r="X146" t="s">
        <v>205</v>
      </c>
      <c r="Y146" s="75" t="str">
        <f ca="1">IF(Table15[[#This Row],[Type]]="KILL",IF(_xlfn.NUMBERVALUE(RIGHT(Table15[[#This Row],[Min]],LEN(Table15[[#This Row],[Min]])-FIND("-",Table15[[#This Row],[Min]])))&gt;INDIRECT(ADDRESS(11+MATCH(LEFT(Table15[[#This Row],[Min]],FIND("-",Table15[[#This Row],[Min]])-1),Table1[Content Sku],0),16,1,1,"Entities")),"review","ok"),"ok")</f>
        <v>ok</v>
      </c>
      <c r="Z146" t="s">
        <v>551</v>
      </c>
      <c r="AA146">
        <v>5</v>
      </c>
      <c r="AB146" s="75">
        <f ca="1">INDIRECT(ADDRESS(2+(MATCH(Table33[[#This Row],[SPAWNER]],Table40[SPAWNER],0)),2,1,1,"DATA_SCENES_UNITY_2"))</f>
        <v>2</v>
      </c>
      <c r="AK146" t="s">
        <v>2675</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Z147" t="s">
        <v>551</v>
      </c>
      <c r="AA147">
        <v>1</v>
      </c>
      <c r="AB147" s="75">
        <f ca="1">INDIRECT(ADDRESS(2+(MATCH(Table33[[#This Row],[SPAWNER]],Table40[SPAWNER],0)),2,1,1,"DATA_SCENES_UNITY_2"))</f>
        <v>2</v>
      </c>
      <c r="AK147" t="s">
        <v>2675</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37</v>
      </c>
      <c r="V148">
        <v>18000</v>
      </c>
      <c r="W148">
        <v>0</v>
      </c>
      <c r="X148" t="s">
        <v>205</v>
      </c>
      <c r="Y148" s="75" t="str">
        <f ca="1">IF(Table15[[#This Row],[Type]]="KILL",IF(_xlfn.NUMBERVALUE(RIGHT(Table15[[#This Row],[Min]],LEN(Table15[[#This Row],[Min]])-FIND("-",Table15[[#This Row],[Min]])))&gt;INDIRECT(ADDRESS(11+MATCH(LEFT(Table15[[#This Row],[Min]],FIND("-",Table15[[#This Row],[Min]])-1),Table1[Content Sku],0),16,1,1,"Entities")),"review","ok"),"ok")</f>
        <v>ok</v>
      </c>
      <c r="Z148" t="s">
        <v>551</v>
      </c>
      <c r="AA148">
        <v>4</v>
      </c>
      <c r="AB148" s="75">
        <f ca="1">INDIRECT(ADDRESS(2+(MATCH(Table33[[#This Row],[SPAWNER]],Table40[SPAWNER],0)),2,1,1,"DATA_SCENES_UNITY_2"))</f>
        <v>2</v>
      </c>
      <c r="AK148" t="s">
        <v>2675</v>
      </c>
      <c r="AL148" t="s">
        <v>4476</v>
      </c>
      <c r="AM148" t="s">
        <v>4477</v>
      </c>
      <c r="AN148" t="s">
        <v>4478</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Z149" t="s">
        <v>551</v>
      </c>
      <c r="AA149">
        <v>9</v>
      </c>
      <c r="AB149" s="75">
        <f ca="1">INDIRECT(ADDRESS(2+(MATCH(Table33[[#This Row],[SPAWNER]],Table40[SPAWNER],0)),2,1,1,"DATA_SCENES_UNITY_2"))</f>
        <v>2</v>
      </c>
      <c r="AK149" t="s">
        <v>2675</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32000</v>
      </c>
      <c r="H150" t="s">
        <v>205</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Z150" t="s">
        <v>551</v>
      </c>
      <c r="AA150">
        <v>3</v>
      </c>
      <c r="AB150" s="75">
        <f ca="1">INDIRECT(ADDRESS(2+(MATCH(Table33[[#This Row],[SPAWNER]],Table40[SPAWNER],0)),2,1,1,"DATA_SCENES_UNITY_2"))</f>
        <v>2</v>
      </c>
      <c r="AK150" t="s">
        <v>2675</v>
      </c>
      <c r="AL150" t="s">
        <v>5023</v>
      </c>
      <c r="AM150" t="s">
        <v>4477</v>
      </c>
      <c r="AN150" t="s">
        <v>4478</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24000</v>
      </c>
      <c r="H151" t="s">
        <v>205</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5" t="str">
        <f ca="1">IF(Table15[[#This Row],[Type]]="KILL",IF(_xlfn.NUMBERVALUE(RIGHT(Table15[[#This Row],[Min]],LEN(Table15[[#This Row],[Min]])-FIND("-",Table15[[#This Row],[Min]])))&gt;INDIRECT(ADDRESS(11+MATCH(LEFT(Table15[[#This Row],[Min]],FIND("-",Table15[[#This Row],[Min]])-1),Table1[Content Sku],0),16,1,1,"Entities")),"review","ok"),"ok")</f>
        <v>ok</v>
      </c>
      <c r="Z151" t="s">
        <v>551</v>
      </c>
      <c r="AA151">
        <v>3</v>
      </c>
      <c r="AB151" s="75">
        <f ca="1">INDIRECT(ADDRESS(2+(MATCH(Table33[[#This Row],[SPAWNER]],Table40[SPAWNER],0)),2,1,1,"DATA_SCENES_UNITY_2"))</f>
        <v>2</v>
      </c>
      <c r="AK151" t="s">
        <v>2675</v>
      </c>
      <c r="AL151">
        <v>0</v>
      </c>
      <c r="AM151">
        <v>40000</v>
      </c>
      <c r="AN151" t="s">
        <v>205</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5" t="str">
        <f ca="1">IF(Table15[[#This Row],[Type]]="KILL",IF(_xlfn.NUMBERVALUE(RIGHT(Table15[[#This Row],[Min]],LEN(Table15[[#This Row],[Min]])-FIND("-",Table15[[#This Row],[Min]])))&gt;INDIRECT(ADDRESS(11+MATCH(LEFT(Table15[[#This Row],[Min]],FIND("-",Table15[[#This Row],[Min]])-1),Table1[Content Sku],0),16,1,1,"Entities")),"review","ok"),"ok")</f>
        <v>ok</v>
      </c>
      <c r="Z152" t="s">
        <v>551</v>
      </c>
      <c r="AA152">
        <v>1</v>
      </c>
      <c r="AB152" s="75">
        <f ca="1">INDIRECT(ADDRESS(2+(MATCH(Table33[[#This Row],[SPAWNER]],Table40[SPAWNER],0)),2,1,1,"DATA_SCENES_UNITY_2"))</f>
        <v>2</v>
      </c>
      <c r="AK152" t="s">
        <v>2675</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28000</v>
      </c>
      <c r="H153" t="s">
        <v>205</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5" t="str">
        <f ca="1">IF(Table15[[#This Row],[Type]]="KILL",IF(_xlfn.NUMBERVALUE(RIGHT(Table15[[#This Row],[Min]],LEN(Table15[[#This Row],[Min]])-FIND("-",Table15[[#This Row],[Min]])))&gt;INDIRECT(ADDRESS(11+MATCH(LEFT(Table15[[#This Row],[Min]],FIND("-",Table15[[#This Row],[Min]])-1),Table1[Content Sku],0),16,1,1,"Entities")),"review","ok"),"ok")</f>
        <v>ok</v>
      </c>
      <c r="Z153" t="s">
        <v>551</v>
      </c>
      <c r="AA153">
        <v>3</v>
      </c>
      <c r="AB153" s="75">
        <f ca="1">INDIRECT(ADDRESS(2+(MATCH(Table33[[#This Row],[SPAWNER]],Table40[SPAWNER],0)),2,1,1,"DATA_SCENES_UNITY_2"))</f>
        <v>2</v>
      </c>
      <c r="AK153" t="s">
        <v>2675</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Z154" t="s">
        <v>551</v>
      </c>
      <c r="AA154">
        <v>5</v>
      </c>
      <c r="AB154" s="75">
        <f ca="1">INDIRECT(ADDRESS(2+(MATCH(Table33[[#This Row],[SPAWNER]],Table40[SPAWNER],0)),2,1,1,"DATA_SCENES_UNITY_2"))</f>
        <v>2</v>
      </c>
      <c r="AK154" t="s">
        <v>2675</v>
      </c>
      <c r="AL154" t="s">
        <v>5027</v>
      </c>
      <c r="AM154" t="s">
        <v>4477</v>
      </c>
      <c r="AN154" t="s">
        <v>4478</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s="75" t="str">
        <f ca="1">IF(Table15[[#This Row],[Type]]="KILL",IF(_xlfn.NUMBERVALUE(RIGHT(Table15[[#This Row],[Min]],LEN(Table15[[#This Row],[Min]])-FIND("-",Table15[[#This Row],[Min]])))&gt;INDIRECT(ADDRESS(11+MATCH(LEFT(Table15[[#This Row],[Min]],FIND("-",Table15[[#This Row],[Min]])-1),Table1[Content Sku],0),16,1,1,"Entities")),"review","ok"),"ok")</f>
        <v>ok</v>
      </c>
      <c r="Z155" t="s">
        <v>551</v>
      </c>
      <c r="AA155">
        <v>4</v>
      </c>
      <c r="AB155" s="75">
        <f ca="1">INDIRECT(ADDRESS(2+(MATCH(Table33[[#This Row],[SPAWNER]],Table40[SPAWNER],0)),2,1,1,"DATA_SCENES_UNITY_2"))</f>
        <v>2</v>
      </c>
      <c r="AK155" t="s">
        <v>2774</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Z156" t="s">
        <v>551</v>
      </c>
      <c r="AA156">
        <v>3</v>
      </c>
      <c r="AB156" s="75">
        <f ca="1">INDIRECT(ADDRESS(2+(MATCH(Table33[[#This Row],[SPAWNER]],Table40[SPAWNER],0)),2,1,1,"DATA_SCENES_UNITY_2"))</f>
        <v>2</v>
      </c>
      <c r="AK156" t="s">
        <v>2774</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s="75" t="str">
        <f ca="1">IF(Table15[[#This Row],[Type]]="KILL",IF(_xlfn.NUMBERVALUE(RIGHT(Table15[[#This Row],[Min]],LEN(Table15[[#This Row],[Min]])-FIND("-",Table15[[#This Row],[Min]])))&gt;INDIRECT(ADDRESS(11+MATCH(LEFT(Table15[[#This Row],[Min]],FIND("-",Table15[[#This Row],[Min]])-1),Table1[Content Sku],0),16,1,1,"Entities")),"review","ok"),"ok")</f>
        <v>ok</v>
      </c>
      <c r="Z157" t="s">
        <v>551</v>
      </c>
      <c r="AA157">
        <v>4</v>
      </c>
      <c r="AB157" s="75">
        <f ca="1">INDIRECT(ADDRESS(2+(MATCH(Table33[[#This Row],[SPAWNER]],Table40[SPAWNER],0)),2,1,1,"DATA_SCENES_UNITY_2"))</f>
        <v>2</v>
      </c>
      <c r="AK157" t="s">
        <v>2774</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Z158" t="s">
        <v>551</v>
      </c>
      <c r="AA158">
        <v>1</v>
      </c>
      <c r="AB158" s="75">
        <f ca="1">INDIRECT(ADDRESS(2+(MATCH(Table33[[#This Row],[SPAWNER]],Table40[SPAWNER],0)),2,1,1,"DATA_SCENES_UNITY_2"))</f>
        <v>2</v>
      </c>
      <c r="AK158" t="s">
        <v>2774</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Z159" t="s">
        <v>551</v>
      </c>
      <c r="AA159">
        <v>4</v>
      </c>
      <c r="AB159" s="75">
        <f ca="1">INDIRECT(ADDRESS(2+(MATCH(Table33[[#This Row],[SPAWNER]],Table40[SPAWNER],0)),2,1,1,"DATA_SCENES_UNITY_2"))</f>
        <v>2</v>
      </c>
      <c r="AK159" t="s">
        <v>2774</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20000</v>
      </c>
      <c r="H160" t="s">
        <v>205</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Z160" t="s">
        <v>551</v>
      </c>
      <c r="AA160">
        <v>1</v>
      </c>
      <c r="AB160" s="75">
        <f ca="1">INDIRECT(ADDRESS(2+(MATCH(Table33[[#This Row],[SPAWNER]],Table40[SPAWNER],0)),2,1,1,"DATA_SCENES_UNITY_2"))</f>
        <v>2</v>
      </c>
      <c r="AK160" t="s">
        <v>2774</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Z161" t="s">
        <v>551</v>
      </c>
      <c r="AA161">
        <v>1</v>
      </c>
      <c r="AB161" s="75">
        <f ca="1">INDIRECT(ADDRESS(2+(MATCH(Table33[[#This Row],[SPAWNER]],Table40[SPAWNER],0)),2,1,1,"DATA_SCENES_UNITY_2"))</f>
        <v>2</v>
      </c>
      <c r="AK161" t="s">
        <v>2774</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Z162" t="s">
        <v>551</v>
      </c>
      <c r="AA162">
        <v>1</v>
      </c>
      <c r="AB162" s="75">
        <f ca="1">INDIRECT(ADDRESS(2+(MATCH(Table33[[#This Row],[SPAWNER]],Table40[SPAWNER],0)),2,1,1,"DATA_SCENES_UNITY_2"))</f>
        <v>2</v>
      </c>
      <c r="AK162" t="s">
        <v>2774</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Z163" t="s">
        <v>551</v>
      </c>
      <c r="AA163">
        <v>1</v>
      </c>
      <c r="AB163" s="75">
        <f ca="1">INDIRECT(ADDRESS(2+(MATCH(Table33[[#This Row],[SPAWNER]],Table40[SPAWNER],0)),2,1,1,"DATA_SCENES_UNITY_2"))</f>
        <v>2</v>
      </c>
      <c r="AK163" t="s">
        <v>2774</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16000</v>
      </c>
      <c r="H164" t="s">
        <v>205</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Z164" t="s">
        <v>551</v>
      </c>
      <c r="AA164">
        <v>4</v>
      </c>
      <c r="AB164" s="75">
        <f ca="1">INDIRECT(ADDRESS(2+(MATCH(Table33[[#This Row],[SPAWNER]],Table40[SPAWNER],0)),2,1,1,"DATA_SCENES_UNITY_2"))</f>
        <v>2</v>
      </c>
      <c r="AK164" t="s">
        <v>2774</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Z165" t="s">
        <v>551</v>
      </c>
      <c r="AA165">
        <v>1</v>
      </c>
      <c r="AB165" s="75">
        <f ca="1">INDIRECT(ADDRESS(2+(MATCH(Table33[[#This Row],[SPAWNER]],Table40[SPAWNER],0)),2,1,1,"DATA_SCENES_UNITY_2"))</f>
        <v>2</v>
      </c>
      <c r="AK165" t="s">
        <v>2774</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Z166" t="s">
        <v>551</v>
      </c>
      <c r="AA166">
        <v>2</v>
      </c>
      <c r="AB166" s="75">
        <f ca="1">INDIRECT(ADDRESS(2+(MATCH(Table33[[#This Row],[SPAWNER]],Table40[SPAWNER],0)),2,1,1,"DATA_SCENES_UNITY_2"))</f>
        <v>2</v>
      </c>
      <c r="AK166" t="s">
        <v>2774</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Z167" t="s">
        <v>551</v>
      </c>
      <c r="AA167">
        <v>8</v>
      </c>
      <c r="AB167" s="75">
        <f ca="1">INDIRECT(ADDRESS(2+(MATCH(Table33[[#This Row],[SPAWNER]],Table40[SPAWNER],0)),2,1,1,"DATA_SCENES_UNITY_2"))</f>
        <v>2</v>
      </c>
      <c r="AK167" t="s">
        <v>2774</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AK168" t="s">
        <v>2774</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2774</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2774</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2774</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2774</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2774</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s="75" t="str">
        <f ca="1">IF(Table15[[#This Row],[Type]]="KILL",IF(_xlfn.NUMBERVALUE(RIGHT(Table15[[#This Row],[Min]],LEN(Table15[[#This Row],[Min]])-FIND("-",Table15[[#This Row],[Min]])))&gt;INDIRECT(ADDRESS(11+MATCH(LEFT(Table15[[#This Row],[Min]],FIND("-",Table15[[#This Row],[Min]])-1),Table1[Content Sku],0),16,1,1,"Entities")),"review","ok"),"ok")</f>
        <v>ok</v>
      </c>
      <c r="AK174" t="s">
        <v>2774</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37</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2774</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37</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2774</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37</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s="75" t="str">
        <f ca="1">IF(Table15[[#This Row],[Type]]="KILL",IF(_xlfn.NUMBERVALUE(RIGHT(Table15[[#This Row],[Min]],LEN(Table15[[#This Row],[Min]])-FIND("-",Table15[[#This Row],[Min]])))&gt;INDIRECT(ADDRESS(11+MATCH(LEFT(Table15[[#This Row],[Min]],FIND("-",Table15[[#This Row],[Min]])-1),Table1[Content Sku],0),16,1,1,"Entities")),"review","ok"),"ok")</f>
        <v>ok</v>
      </c>
      <c r="AK177" t="s">
        <v>2774</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37</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s="75" t="str">
        <f ca="1">IF(Table15[[#This Row],[Type]]="KILL",IF(_xlfn.NUMBERVALUE(RIGHT(Table15[[#This Row],[Min]],LEN(Table15[[#This Row],[Min]])-FIND("-",Table15[[#This Row],[Min]])))&gt;INDIRECT(ADDRESS(11+MATCH(LEFT(Table15[[#This Row],[Min]],FIND("-",Table15[[#This Row],[Min]])-1),Table1[Content Sku],0),16,1,1,"Entities")),"review","ok"),"ok")</f>
        <v>ok</v>
      </c>
      <c r="AK178" t="s">
        <v>2774</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66000</v>
      </c>
      <c r="G179">
        <v>0</v>
      </c>
      <c r="H179" t="s">
        <v>205</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s="75" t="str">
        <f ca="1">IF(Table15[[#This Row],[Type]]="KILL",IF(_xlfn.NUMBERVALUE(RIGHT(Table15[[#This Row],[Min]],LEN(Table15[[#This Row],[Min]])-FIND("-",Table15[[#This Row],[Min]])))&gt;INDIRECT(ADDRESS(11+MATCH(LEFT(Table15[[#This Row],[Min]],FIND("-",Table15[[#This Row],[Min]])-1),Table1[Content Sku],0),16,1,1,"Entities")),"review","ok"),"ok")</f>
        <v>ok</v>
      </c>
      <c r="AK179" t="s">
        <v>2774</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2774</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74000</v>
      </c>
      <c r="G181">
        <v>0</v>
      </c>
      <c r="H181" t="s">
        <v>205</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2774</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0</v>
      </c>
      <c r="G182">
        <v>0</v>
      </c>
      <c r="H182" t="s">
        <v>8</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2774</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50000</v>
      </c>
      <c r="G183">
        <v>0</v>
      </c>
      <c r="H183" t="s">
        <v>205</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2774</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40000</v>
      </c>
      <c r="G184">
        <v>0</v>
      </c>
      <c r="H184" t="s">
        <v>205</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5" t="str">
        <f ca="1">IF(Table15[[#This Row],[Type]]="KILL",IF(_xlfn.NUMBERVALUE(RIGHT(Table15[[#This Row],[Min]],LEN(Table15[[#This Row],[Min]])-FIND("-",Table15[[#This Row],[Min]])))&gt;INDIRECT(ADDRESS(11+MATCH(LEFT(Table15[[#This Row],[Min]],FIND("-",Table15[[#This Row],[Min]])-1),Table1[Content Sku],0),16,1,1,"Entities")),"review","ok"),"ok")</f>
        <v>ok</v>
      </c>
      <c r="AK184" t="s">
        <v>2774</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s="75" t="str">
        <f ca="1">IF(Table15[[#This Row],[Type]]="KILL",IF(_xlfn.NUMBERVALUE(RIGHT(Table15[[#This Row],[Min]],LEN(Table15[[#This Row],[Min]])-FIND("-",Table15[[#This Row],[Min]])))&gt;INDIRECT(ADDRESS(11+MATCH(LEFT(Table15[[#This Row],[Min]],FIND("-",Table15[[#This Row],[Min]])-1),Table1[Content Sku],0),16,1,1,"Entities")),"review","ok"),"ok")</f>
        <v>ok</v>
      </c>
      <c r="AK185" t="s">
        <v>2774</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58000</v>
      </c>
      <c r="G186">
        <v>0</v>
      </c>
      <c r="H186" t="s">
        <v>205</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2774</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35000</v>
      </c>
      <c r="G187">
        <v>0</v>
      </c>
      <c r="H187" t="s">
        <v>205</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2774</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21</v>
      </c>
      <c r="F188">
        <v>30000</v>
      </c>
      <c r="G188">
        <v>0</v>
      </c>
      <c r="H188" t="s">
        <v>205</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2774</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21</v>
      </c>
      <c r="F189">
        <v>0</v>
      </c>
      <c r="G189">
        <v>0</v>
      </c>
      <c r="H189" t="s">
        <v>8</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s="75" t="str">
        <f ca="1">IF(Table15[[#This Row],[Type]]="KILL",IF(_xlfn.NUMBERVALUE(RIGHT(Table15[[#This Row],[Min]],LEN(Table15[[#This Row],[Min]])-FIND("-",Table15[[#This Row],[Min]])))&gt;INDIRECT(ADDRESS(11+MATCH(LEFT(Table15[[#This Row],[Min]],FIND("-",Table15[[#This Row],[Min]])-1),Table1[Content Sku],0),16,1,1,"Entities")),"review","ok"),"ok")</f>
        <v>ok</v>
      </c>
      <c r="AK189" t="s">
        <v>2774</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21</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2774</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21</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2774</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361</v>
      </c>
      <c r="F192" t="s">
        <v>5228</v>
      </c>
      <c r="G192" t="s">
        <v>4477</v>
      </c>
      <c r="H192" t="s">
        <v>4478</v>
      </c>
      <c r="I192" s="75" t="str">
        <f ca="1">IF(Table7[[#This Row],[Type]]="KILL",IF(_xlfn.NUMBERVALUE(RIGHT(Table7[[#This Row],[Min]],LEN(Table7[[#This Row],[Min]])-FIND("-",Table7[[#This Row],[Min]])))&gt;INDIRECT(ADDRESS(11+MATCH(LEFT(Table7[[#This Row],[Min]],FIND("-",Table7[[#This Row],[Min]])-1),Table1[Content Sku],0),14,1,1,"Entities")),"review","ok"),"ok")</f>
        <v>review</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2774</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361</v>
      </c>
      <c r="F193">
        <v>200</v>
      </c>
      <c r="G193">
        <v>0</v>
      </c>
      <c r="H193" t="s">
        <v>4439</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2774</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361</v>
      </c>
      <c r="F194" t="s">
        <v>5234</v>
      </c>
      <c r="G194" t="s">
        <v>4477</v>
      </c>
      <c r="H194" t="s">
        <v>4478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2774</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253</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2774</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253</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2774</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253</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2774</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253</v>
      </c>
      <c r="F198">
        <v>0</v>
      </c>
      <c r="G198">
        <v>0</v>
      </c>
      <c r="H198" t="s">
        <v>8</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40000</v>
      </c>
      <c r="X198" t="s">
        <v>205</v>
      </c>
      <c r="Y198" s="75" t="str">
        <f ca="1">IF(Table15[[#This Row],[Type]]="KILL",IF(_xlfn.NUMBERVALUE(RIGHT(Table15[[#This Row],[Min]],LEN(Table15[[#This Row],[Min]])-FIND("-",Table15[[#This Row],[Min]])))&gt;INDIRECT(ADDRESS(11+MATCH(LEFT(Table15[[#This Row],[Min]],FIND("-",Table15[[#This Row],[Min]])-1),Table1[Content Sku],0),16,1,1,"Entities")),"review","ok"),"ok")</f>
        <v>ok</v>
      </c>
      <c r="AK198" t="s">
        <v>2774</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253</v>
      </c>
      <c r="F199">
        <v>0</v>
      </c>
      <c r="G199">
        <v>16000</v>
      </c>
      <c r="H199" t="s">
        <v>205</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35000</v>
      </c>
      <c r="X199" t="s">
        <v>205</v>
      </c>
      <c r="Y199" s="75" t="str">
        <f ca="1">IF(Table15[[#This Row],[Type]]="KILL",IF(_xlfn.NUMBERVALUE(RIGHT(Table15[[#This Row],[Min]],LEN(Table15[[#This Row],[Min]])-FIND("-",Table15[[#This Row],[Min]])))&gt;INDIRECT(ADDRESS(11+MATCH(LEFT(Table15[[#This Row],[Min]],FIND("-",Table15[[#This Row],[Min]])-1),Table1[Content Sku],0),16,1,1,"Entities")),"review","ok"),"ok")</f>
        <v>ok</v>
      </c>
      <c r="AK199" t="s">
        <v>2774</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253</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2774</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253</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2774</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253</v>
      </c>
      <c r="F202">
        <v>0</v>
      </c>
      <c r="G202">
        <v>24000</v>
      </c>
      <c r="H202" t="s">
        <v>205</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5" t="str">
        <f ca="1">IF(Table15[[#This Row],[Type]]="KILL",IF(_xlfn.NUMBERVALUE(RIGHT(Table15[[#This Row],[Min]],LEN(Table15[[#This Row],[Min]])-FIND("-",Table15[[#This Row],[Min]])))&gt;INDIRECT(ADDRESS(11+MATCH(LEFT(Table15[[#This Row],[Min]],FIND("-",Table15[[#This Row],[Min]])-1),Table1[Content Sku],0),16,1,1,"Entities")),"review","ok"),"ok")</f>
        <v>ok</v>
      </c>
      <c r="AK202" t="s">
        <v>2774</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253</v>
      </c>
      <c r="F203">
        <v>0</v>
      </c>
      <c r="G203">
        <v>11000</v>
      </c>
      <c r="H203" t="s">
        <v>205</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2774</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253</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2774</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253</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2774</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253</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s="75" t="str">
        <f ca="1">IF(Table15[[#This Row],[Type]]="KILL",IF(_xlfn.NUMBERVALUE(RIGHT(Table15[[#This Row],[Min]],LEN(Table15[[#This Row],[Min]])-FIND("-",Table15[[#This Row],[Min]])))&gt;INDIRECT(ADDRESS(11+MATCH(LEFT(Table15[[#This Row],[Min]],FIND("-",Table15[[#This Row],[Min]])-1),Table1[Content Sku],0),16,1,1,"Entities")),"review","ok"),"ok")</f>
        <v>ok</v>
      </c>
      <c r="AK206" t="s">
        <v>581</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253</v>
      </c>
      <c r="F207">
        <v>0</v>
      </c>
      <c r="G207">
        <v>10000</v>
      </c>
      <c r="H207" t="s">
        <v>205</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581</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253</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581</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253</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581</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253</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581</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253</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581</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253</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2678</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253</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2678</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253</v>
      </c>
      <c r="F214">
        <v>0</v>
      </c>
      <c r="G214">
        <v>22000</v>
      </c>
      <c r="H214" t="s">
        <v>205</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s="75" t="str">
        <f ca="1">IF(Table15[[#This Row],[Type]]="KILL",IF(_xlfn.NUMBERVALUE(RIGHT(Table15[[#This Row],[Min]],LEN(Table15[[#This Row],[Min]])-FIND("-",Table15[[#This Row],[Min]])))&gt;INDIRECT(ADDRESS(11+MATCH(LEFT(Table15[[#This Row],[Min]],FIND("-",Table15[[#This Row],[Min]])-1),Table1[Content Sku],0),16,1,1,"Entities")),"review","ok"),"ok")</f>
        <v>ok</v>
      </c>
      <c r="AK214" t="s">
        <v>2678</v>
      </c>
      <c r="AL214">
        <v>20000</v>
      </c>
      <c r="AM214">
        <v>0</v>
      </c>
      <c r="AN214" t="s">
        <v>205</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253</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2678</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253</v>
      </c>
      <c r="F216">
        <v>4000</v>
      </c>
      <c r="G216">
        <v>0</v>
      </c>
      <c r="H216" t="s">
        <v>205</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2678</v>
      </c>
      <c r="AL216">
        <v>240</v>
      </c>
      <c r="AM216">
        <v>0</v>
      </c>
      <c r="AN216" t="s">
        <v>4439</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253</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2678</v>
      </c>
      <c r="AL217">
        <v>35000</v>
      </c>
      <c r="AM217">
        <v>0</v>
      </c>
      <c r="AN217" t="s">
        <v>205</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253</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2678</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253</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5" t="str">
        <f ca="1">IF(Table15[[#This Row],[Type]]="KILL",IF(_xlfn.NUMBERVALUE(RIGHT(Table15[[#This Row],[Min]],LEN(Table15[[#This Row],[Min]])-FIND("-",Table15[[#This Row],[Min]])))&gt;INDIRECT(ADDRESS(11+MATCH(LEFT(Table15[[#This Row],[Min]],FIND("-",Table15[[#This Row],[Min]])-1),Table1[Content Sku],0),16,1,1,"Entities")),"review","ok"),"ok")</f>
        <v>ok</v>
      </c>
      <c r="AK219" t="s">
        <v>2677</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253</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2677</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253</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2677</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253</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2677</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253</v>
      </c>
      <c r="F223">
        <v>2000</v>
      </c>
      <c r="G223">
        <v>0</v>
      </c>
      <c r="H223" t="s">
        <v>205</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2677</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253</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5" t="str">
        <f ca="1">IF(Table15[[#This Row],[Type]]="KILL",IF(_xlfn.NUMBERVALUE(RIGHT(Table15[[#This Row],[Min]],LEN(Table15[[#This Row],[Min]])-FIND("-",Table15[[#This Row],[Min]])))&gt;INDIRECT(ADDRESS(11+MATCH(LEFT(Table15[[#This Row],[Min]],FIND("-",Table15[[#This Row],[Min]])-1),Table1[Content Sku],0),16,1,1,"Entities")),"review","ok"),"ok")</f>
        <v>ok</v>
      </c>
      <c r="AK224" t="s">
        <v>2677</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253</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s="75" t="str">
        <f ca="1">IF(Table15[[#This Row],[Type]]="KILL",IF(_xlfn.NUMBERVALUE(RIGHT(Table15[[#This Row],[Min]],LEN(Table15[[#This Row],[Min]])-FIND("-",Table15[[#This Row],[Min]])))&gt;INDIRECT(ADDRESS(11+MATCH(LEFT(Table15[[#This Row],[Min]],FIND("-",Table15[[#This Row],[Min]])-1),Table1[Content Sku],0),16,1,1,"Entities")),"review","ok"),"ok")</f>
        <v>ok</v>
      </c>
      <c r="AK225" t="s">
        <v>2677</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253</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5" t="str">
        <f ca="1">IF(Table15[[#This Row],[Type]]="KILL",IF(_xlfn.NUMBERVALUE(RIGHT(Table15[[#This Row],[Min]],LEN(Table15[[#This Row],[Min]])-FIND("-",Table15[[#This Row],[Min]])))&gt;INDIRECT(ADDRESS(11+MATCH(LEFT(Table15[[#This Row],[Min]],FIND("-",Table15[[#This Row],[Min]])-1),Table1[Content Sku],0),16,1,1,"Entities")),"review","ok"),"ok")</f>
        <v>ok</v>
      </c>
      <c r="AK226" t="s">
        <v>2677</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253</v>
      </c>
      <c r="F227">
        <v>0</v>
      </c>
      <c r="G227">
        <v>10000</v>
      </c>
      <c r="H227" t="s">
        <v>205</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2677</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253</v>
      </c>
      <c r="F228">
        <v>0</v>
      </c>
      <c r="G228">
        <v>0</v>
      </c>
      <c r="H228" t="s">
        <v>8</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2677</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253</v>
      </c>
      <c r="F229">
        <v>0</v>
      </c>
      <c r="G229">
        <v>20000</v>
      </c>
      <c r="H229" t="s">
        <v>205</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s="75" t="str">
        <f ca="1">IF(Table15[[#This Row],[Type]]="KILL",IF(_xlfn.NUMBERVALUE(RIGHT(Table15[[#This Row],[Min]],LEN(Table15[[#This Row],[Min]])-FIND("-",Table15[[#This Row],[Min]])))&gt;INDIRECT(ADDRESS(11+MATCH(LEFT(Table15[[#This Row],[Min]],FIND("-",Table15[[#This Row],[Min]])-1),Table1[Content Sku],0),16,1,1,"Entities")),"review","ok"),"ok")</f>
        <v>ok</v>
      </c>
      <c r="AK229" t="s">
        <v>2677</v>
      </c>
      <c r="AL229">
        <v>0</v>
      </c>
      <c r="AM229">
        <v>30000</v>
      </c>
      <c r="AN229" t="s">
        <v>205</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253</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5" t="str">
        <f ca="1">IF(Table15[[#This Row],[Type]]="KILL",IF(_xlfn.NUMBERVALUE(RIGHT(Table15[[#This Row],[Min]],LEN(Table15[[#This Row],[Min]])-FIND("-",Table15[[#This Row],[Min]])))&gt;INDIRECT(ADDRESS(11+MATCH(LEFT(Table15[[#This Row],[Min]],FIND("-",Table15[[#This Row],[Min]])-1),Table1[Content Sku],0),16,1,1,"Entities")),"review","ok"),"ok")</f>
        <v>ok</v>
      </c>
      <c r="AK230" t="s">
        <v>2677</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253</v>
      </c>
      <c r="F231">
        <v>0</v>
      </c>
      <c r="G231">
        <v>25000</v>
      </c>
      <c r="H231" t="s">
        <v>205</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2677</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253</v>
      </c>
      <c r="F232">
        <v>0</v>
      </c>
      <c r="G232">
        <v>10000</v>
      </c>
      <c r="H232" t="s">
        <v>205</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5" t="str">
        <f ca="1">IF(Table15[[#This Row],[Type]]="KILL",IF(_xlfn.NUMBERVALUE(RIGHT(Table15[[#This Row],[Min]],LEN(Table15[[#This Row],[Min]])-FIND("-",Table15[[#This Row],[Min]])))&gt;INDIRECT(ADDRESS(11+MATCH(LEFT(Table15[[#This Row],[Min]],FIND("-",Table15[[#This Row],[Min]])-1),Table1[Content Sku],0),16,1,1,"Entities")),"review","ok"),"ok")</f>
        <v>ok</v>
      </c>
      <c r="AK232" t="s">
        <v>2677</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253</v>
      </c>
      <c r="F233">
        <v>0</v>
      </c>
      <c r="G233">
        <v>10000</v>
      </c>
      <c r="H233" t="s">
        <v>205</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X233" t="s">
        <v>8</v>
      </c>
      <c r="Y233" s="75" t="str">
        <f ca="1">IF(Table15[[#This Row],[Type]]="KILL",IF(_xlfn.NUMBERVALUE(RIGHT(Table15[[#This Row],[Min]],LEN(Table15[[#This Row],[Min]])-FIND("-",Table15[[#This Row],[Min]])))&gt;INDIRECT(ADDRESS(11+MATCH(LEFT(Table15[[#This Row],[Min]],FIND("-",Table15[[#This Row],[Min]])-1),Table1[Content Sku],0),16,1,1,"Entities")),"review","ok"),"ok")</f>
        <v>ok</v>
      </c>
      <c r="AK233" t="s">
        <v>2677</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253</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2677</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253</v>
      </c>
      <c r="F235">
        <v>4000</v>
      </c>
      <c r="G235">
        <v>0</v>
      </c>
      <c r="H235" t="s">
        <v>205</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s="75" t="str">
        <f ca="1">IF(Table15[[#This Row],[Type]]="KILL",IF(_xlfn.NUMBERVALUE(RIGHT(Table15[[#This Row],[Min]],LEN(Table15[[#This Row],[Min]])-FIND("-",Table15[[#This Row],[Min]])))&gt;INDIRECT(ADDRESS(11+MATCH(LEFT(Table15[[#This Row],[Min]],FIND("-",Table15[[#This Row],[Min]])-1),Table1[Content Sku],0),16,1,1,"Entities")),"review","ok"),"ok")</f>
        <v>ok</v>
      </c>
      <c r="AK235" t="s">
        <v>2677</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253</v>
      </c>
      <c r="F236">
        <v>0</v>
      </c>
      <c r="G236">
        <v>10000</v>
      </c>
      <c r="H236" t="s">
        <v>205</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s="75" t="str">
        <f ca="1">IF(Table15[[#This Row],[Type]]="KILL",IF(_xlfn.NUMBERVALUE(RIGHT(Table15[[#This Row],[Min]],LEN(Table15[[#This Row],[Min]])-FIND("-",Table15[[#This Row],[Min]])))&gt;INDIRECT(ADDRESS(11+MATCH(LEFT(Table15[[#This Row],[Min]],FIND("-",Table15[[#This Row],[Min]])-1),Table1[Content Sku],0),16,1,1,"Entities")),"review","ok"),"ok")</f>
        <v>ok</v>
      </c>
      <c r="AK236" t="s">
        <v>2677</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253</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2677</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253</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s="75" t="str">
        <f ca="1">IF(Table15[[#This Row],[Type]]="KILL",IF(_xlfn.NUMBERVALUE(RIGHT(Table15[[#This Row],[Min]],LEN(Table15[[#This Row],[Min]])-FIND("-",Table15[[#This Row],[Min]])))&gt;INDIRECT(ADDRESS(11+MATCH(LEFT(Table15[[#This Row],[Min]],FIND("-",Table15[[#This Row],[Min]])-1),Table1[Content Sku],0),16,1,1,"Entities")),"review","ok"),"ok")</f>
        <v>ok</v>
      </c>
      <c r="AK238" t="s">
        <v>2677</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253</v>
      </c>
      <c r="F239">
        <v>0</v>
      </c>
      <c r="G239">
        <v>30000</v>
      </c>
      <c r="H239" t="s">
        <v>205</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s="75" t="str">
        <f ca="1">IF(Table15[[#This Row],[Type]]="KILL",IF(_xlfn.NUMBERVALUE(RIGHT(Table15[[#This Row],[Min]],LEN(Table15[[#This Row],[Min]])-FIND("-",Table15[[#This Row],[Min]])))&gt;INDIRECT(ADDRESS(11+MATCH(LEFT(Table15[[#This Row],[Min]],FIND("-",Table15[[#This Row],[Min]])-1),Table1[Content Sku],0),16,1,1,"Entities")),"review","ok"),"ok")</f>
        <v>ok</v>
      </c>
      <c r="AK239" t="s">
        <v>2677</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253</v>
      </c>
      <c r="F240">
        <v>0</v>
      </c>
      <c r="G240">
        <v>25000</v>
      </c>
      <c r="H240" t="s">
        <v>205</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2677</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253</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38</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2677</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253</v>
      </c>
      <c r="F242">
        <v>0</v>
      </c>
      <c r="G242">
        <v>25000</v>
      </c>
      <c r="H242" t="s">
        <v>205</v>
      </c>
      <c r="I242" s="75" t="str">
        <f ca="1">IF(Table7[[#This Row],[Type]]="KILL",IF(_xlfn.NUMBERVALUE(RIGHT(Table7[[#This Row],[Min]],LEN(Table7[[#This Row],[Min]])-FIND("-",Table7[[#This Row],[Min]])))&gt;INDIRECT(ADDRESS(11+MATCH(LEFT(Table7[[#This Row],[Min]],FIND("-",Table7[[#This Row],[Min]])-1),Table1[Content Sku],0),14,1,1,"Entities")),"review","ok"),"ok")</f>
        <v>ok</v>
      </c>
      <c r="U242" t="s">
        <v>38</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2677</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253</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38</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2677</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253</v>
      </c>
      <c r="F244">
        <v>0</v>
      </c>
      <c r="G244">
        <v>35000</v>
      </c>
      <c r="H244" t="s">
        <v>205</v>
      </c>
      <c r="I244" s="75" t="str">
        <f ca="1">IF(Table7[[#This Row],[Type]]="KILL",IF(_xlfn.NUMBERVALUE(RIGHT(Table7[[#This Row],[Min]],LEN(Table7[[#This Row],[Min]])-FIND("-",Table7[[#This Row],[Min]])))&gt;INDIRECT(ADDRESS(11+MATCH(LEFT(Table7[[#This Row],[Min]],FIND("-",Table7[[#This Row],[Min]])-1),Table1[Content Sku],0),14,1,1,"Entities")),"review","ok"),"ok")</f>
        <v>ok</v>
      </c>
      <c r="U244" t="s">
        <v>38</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2677</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253</v>
      </c>
      <c r="F245">
        <v>0</v>
      </c>
      <c r="G245">
        <v>23000</v>
      </c>
      <c r="H245" t="s">
        <v>205</v>
      </c>
      <c r="I245" s="75" t="str">
        <f ca="1">IF(Table7[[#This Row],[Type]]="KILL",IF(_xlfn.NUMBERVALUE(RIGHT(Table7[[#This Row],[Min]],LEN(Table7[[#This Row],[Min]])-FIND("-",Table7[[#This Row],[Min]])))&gt;INDIRECT(ADDRESS(11+MATCH(LEFT(Table7[[#This Row],[Min]],FIND("-",Table7[[#This Row],[Min]])-1),Table1[Content Sku],0),14,1,1,"Entities")),"review","ok"),"ok")</f>
        <v>ok</v>
      </c>
      <c r="U245" t="s">
        <v>38</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2685</v>
      </c>
      <c r="AL245">
        <v>32000</v>
      </c>
      <c r="AM245">
        <v>0</v>
      </c>
      <c r="AN245" t="s">
        <v>205</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253</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38</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2685</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253</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2685</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253</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2685</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253</v>
      </c>
      <c r="F249">
        <v>25500</v>
      </c>
      <c r="G249">
        <v>0</v>
      </c>
      <c r="H249" t="s">
        <v>205</v>
      </c>
      <c r="I249" s="75" t="str">
        <f ca="1">IF(Table7[[#This Row],[Type]]="KILL",IF(_xlfn.NUMBERVALUE(RIGHT(Table7[[#This Row],[Min]],LEN(Table7[[#This Row],[Min]])-FIND("-",Table7[[#This Row],[Min]])))&gt;INDIRECT(ADDRESS(11+MATCH(LEFT(Table7[[#This Row],[Min]],FIND("-",Table7[[#This Row],[Min]])-1),Table1[Content Sku],0),14,1,1,"Entities")),"review","ok"),"ok")</f>
        <v>ok</v>
      </c>
      <c r="U249" t="s">
        <v>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2685</v>
      </c>
      <c r="AL249">
        <v>33000</v>
      </c>
      <c r="AM249">
        <v>0</v>
      </c>
      <c r="AN249" t="s">
        <v>205</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253</v>
      </c>
      <c r="F250">
        <v>0</v>
      </c>
      <c r="G250">
        <v>0</v>
      </c>
      <c r="H250" t="s">
        <v>8</v>
      </c>
      <c r="I250" s="75" t="str">
        <f ca="1">IF(Table7[[#This Row],[Type]]="KILL",IF(_xlfn.NUMBERVALUE(RIGHT(Table7[[#This Row],[Min]],LEN(Table7[[#This Row],[Min]])-FIND("-",Table7[[#This Row],[Min]])))&gt;INDIRECT(ADDRESS(11+MATCH(LEFT(Table7[[#This Row],[Min]],FIND("-",Table7[[#This Row],[Min]])-1),Table1[Content Sku],0),14,1,1,"Entities")),"review","ok"),"ok")</f>
        <v>ok</v>
      </c>
      <c r="U250" t="s">
        <v>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95</v>
      </c>
      <c r="AL250">
        <v>0</v>
      </c>
      <c r="AM250">
        <v>27000</v>
      </c>
      <c r="AN250" t="s">
        <v>205</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253</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95</v>
      </c>
      <c r="AL251">
        <v>32000</v>
      </c>
      <c r="AM251">
        <v>0</v>
      </c>
      <c r="AN251" t="s">
        <v>205</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253</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95</v>
      </c>
      <c r="AL252">
        <v>0</v>
      </c>
      <c r="AM252">
        <v>34000</v>
      </c>
      <c r="AN252" t="s">
        <v>205</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253</v>
      </c>
      <c r="F253">
        <v>0</v>
      </c>
      <c r="G253">
        <v>14000</v>
      </c>
      <c r="H253" t="s">
        <v>205</v>
      </c>
      <c r="I253" s="75" t="str">
        <f ca="1">IF(Table7[[#This Row],[Type]]="KILL",IF(_xlfn.NUMBERVALUE(RIGHT(Table7[[#This Row],[Min]],LEN(Table7[[#This Row],[Min]])-FIND("-",Table7[[#This Row],[Min]])))&gt;INDIRECT(ADDRESS(11+MATCH(LEFT(Table7[[#This Row],[Min]],FIND("-",Table7[[#This Row],[Min]])-1),Table1[Content Sku],0),14,1,1,"Entities")),"review","ok"),"ok")</f>
        <v>ok</v>
      </c>
      <c r="U253" t="s">
        <v>21</v>
      </c>
      <c r="V253">
        <v>0</v>
      </c>
      <c r="W253">
        <v>46000</v>
      </c>
      <c r="X253" t="s">
        <v>205</v>
      </c>
      <c r="Y253" s="75" t="str">
        <f ca="1">IF(Table15[[#This Row],[Type]]="KILL",IF(_xlfn.NUMBERVALUE(RIGHT(Table15[[#This Row],[Min]],LEN(Table15[[#This Row],[Min]])-FIND("-",Table15[[#This Row],[Min]])))&gt;INDIRECT(ADDRESS(11+MATCH(LEFT(Table15[[#This Row],[Min]],FIND("-",Table15[[#This Row],[Min]])-1),Table1[Content Sku],0),16,1,1,"Entities")),"review","ok"),"ok")</f>
        <v>ok</v>
      </c>
      <c r="AK253" t="s">
        <v>95</v>
      </c>
      <c r="AL253">
        <v>15000</v>
      </c>
      <c r="AM253">
        <v>0</v>
      </c>
      <c r="AN253" t="s">
        <v>205</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253</v>
      </c>
      <c r="F254">
        <v>0</v>
      </c>
      <c r="G254">
        <v>25000</v>
      </c>
      <c r="H254" t="s">
        <v>205</v>
      </c>
      <c r="I254" s="75" t="str">
        <f ca="1">IF(Table7[[#This Row],[Type]]="KILL",IF(_xlfn.NUMBERVALUE(RIGHT(Table7[[#This Row],[Min]],LEN(Table7[[#This Row],[Min]])-FIND("-",Table7[[#This Row],[Min]])))&gt;INDIRECT(ADDRESS(11+MATCH(LEFT(Table7[[#This Row],[Min]],FIND("-",Table7[[#This Row],[Min]])-1),Table1[Content Sku],0),14,1,1,"Entities")),"review","ok"),"ok")</f>
        <v>ok</v>
      </c>
      <c r="U254" t="s">
        <v>21</v>
      </c>
      <c r="V254">
        <v>0</v>
      </c>
      <c r="W254">
        <v>46000</v>
      </c>
      <c r="X254" t="s">
        <v>205</v>
      </c>
      <c r="Y254" s="75" t="str">
        <f ca="1">IF(Table15[[#This Row],[Type]]="KILL",IF(_xlfn.NUMBERVALUE(RIGHT(Table15[[#This Row],[Min]],LEN(Table15[[#This Row],[Min]])-FIND("-",Table15[[#This Row],[Min]])))&gt;INDIRECT(ADDRESS(11+MATCH(LEFT(Table15[[#This Row],[Min]],FIND("-",Table15[[#This Row],[Min]])-1),Table1[Content Sku],0),16,1,1,"Entities")),"review","ok"),"ok")</f>
        <v>ok</v>
      </c>
      <c r="AK254" t="s">
        <v>95</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253</v>
      </c>
      <c r="F255">
        <v>8000</v>
      </c>
      <c r="G255">
        <v>0</v>
      </c>
      <c r="H255" t="s">
        <v>205</v>
      </c>
      <c r="I255" s="75" t="str">
        <f ca="1">IF(Table7[[#This Row],[Type]]="KILL",IF(_xlfn.NUMBERVALUE(RIGHT(Table7[[#This Row],[Min]],LEN(Table7[[#This Row],[Min]])-FIND("-",Table7[[#This Row],[Min]])))&gt;INDIRECT(ADDRESS(11+MATCH(LEFT(Table7[[#This Row],[Min]],FIND("-",Table7[[#This Row],[Min]])-1),Table1[Content Sku],0),14,1,1,"Entities")),"review","ok"),"ok")</f>
        <v>ok</v>
      </c>
      <c r="U255" t="s">
        <v>21</v>
      </c>
      <c r="V255">
        <v>0</v>
      </c>
      <c r="W255">
        <v>0</v>
      </c>
      <c r="X255" t="s">
        <v>8</v>
      </c>
      <c r="Y255" s="75" t="str">
        <f ca="1">IF(Table15[[#This Row],[Type]]="KILL",IF(_xlfn.NUMBERVALUE(RIGHT(Table15[[#This Row],[Min]],LEN(Table15[[#This Row],[Min]])-FIND("-",Table15[[#This Row],[Min]])))&gt;INDIRECT(ADDRESS(11+MATCH(LEFT(Table15[[#This Row],[Min]],FIND("-",Table15[[#This Row],[Min]])-1),Table1[Content Sku],0),16,1,1,"Entities")),"review","ok"),"ok")</f>
        <v>ok</v>
      </c>
      <c r="AK255" t="s">
        <v>95</v>
      </c>
      <c r="AL255">
        <v>39000</v>
      </c>
      <c r="AM255">
        <v>49000</v>
      </c>
      <c r="AN255" t="s">
        <v>205</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253</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21</v>
      </c>
      <c r="V256">
        <v>0</v>
      </c>
      <c r="W256">
        <v>0</v>
      </c>
      <c r="X256" t="s">
        <v>8</v>
      </c>
      <c r="Y256" s="75" t="str">
        <f ca="1">IF(Table15[[#This Row],[Type]]="KILL",IF(_xlfn.NUMBERVALUE(RIGHT(Table15[[#This Row],[Min]],LEN(Table15[[#This Row],[Min]])-FIND("-",Table15[[#This Row],[Min]])))&gt;INDIRECT(ADDRESS(11+MATCH(LEFT(Table15[[#This Row],[Min]],FIND("-",Table15[[#This Row],[Min]])-1),Table1[Content Sku],0),16,1,1,"Entities")),"review","ok"),"ok")</f>
        <v>ok</v>
      </c>
      <c r="AK256" t="s">
        <v>95</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253</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21</v>
      </c>
      <c r="V257">
        <v>0</v>
      </c>
      <c r="W257">
        <v>0</v>
      </c>
      <c r="X257" t="s">
        <v>8</v>
      </c>
      <c r="Y257" s="75" t="str">
        <f ca="1">IF(Table15[[#This Row],[Type]]="KILL",IF(_xlfn.NUMBERVALUE(RIGHT(Table15[[#This Row],[Min]],LEN(Table15[[#This Row],[Min]])-FIND("-",Table15[[#This Row],[Min]])))&gt;INDIRECT(ADDRESS(11+MATCH(LEFT(Table15[[#This Row],[Min]],FIND("-",Table15[[#This Row],[Min]])-1),Table1[Content Sku],0),16,1,1,"Entities")),"review","ok"),"ok")</f>
        <v>ok</v>
      </c>
      <c r="AK257" t="s">
        <v>95</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253</v>
      </c>
      <c r="F258">
        <v>0</v>
      </c>
      <c r="G258">
        <v>0</v>
      </c>
      <c r="H258" t="s">
        <v>8</v>
      </c>
      <c r="I258" s="75" t="str">
        <f ca="1">IF(Table7[[#This Row],[Type]]="KILL",IF(_xlfn.NUMBERVALUE(RIGHT(Table7[[#This Row],[Min]],LEN(Table7[[#This Row],[Min]])-FIND("-",Table7[[#This Row],[Min]])))&gt;INDIRECT(ADDRESS(11+MATCH(LEFT(Table7[[#This Row],[Min]],FIND("-",Table7[[#This Row],[Min]])-1),Table1[Content Sku],0),14,1,1,"Entities")),"review","ok"),"ok")</f>
        <v>ok</v>
      </c>
      <c r="U258" t="s">
        <v>21</v>
      </c>
      <c r="V258">
        <v>24000</v>
      </c>
      <c r="W258">
        <v>0</v>
      </c>
      <c r="X258" t="s">
        <v>205</v>
      </c>
      <c r="Y258" s="75" t="str">
        <f ca="1">IF(Table15[[#This Row],[Type]]="KILL",IF(_xlfn.NUMBERVALUE(RIGHT(Table15[[#This Row],[Min]],LEN(Table15[[#This Row],[Min]])-FIND("-",Table15[[#This Row],[Min]])))&gt;INDIRECT(ADDRESS(11+MATCH(LEFT(Table15[[#This Row],[Min]],FIND("-",Table15[[#This Row],[Min]])-1),Table1[Content Sku],0),16,1,1,"Entities")),"review","ok"),"ok")</f>
        <v>ok</v>
      </c>
      <c r="AK258" t="s">
        <v>95</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253</v>
      </c>
      <c r="F259">
        <v>0</v>
      </c>
      <c r="G259">
        <v>16000</v>
      </c>
      <c r="H259" t="s">
        <v>205</v>
      </c>
      <c r="I259" s="75" t="str">
        <f ca="1">IF(Table7[[#This Row],[Type]]="KILL",IF(_xlfn.NUMBERVALUE(RIGHT(Table7[[#This Row],[Min]],LEN(Table7[[#This Row],[Min]])-FIND("-",Table7[[#This Row],[Min]])))&gt;INDIRECT(ADDRESS(11+MATCH(LEFT(Table7[[#This Row],[Min]],FIND("-",Table7[[#This Row],[Min]])-1),Table1[Content Sku],0),14,1,1,"Entities")),"review","ok"),"ok")</f>
        <v>ok</v>
      </c>
      <c r="U259" t="s">
        <v>21</v>
      </c>
      <c r="V259">
        <v>0</v>
      </c>
      <c r="W259">
        <v>0</v>
      </c>
      <c r="X259" t="s">
        <v>8</v>
      </c>
      <c r="Y259" s="75" t="str">
        <f ca="1">IF(Table15[[#This Row],[Type]]="KILL",IF(_xlfn.NUMBERVALUE(RIGHT(Table15[[#This Row],[Min]],LEN(Table15[[#This Row],[Min]])-FIND("-",Table15[[#This Row],[Min]])))&gt;INDIRECT(ADDRESS(11+MATCH(LEFT(Table15[[#This Row],[Min]],FIND("-",Table15[[#This Row],[Min]])-1),Table1[Content Sku],0),16,1,1,"Entities")),"review","ok"),"ok")</f>
        <v>ok</v>
      </c>
      <c r="AK259" t="s">
        <v>95</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253</v>
      </c>
      <c r="F260">
        <v>0</v>
      </c>
      <c r="G260">
        <v>0</v>
      </c>
      <c r="H260" t="s">
        <v>8</v>
      </c>
      <c r="I260" s="75" t="str">
        <f ca="1">IF(Table7[[#This Row],[Type]]="KILL",IF(_xlfn.NUMBERVALUE(RIGHT(Table7[[#This Row],[Min]],LEN(Table7[[#This Row],[Min]])-FIND("-",Table7[[#This Row],[Min]])))&gt;INDIRECT(ADDRESS(11+MATCH(LEFT(Table7[[#This Row],[Min]],FIND("-",Table7[[#This Row],[Min]])-1),Table1[Content Sku],0),14,1,1,"Entities")),"review","ok"),"ok")</f>
        <v>ok</v>
      </c>
      <c r="U260" t="s">
        <v>21</v>
      </c>
      <c r="V260">
        <v>0</v>
      </c>
      <c r="W260">
        <v>0</v>
      </c>
      <c r="X260" t="s">
        <v>8</v>
      </c>
      <c r="Y260" s="75" t="str">
        <f ca="1">IF(Table15[[#This Row],[Type]]="KILL",IF(_xlfn.NUMBERVALUE(RIGHT(Table15[[#This Row],[Min]],LEN(Table15[[#This Row],[Min]])-FIND("-",Table15[[#This Row],[Min]])))&gt;INDIRECT(ADDRESS(11+MATCH(LEFT(Table15[[#This Row],[Min]],FIND("-",Table15[[#This Row],[Min]])-1),Table1[Content Sku],0),16,1,1,"Entities")),"review","ok"),"ok")</f>
        <v>ok</v>
      </c>
      <c r="AK260" t="s">
        <v>95</v>
      </c>
      <c r="AL260">
        <v>0</v>
      </c>
      <c r="AM260">
        <v>19000</v>
      </c>
      <c r="AN260" t="s">
        <v>205</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253</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21</v>
      </c>
      <c r="V261">
        <v>0</v>
      </c>
      <c r="W261">
        <v>0</v>
      </c>
      <c r="X261" t="s">
        <v>8</v>
      </c>
      <c r="Y261" s="75" t="str">
        <f ca="1">IF(Table15[[#This Row],[Type]]="KILL",IF(_xlfn.NUMBERVALUE(RIGHT(Table15[[#This Row],[Min]],LEN(Table15[[#This Row],[Min]])-FIND("-",Table15[[#This Row],[Min]])))&gt;INDIRECT(ADDRESS(11+MATCH(LEFT(Table15[[#This Row],[Min]],FIND("-",Table15[[#This Row],[Min]])-1),Table1[Content Sku],0),16,1,1,"Entities")),"review","ok"),"ok")</f>
        <v>ok</v>
      </c>
      <c r="AK261" t="s">
        <v>95</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253</v>
      </c>
      <c r="F262">
        <v>8000</v>
      </c>
      <c r="G262">
        <v>0</v>
      </c>
      <c r="H262" t="s">
        <v>205</v>
      </c>
      <c r="I262" s="75"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95</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253</v>
      </c>
      <c r="F263">
        <v>0</v>
      </c>
      <c r="G263">
        <v>20000</v>
      </c>
      <c r="H263" t="s">
        <v>205</v>
      </c>
      <c r="I263" s="75" t="str">
        <f ca="1">IF(Table7[[#This Row],[Type]]="KILL",IF(_xlfn.NUMBERVALUE(RIGHT(Table7[[#This Row],[Min]],LEN(Table7[[#This Row],[Min]])-FIND("-",Table7[[#This Row],[Min]])))&gt;INDIRECT(ADDRESS(11+MATCH(LEFT(Table7[[#This Row],[Min]],FIND("-",Table7[[#This Row],[Min]])-1),Table1[Content Sku],0),14,1,1,"Entities")),"review","ok"),"ok")</f>
        <v>ok</v>
      </c>
      <c r="U263" t="s">
        <v>21</v>
      </c>
      <c r="V263">
        <v>65000</v>
      </c>
      <c r="W263">
        <v>0</v>
      </c>
      <c r="X263" t="s">
        <v>205</v>
      </c>
      <c r="Y263" s="75" t="str">
        <f ca="1">IF(Table15[[#This Row],[Type]]="KILL",IF(_xlfn.NUMBERVALUE(RIGHT(Table15[[#This Row],[Min]],LEN(Table15[[#This Row],[Min]])-FIND("-",Table15[[#This Row],[Min]])))&gt;INDIRECT(ADDRESS(11+MATCH(LEFT(Table15[[#This Row],[Min]],FIND("-",Table15[[#This Row],[Min]])-1),Table1[Content Sku],0),16,1,1,"Entities")),"review","ok"),"ok")</f>
        <v>ok</v>
      </c>
      <c r="AK263" t="s">
        <v>95</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253</v>
      </c>
      <c r="F264">
        <v>0</v>
      </c>
      <c r="G264">
        <v>30000</v>
      </c>
      <c r="H264" t="s">
        <v>205</v>
      </c>
      <c r="I264" s="75" t="str">
        <f ca="1">IF(Table7[[#This Row],[Type]]="KILL",IF(_xlfn.NUMBERVALUE(RIGHT(Table7[[#This Row],[Min]],LEN(Table7[[#This Row],[Min]])-FIND("-",Table7[[#This Row],[Min]])))&gt;INDIRECT(ADDRESS(11+MATCH(LEFT(Table7[[#This Row],[Min]],FIND("-",Table7[[#This Row],[Min]])-1),Table1[Content Sku],0),14,1,1,"Entities")),"review","ok"),"ok")</f>
        <v>ok</v>
      </c>
      <c r="U264" t="s">
        <v>21</v>
      </c>
      <c r="V264">
        <v>240</v>
      </c>
      <c r="W264">
        <v>0</v>
      </c>
      <c r="X264" t="s">
        <v>4439</v>
      </c>
      <c r="Y264" s="75" t="str">
        <f ca="1">IF(Table15[[#This Row],[Type]]="KILL",IF(_xlfn.NUMBERVALUE(RIGHT(Table15[[#This Row],[Min]],LEN(Table15[[#This Row],[Min]])-FIND("-",Table15[[#This Row],[Min]])))&gt;INDIRECT(ADDRESS(11+MATCH(LEFT(Table15[[#This Row],[Min]],FIND("-",Table15[[#This Row],[Min]])-1),Table1[Content Sku],0),16,1,1,"Entities")),"review","ok"),"ok")</f>
        <v>ok</v>
      </c>
      <c r="AK264" t="s">
        <v>95</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254</v>
      </c>
      <c r="F265">
        <v>0</v>
      </c>
      <c r="G265">
        <v>13000</v>
      </c>
      <c r="H265" t="s">
        <v>205</v>
      </c>
      <c r="I265" s="75"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95</v>
      </c>
      <c r="AL265">
        <v>0</v>
      </c>
      <c r="AM265">
        <v>36000</v>
      </c>
      <c r="AN265" t="s">
        <v>205</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254</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21</v>
      </c>
      <c r="V266">
        <v>0</v>
      </c>
      <c r="W266">
        <v>0</v>
      </c>
      <c r="X266" t="s">
        <v>8</v>
      </c>
      <c r="Y266" s="75" t="str">
        <f ca="1">IF(Table15[[#This Row],[Type]]="KILL",IF(_xlfn.NUMBERVALUE(RIGHT(Table15[[#This Row],[Min]],LEN(Table15[[#This Row],[Min]])-FIND("-",Table15[[#This Row],[Min]])))&gt;INDIRECT(ADDRESS(11+MATCH(LEFT(Table15[[#This Row],[Min]],FIND("-",Table15[[#This Row],[Min]])-1),Table1[Content Sku],0),16,1,1,"Entities")),"review","ok"),"ok")</f>
        <v>ok</v>
      </c>
      <c r="AK266" t="s">
        <v>95</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254</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21</v>
      </c>
      <c r="V267">
        <v>27000</v>
      </c>
      <c r="W267">
        <v>0</v>
      </c>
      <c r="X267" t="s">
        <v>205</v>
      </c>
      <c r="Y267" s="75" t="str">
        <f ca="1">IF(Table15[[#This Row],[Type]]="KILL",IF(_xlfn.NUMBERVALUE(RIGHT(Table15[[#This Row],[Min]],LEN(Table15[[#This Row],[Min]])-FIND("-",Table15[[#This Row],[Min]])))&gt;INDIRECT(ADDRESS(11+MATCH(LEFT(Table15[[#This Row],[Min]],FIND("-",Table15[[#This Row],[Min]])-1),Table1[Content Sku],0),16,1,1,"Entities")),"review","ok"),"ok")</f>
        <v>ok</v>
      </c>
      <c r="AK267" t="s">
        <v>95</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254</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21</v>
      </c>
      <c r="V268">
        <v>80000</v>
      </c>
      <c r="W268">
        <v>0</v>
      </c>
      <c r="X268" t="s">
        <v>205</v>
      </c>
      <c r="Y268" s="75" t="str">
        <f ca="1">IF(Table15[[#This Row],[Type]]="KILL",IF(_xlfn.NUMBERVALUE(RIGHT(Table15[[#This Row],[Min]],LEN(Table15[[#This Row],[Min]])-FIND("-",Table15[[#This Row],[Min]])))&gt;INDIRECT(ADDRESS(11+MATCH(LEFT(Table15[[#This Row],[Min]],FIND("-",Table15[[#This Row],[Min]])-1),Table1[Content Sku],0),16,1,1,"Entities")),"review","ok"),"ok")</f>
        <v>ok</v>
      </c>
      <c r="AK268" t="s">
        <v>95</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254</v>
      </c>
      <c r="F269">
        <v>3700</v>
      </c>
      <c r="G269">
        <v>0</v>
      </c>
      <c r="H269" t="s">
        <v>205</v>
      </c>
      <c r="I269" s="75" t="str">
        <f ca="1">IF(Table7[[#This Row],[Type]]="KILL",IF(_xlfn.NUMBERVALUE(RIGHT(Table7[[#This Row],[Min]],LEN(Table7[[#This Row],[Min]])-FIND("-",Table7[[#This Row],[Min]])))&gt;INDIRECT(ADDRESS(11+MATCH(LEFT(Table7[[#This Row],[Min]],FIND("-",Table7[[#This Row],[Min]])-1),Table1[Content Sku],0),14,1,1,"Entities")),"review","ok"),"ok")</f>
        <v>ok</v>
      </c>
      <c r="U269" t="s">
        <v>21</v>
      </c>
      <c r="V269">
        <v>0</v>
      </c>
      <c r="W269">
        <v>0</v>
      </c>
      <c r="X269" t="s">
        <v>8</v>
      </c>
      <c r="Y269" s="75" t="str">
        <f ca="1">IF(Table15[[#This Row],[Type]]="KILL",IF(_xlfn.NUMBERVALUE(RIGHT(Table15[[#This Row],[Min]],LEN(Table15[[#This Row],[Min]])-FIND("-",Table15[[#This Row],[Min]])))&gt;INDIRECT(ADDRESS(11+MATCH(LEFT(Table15[[#This Row],[Min]],FIND("-",Table15[[#This Row],[Min]])-1),Table1[Content Sku],0),16,1,1,"Entities")),"review","ok"),"ok")</f>
        <v>ok</v>
      </c>
      <c r="AK269" t="s">
        <v>95</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254</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21</v>
      </c>
      <c r="V270">
        <v>340</v>
      </c>
      <c r="W270">
        <v>0</v>
      </c>
      <c r="X270" t="s">
        <v>4439</v>
      </c>
      <c r="Y270" s="75" t="str">
        <f ca="1">IF(Table15[[#This Row],[Type]]="KILL",IF(_xlfn.NUMBERVALUE(RIGHT(Table15[[#This Row],[Min]],LEN(Table15[[#This Row],[Min]])-FIND("-",Table15[[#This Row],[Min]])))&gt;INDIRECT(ADDRESS(11+MATCH(LEFT(Table15[[#This Row],[Min]],FIND("-",Table15[[#This Row],[Min]])-1),Table1[Content Sku],0),16,1,1,"Entities")),"review","ok"),"ok")</f>
        <v>ok</v>
      </c>
      <c r="AK270" t="s">
        <v>95</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254</v>
      </c>
      <c r="F271">
        <v>8000</v>
      </c>
      <c r="G271">
        <v>0</v>
      </c>
      <c r="H271" t="s">
        <v>205</v>
      </c>
      <c r="I271" s="75" t="str">
        <f ca="1">IF(Table7[[#This Row],[Type]]="KILL",IF(_xlfn.NUMBERVALUE(RIGHT(Table7[[#This Row],[Min]],LEN(Table7[[#This Row],[Min]])-FIND("-",Table7[[#This Row],[Min]])))&gt;INDIRECT(ADDRESS(11+MATCH(LEFT(Table7[[#This Row],[Min]],FIND("-",Table7[[#This Row],[Min]])-1),Table1[Content Sku],0),14,1,1,"Entities")),"review","ok"),"ok")</f>
        <v>ok</v>
      </c>
      <c r="U271" t="s">
        <v>21</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95</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254</v>
      </c>
      <c r="F272">
        <v>0</v>
      </c>
      <c r="G272">
        <v>0</v>
      </c>
      <c r="H272" t="s">
        <v>8</v>
      </c>
      <c r="I272" s="75" t="str">
        <f ca="1">IF(Table7[[#This Row],[Type]]="KILL",IF(_xlfn.NUMBERVALUE(RIGHT(Table7[[#This Row],[Min]],LEN(Table7[[#This Row],[Min]])-FIND("-",Table7[[#This Row],[Min]])))&gt;INDIRECT(ADDRESS(11+MATCH(LEFT(Table7[[#This Row],[Min]],FIND("-",Table7[[#This Row],[Min]])-1),Table1[Content Sku],0),14,1,1,"Entities")),"review","ok"),"ok")</f>
        <v>ok</v>
      </c>
      <c r="U272" t="s">
        <v>21</v>
      </c>
      <c r="V272">
        <v>22000</v>
      </c>
      <c r="W272">
        <v>0</v>
      </c>
      <c r="X272" t="s">
        <v>205</v>
      </c>
      <c r="Y272" s="75" t="str">
        <f ca="1">IF(Table15[[#This Row],[Type]]="KILL",IF(_xlfn.NUMBERVALUE(RIGHT(Table15[[#This Row],[Min]],LEN(Table15[[#This Row],[Min]])-FIND("-",Table15[[#This Row],[Min]])))&gt;INDIRECT(ADDRESS(11+MATCH(LEFT(Table15[[#This Row],[Min]],FIND("-",Table15[[#This Row],[Min]])-1),Table1[Content Sku],0),16,1,1,"Entities")),"review","ok"),"ok")</f>
        <v>ok</v>
      </c>
      <c r="AK272" t="s">
        <v>95</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254</v>
      </c>
      <c r="F273">
        <v>0</v>
      </c>
      <c r="G273">
        <v>17000</v>
      </c>
      <c r="H273" t="s">
        <v>205</v>
      </c>
      <c r="I273" s="75" t="str">
        <f ca="1">IF(Table7[[#This Row],[Type]]="KILL",IF(_xlfn.NUMBERVALUE(RIGHT(Table7[[#This Row],[Min]],LEN(Table7[[#This Row],[Min]])-FIND("-",Table7[[#This Row],[Min]])))&gt;INDIRECT(ADDRESS(11+MATCH(LEFT(Table7[[#This Row],[Min]],FIND("-",Table7[[#This Row],[Min]])-1),Table1[Content Sku],0),14,1,1,"Entities")),"review","ok"),"ok")</f>
        <v>ok</v>
      </c>
      <c r="U273" t="s">
        <v>361</v>
      </c>
      <c r="V273">
        <v>240</v>
      </c>
      <c r="W273">
        <v>0</v>
      </c>
      <c r="X273" t="s">
        <v>4439</v>
      </c>
      <c r="Y273" s="75" t="str">
        <f ca="1">IF(Table15[[#This Row],[Type]]="KILL",IF(_xlfn.NUMBERVALUE(RIGHT(Table15[[#This Row],[Min]],LEN(Table15[[#This Row],[Min]])-FIND("-",Table15[[#This Row],[Min]])))&gt;INDIRECT(ADDRESS(11+MATCH(LEFT(Table15[[#This Row],[Min]],FIND("-",Table15[[#This Row],[Min]])-1),Table1[Content Sku],0),16,1,1,"Entities")),"review","ok"),"ok")</f>
        <v>ok</v>
      </c>
      <c r="AK273" t="s">
        <v>95</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254</v>
      </c>
      <c r="F274">
        <v>6000</v>
      </c>
      <c r="G274">
        <v>0</v>
      </c>
      <c r="H274" t="s">
        <v>205</v>
      </c>
      <c r="I274" s="75" t="str">
        <f ca="1">IF(Table7[[#This Row],[Type]]="KILL",IF(_xlfn.NUMBERVALUE(RIGHT(Table7[[#This Row],[Min]],LEN(Table7[[#This Row],[Min]])-FIND("-",Table7[[#This Row],[Min]])))&gt;INDIRECT(ADDRESS(11+MATCH(LEFT(Table7[[#This Row],[Min]],FIND("-",Table7[[#This Row],[Min]])-1),Table1[Content Sku],0),14,1,1,"Entities")),"review","ok"),"ok")</f>
        <v>ok</v>
      </c>
      <c r="U274" t="s">
        <v>253</v>
      </c>
      <c r="V274">
        <v>0</v>
      </c>
      <c r="W274">
        <v>0</v>
      </c>
      <c r="X274" t="s">
        <v>8</v>
      </c>
      <c r="Y274" s="75" t="str">
        <f ca="1">IF(Table15[[#This Row],[Type]]="KILL",IF(_xlfn.NUMBERVALUE(RIGHT(Table15[[#This Row],[Min]],LEN(Table15[[#This Row],[Min]])-FIND("-",Table15[[#This Row],[Min]])))&gt;INDIRECT(ADDRESS(11+MATCH(LEFT(Table15[[#This Row],[Min]],FIND("-",Table15[[#This Row],[Min]])-1),Table1[Content Sku],0),16,1,1,"Entities")),"review","ok"),"ok")</f>
        <v>ok</v>
      </c>
      <c r="AK274" t="s">
        <v>95</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254</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253</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95</v>
      </c>
      <c r="AL275">
        <v>35000</v>
      </c>
      <c r="AM275">
        <v>0</v>
      </c>
      <c r="AN275" t="s">
        <v>205</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254</v>
      </c>
      <c r="F276">
        <v>8000</v>
      </c>
      <c r="G276">
        <v>0</v>
      </c>
      <c r="H276" t="s">
        <v>205</v>
      </c>
      <c r="I276" s="75" t="str">
        <f ca="1">IF(Table7[[#This Row],[Type]]="KILL",IF(_xlfn.NUMBERVALUE(RIGHT(Table7[[#This Row],[Min]],LEN(Table7[[#This Row],[Min]])-FIND("-",Table7[[#This Row],[Min]])))&gt;INDIRECT(ADDRESS(11+MATCH(LEFT(Table7[[#This Row],[Min]],FIND("-",Table7[[#This Row],[Min]])-1),Table1[Content Sku],0),14,1,1,"Entities")),"review","ok"),"ok")</f>
        <v>ok</v>
      </c>
      <c r="U276" t="s">
        <v>253</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95</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254</v>
      </c>
      <c r="F277">
        <v>1400</v>
      </c>
      <c r="G277">
        <v>0</v>
      </c>
      <c r="H277" t="s">
        <v>205</v>
      </c>
      <c r="I277" s="75" t="str">
        <f ca="1">IF(Table7[[#This Row],[Type]]="KILL",IF(_xlfn.NUMBERVALUE(RIGHT(Table7[[#This Row],[Min]],LEN(Table7[[#This Row],[Min]])-FIND("-",Table7[[#This Row],[Min]])))&gt;INDIRECT(ADDRESS(11+MATCH(LEFT(Table7[[#This Row],[Min]],FIND("-",Table7[[#This Row],[Min]])-1),Table1[Content Sku],0),14,1,1,"Entities")),"review","ok"),"ok")</f>
        <v>ok</v>
      </c>
      <c r="U277" t="s">
        <v>253</v>
      </c>
      <c r="V277">
        <v>0</v>
      </c>
      <c r="W277">
        <v>0</v>
      </c>
      <c r="X277" t="s">
        <v>8</v>
      </c>
      <c r="Y277" s="75" t="str">
        <f ca="1">IF(Table15[[#This Row],[Type]]="KILL",IF(_xlfn.NUMBERVALUE(RIGHT(Table15[[#This Row],[Min]],LEN(Table15[[#This Row],[Min]])-FIND("-",Table15[[#This Row],[Min]])))&gt;INDIRECT(ADDRESS(11+MATCH(LEFT(Table15[[#This Row],[Min]],FIND("-",Table15[[#This Row],[Min]])-1),Table1[Content Sku],0),16,1,1,"Entities")),"review","ok"),"ok")</f>
        <v>ok</v>
      </c>
      <c r="AK277" t="s">
        <v>95</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254</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253</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95</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254</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253</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95</v>
      </c>
      <c r="AL279">
        <v>0</v>
      </c>
      <c r="AM279">
        <v>23000</v>
      </c>
      <c r="AN279" t="s">
        <v>205</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254</v>
      </c>
      <c r="F280">
        <v>0</v>
      </c>
      <c r="G280">
        <v>5000</v>
      </c>
      <c r="H280" t="s">
        <v>205</v>
      </c>
      <c r="I280" s="75" t="str">
        <f ca="1">IF(Table7[[#This Row],[Type]]="KILL",IF(_xlfn.NUMBERVALUE(RIGHT(Table7[[#This Row],[Min]],LEN(Table7[[#This Row],[Min]])-FIND("-",Table7[[#This Row],[Min]])))&gt;INDIRECT(ADDRESS(11+MATCH(LEFT(Table7[[#This Row],[Min]],FIND("-",Table7[[#This Row],[Min]])-1),Table1[Content Sku],0),14,1,1,"Entities")),"review","ok"),"ok")</f>
        <v>ok</v>
      </c>
      <c r="U280" t="s">
        <v>253</v>
      </c>
      <c r="V280">
        <v>0</v>
      </c>
      <c r="W280">
        <v>0</v>
      </c>
      <c r="X280" t="s">
        <v>8</v>
      </c>
      <c r="Y280" s="75" t="str">
        <f ca="1">IF(Table15[[#This Row],[Type]]="KILL",IF(_xlfn.NUMBERVALUE(RIGHT(Table15[[#This Row],[Min]],LEN(Table15[[#This Row],[Min]])-FIND("-",Table15[[#This Row],[Min]])))&gt;INDIRECT(ADDRESS(11+MATCH(LEFT(Table15[[#This Row],[Min]],FIND("-",Table15[[#This Row],[Min]])-1),Table1[Content Sku],0),16,1,1,"Entities")),"review","ok"),"ok")</f>
        <v>ok</v>
      </c>
      <c r="AK280" t="s">
        <v>95</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254</v>
      </c>
      <c r="F281">
        <v>0</v>
      </c>
      <c r="G281">
        <v>0</v>
      </c>
      <c r="H281" t="s">
        <v>8</v>
      </c>
      <c r="I281" s="75" t="str">
        <f ca="1">IF(Table7[[#This Row],[Type]]="KILL",IF(_xlfn.NUMBERVALUE(RIGHT(Table7[[#This Row],[Min]],LEN(Table7[[#This Row],[Min]])-FIND("-",Table7[[#This Row],[Min]])))&gt;INDIRECT(ADDRESS(11+MATCH(LEFT(Table7[[#This Row],[Min]],FIND("-",Table7[[#This Row],[Min]])-1),Table1[Content Sku],0),14,1,1,"Entities")),"review","ok"),"ok")</f>
        <v>ok</v>
      </c>
      <c r="U281" t="s">
        <v>253</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95</v>
      </c>
      <c r="AL281">
        <v>0</v>
      </c>
      <c r="AM281">
        <v>31000</v>
      </c>
      <c r="AN281" t="s">
        <v>205</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254</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253</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95</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254</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253</v>
      </c>
      <c r="V283">
        <v>0</v>
      </c>
      <c r="W283">
        <v>0</v>
      </c>
      <c r="X283" t="s">
        <v>8</v>
      </c>
      <c r="Y283" s="75" t="str">
        <f ca="1">IF(Table15[[#This Row],[Type]]="KILL",IF(_xlfn.NUMBERVALUE(RIGHT(Table15[[#This Row],[Min]],LEN(Table15[[#This Row],[Min]])-FIND("-",Table15[[#This Row],[Min]])))&gt;INDIRECT(ADDRESS(11+MATCH(LEFT(Table15[[#This Row],[Min]],FIND("-",Table15[[#This Row],[Min]])-1),Table1[Content Sku],0),16,1,1,"Entities")),"review","ok"),"ok")</f>
        <v>ok</v>
      </c>
      <c r="AK283" t="s">
        <v>95</v>
      </c>
      <c r="AL283">
        <v>0</v>
      </c>
      <c r="AM283">
        <v>31000</v>
      </c>
      <c r="AN283" t="s">
        <v>205</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254</v>
      </c>
      <c r="F284">
        <v>0</v>
      </c>
      <c r="G284">
        <v>0</v>
      </c>
      <c r="H284" t="s">
        <v>8</v>
      </c>
      <c r="I284" s="75" t="str">
        <f ca="1">IF(Table7[[#This Row],[Type]]="KILL",IF(_xlfn.NUMBERVALUE(RIGHT(Table7[[#This Row],[Min]],LEN(Table7[[#This Row],[Min]])-FIND("-",Table7[[#This Row],[Min]])))&gt;INDIRECT(ADDRESS(11+MATCH(LEFT(Table7[[#This Row],[Min]],FIND("-",Table7[[#This Row],[Min]])-1),Table1[Content Sku],0),14,1,1,"Entities")),"review","ok"),"ok")</f>
        <v>ok</v>
      </c>
      <c r="U284" t="s">
        <v>253</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95</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254</v>
      </c>
      <c r="F285">
        <v>6000</v>
      </c>
      <c r="G285">
        <v>0</v>
      </c>
      <c r="H285" t="s">
        <v>205</v>
      </c>
      <c r="I285" s="75" t="str">
        <f ca="1">IF(Table7[[#This Row],[Type]]="KILL",IF(_xlfn.NUMBERVALUE(RIGHT(Table7[[#This Row],[Min]],LEN(Table7[[#This Row],[Min]])-FIND("-",Table7[[#This Row],[Min]])))&gt;INDIRECT(ADDRESS(11+MATCH(LEFT(Table7[[#This Row],[Min]],FIND("-",Table7[[#This Row],[Min]])-1),Table1[Content Sku],0),14,1,1,"Entities")),"review","ok"),"ok")</f>
        <v>ok</v>
      </c>
      <c r="U285" t="s">
        <v>253</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95</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254</v>
      </c>
      <c r="F286">
        <v>0</v>
      </c>
      <c r="G286">
        <v>17000</v>
      </c>
      <c r="H286" t="s">
        <v>205</v>
      </c>
      <c r="I286" s="75" t="str">
        <f ca="1">IF(Table7[[#This Row],[Type]]="KILL",IF(_xlfn.NUMBERVALUE(RIGHT(Table7[[#This Row],[Min]],LEN(Table7[[#This Row],[Min]])-FIND("-",Table7[[#This Row],[Min]])))&gt;INDIRECT(ADDRESS(11+MATCH(LEFT(Table7[[#This Row],[Min]],FIND("-",Table7[[#This Row],[Min]])-1),Table1[Content Sku],0),14,1,1,"Entities")),"review","ok"),"ok")</f>
        <v>ok</v>
      </c>
      <c r="U286" t="s">
        <v>253</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95</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254</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253</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95</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254</v>
      </c>
      <c r="F288">
        <v>0</v>
      </c>
      <c r="G288">
        <v>27000</v>
      </c>
      <c r="H288" t="s">
        <v>205</v>
      </c>
      <c r="I288" s="75" t="str">
        <f ca="1">IF(Table7[[#This Row],[Type]]="KILL",IF(_xlfn.NUMBERVALUE(RIGHT(Table7[[#This Row],[Min]],LEN(Table7[[#This Row],[Min]])-FIND("-",Table7[[#This Row],[Min]])))&gt;INDIRECT(ADDRESS(11+MATCH(LEFT(Table7[[#This Row],[Min]],FIND("-",Table7[[#This Row],[Min]])-1),Table1[Content Sku],0),14,1,1,"Entities")),"review","ok"),"ok")</f>
        <v>ok</v>
      </c>
      <c r="U288" t="s">
        <v>253</v>
      </c>
      <c r="V288">
        <v>0</v>
      </c>
      <c r="W288">
        <v>0</v>
      </c>
      <c r="X288" t="s">
        <v>8</v>
      </c>
      <c r="Y288" s="75" t="str">
        <f ca="1">IF(Table15[[#This Row],[Type]]="KILL",IF(_xlfn.NUMBERVALUE(RIGHT(Table15[[#This Row],[Min]],LEN(Table15[[#This Row],[Min]])-FIND("-",Table15[[#This Row],[Min]])))&gt;INDIRECT(ADDRESS(11+MATCH(LEFT(Table15[[#This Row],[Min]],FIND("-",Table15[[#This Row],[Min]])-1),Table1[Content Sku],0),16,1,1,"Entities")),"review","ok"),"ok")</f>
        <v>ok</v>
      </c>
      <c r="AK288" t="s">
        <v>95</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254</v>
      </c>
      <c r="F289">
        <v>1700</v>
      </c>
      <c r="G289">
        <v>0</v>
      </c>
      <c r="H289" t="s">
        <v>205</v>
      </c>
      <c r="I289" s="75" t="str">
        <f ca="1">IF(Table7[[#This Row],[Type]]="KILL",IF(_xlfn.NUMBERVALUE(RIGHT(Table7[[#This Row],[Min]],LEN(Table7[[#This Row],[Min]])-FIND("-",Table7[[#This Row],[Min]])))&gt;INDIRECT(ADDRESS(11+MATCH(LEFT(Table7[[#This Row],[Min]],FIND("-",Table7[[#This Row],[Min]])-1),Table1[Content Sku],0),14,1,1,"Entities")),"review","ok"),"ok")</f>
        <v>ok</v>
      </c>
      <c r="U289" t="s">
        <v>253</v>
      </c>
      <c r="V289">
        <v>0</v>
      </c>
      <c r="W289">
        <v>0</v>
      </c>
      <c r="X289" t="s">
        <v>8</v>
      </c>
      <c r="Y289" s="75" t="str">
        <f ca="1">IF(Table15[[#This Row],[Type]]="KILL",IF(_xlfn.NUMBERVALUE(RIGHT(Table15[[#This Row],[Min]],LEN(Table15[[#This Row],[Min]])-FIND("-",Table15[[#This Row],[Min]])))&gt;INDIRECT(ADDRESS(11+MATCH(LEFT(Table15[[#This Row],[Min]],FIND("-",Table15[[#This Row],[Min]])-1),Table1[Content Sku],0),16,1,1,"Entities")),"review","ok"),"ok")</f>
        <v>ok</v>
      </c>
      <c r="AK289" t="s">
        <v>95</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254</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253</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95</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254</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253</v>
      </c>
      <c r="V291">
        <v>0</v>
      </c>
      <c r="W291">
        <v>0</v>
      </c>
      <c r="X291" t="s">
        <v>8</v>
      </c>
      <c r="Y291" s="75" t="str">
        <f ca="1">IF(Table15[[#This Row],[Type]]="KILL",IF(_xlfn.NUMBERVALUE(RIGHT(Table15[[#This Row],[Min]],LEN(Table15[[#This Row],[Min]])-FIND("-",Table15[[#This Row],[Min]])))&gt;INDIRECT(ADDRESS(11+MATCH(LEFT(Table15[[#This Row],[Min]],FIND("-",Table15[[#This Row],[Min]])-1),Table1[Content Sku],0),16,1,1,"Entities")),"review","ok"),"ok")</f>
        <v>ok</v>
      </c>
      <c r="AK291" t="s">
        <v>95</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254</v>
      </c>
      <c r="F292">
        <v>0</v>
      </c>
      <c r="G292">
        <v>0</v>
      </c>
      <c r="H292" t="s">
        <v>8</v>
      </c>
      <c r="I292" s="75" t="str">
        <f ca="1">IF(Table7[[#This Row],[Type]]="KILL",IF(_xlfn.NUMBERVALUE(RIGHT(Table7[[#This Row],[Min]],LEN(Table7[[#This Row],[Min]])-FIND("-",Table7[[#This Row],[Min]])))&gt;INDIRECT(ADDRESS(11+MATCH(LEFT(Table7[[#This Row],[Min]],FIND("-",Table7[[#This Row],[Min]])-1),Table1[Content Sku],0),14,1,1,"Entities")),"review","ok"),"ok")</f>
        <v>ok</v>
      </c>
      <c r="U292" t="s">
        <v>253</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254</v>
      </c>
      <c r="F293">
        <v>0</v>
      </c>
      <c r="G293">
        <v>0</v>
      </c>
      <c r="H293" t="s">
        <v>8</v>
      </c>
      <c r="I293" s="75" t="str">
        <f ca="1">IF(Table7[[#This Row],[Type]]="KILL",IF(_xlfn.NUMBERVALUE(RIGHT(Table7[[#This Row],[Min]],LEN(Table7[[#This Row],[Min]])-FIND("-",Table7[[#This Row],[Min]])))&gt;INDIRECT(ADDRESS(11+MATCH(LEFT(Table7[[#This Row],[Min]],FIND("-",Table7[[#This Row],[Min]])-1),Table1[Content Sku],0),14,1,1,"Entities")),"review","ok"),"ok")</f>
        <v>ok</v>
      </c>
      <c r="U293" t="s">
        <v>254</v>
      </c>
      <c r="V293">
        <v>0</v>
      </c>
      <c r="W293">
        <v>0</v>
      </c>
      <c r="X293" t="s">
        <v>8</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254</v>
      </c>
      <c r="F294">
        <v>0</v>
      </c>
      <c r="G294">
        <v>20000</v>
      </c>
      <c r="H294" t="s">
        <v>205</v>
      </c>
      <c r="I294" s="75" t="str">
        <f ca="1">IF(Table7[[#This Row],[Type]]="KILL",IF(_xlfn.NUMBERVALUE(RIGHT(Table7[[#This Row],[Min]],LEN(Table7[[#This Row],[Min]])-FIND("-",Table7[[#This Row],[Min]])))&gt;INDIRECT(ADDRESS(11+MATCH(LEFT(Table7[[#This Row],[Min]],FIND("-",Table7[[#This Row],[Min]])-1),Table1[Content Sku],0),14,1,1,"Entities")),"review","ok"),"ok")</f>
        <v>ok</v>
      </c>
      <c r="U294" t="s">
        <v>254</v>
      </c>
      <c r="V294">
        <v>0</v>
      </c>
      <c r="W294">
        <v>0</v>
      </c>
      <c r="X294" t="s">
        <v>8</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254</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254</v>
      </c>
      <c r="V295">
        <v>0</v>
      </c>
      <c r="W295">
        <v>0</v>
      </c>
      <c r="X295" t="s">
        <v>8</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205</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254</v>
      </c>
      <c r="F296">
        <v>0</v>
      </c>
      <c r="G296">
        <v>13000</v>
      </c>
      <c r="H296" t="s">
        <v>205</v>
      </c>
      <c r="I296" s="75" t="str">
        <f ca="1">IF(Table7[[#This Row],[Type]]="KILL",IF(_xlfn.NUMBERVALUE(RIGHT(Table7[[#This Row],[Min]],LEN(Table7[[#This Row],[Min]])-FIND("-",Table7[[#This Row],[Min]])))&gt;INDIRECT(ADDRESS(11+MATCH(LEFT(Table7[[#This Row],[Min]],FIND("-",Table7[[#This Row],[Min]])-1),Table1[Content Sku],0),14,1,1,"Entities")),"review","ok"),"ok")</f>
        <v>ok</v>
      </c>
      <c r="U296" t="s">
        <v>254</v>
      </c>
      <c r="V296">
        <v>18100</v>
      </c>
      <c r="W296">
        <v>0</v>
      </c>
      <c r="X296" t="s">
        <v>205</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205</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254</v>
      </c>
      <c r="F297">
        <v>0</v>
      </c>
      <c r="G297">
        <v>3500</v>
      </c>
      <c r="H297" t="s">
        <v>205</v>
      </c>
      <c r="I297" s="75" t="str">
        <f ca="1">IF(Table7[[#This Row],[Type]]="KILL",IF(_xlfn.NUMBERVALUE(RIGHT(Table7[[#This Row],[Min]],LEN(Table7[[#This Row],[Min]])-FIND("-",Table7[[#This Row],[Min]])))&gt;INDIRECT(ADDRESS(11+MATCH(LEFT(Table7[[#This Row],[Min]],FIND("-",Table7[[#This Row],[Min]])-1),Table1[Content Sku],0),14,1,1,"Entities")),"review","ok"),"ok")</f>
        <v>ok</v>
      </c>
      <c r="U297" t="s">
        <v>254</v>
      </c>
      <c r="V297">
        <v>0</v>
      </c>
      <c r="W297">
        <v>0</v>
      </c>
      <c r="X297" t="s">
        <v>8</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254</v>
      </c>
      <c r="F298">
        <v>0</v>
      </c>
      <c r="G298">
        <v>9500</v>
      </c>
      <c r="H298" t="s">
        <v>205</v>
      </c>
      <c r="I298" s="75" t="str">
        <f ca="1">IF(Table7[[#This Row],[Type]]="KILL",IF(_xlfn.NUMBERVALUE(RIGHT(Table7[[#This Row],[Min]],LEN(Table7[[#This Row],[Min]])-FIND("-",Table7[[#This Row],[Min]])))&gt;INDIRECT(ADDRESS(11+MATCH(LEFT(Table7[[#This Row],[Min]],FIND("-",Table7[[#This Row],[Min]])-1),Table1[Content Sku],0),14,1,1,"Entities")),"review","ok"),"ok")</f>
        <v>ok</v>
      </c>
      <c r="U298" t="s">
        <v>254</v>
      </c>
      <c r="V298">
        <v>0</v>
      </c>
      <c r="W298">
        <v>16000</v>
      </c>
      <c r="X298" t="s">
        <v>205</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254</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254</v>
      </c>
      <c r="V299">
        <v>0</v>
      </c>
      <c r="W299">
        <v>0</v>
      </c>
      <c r="X299" t="s">
        <v>8</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4439</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254</v>
      </c>
      <c r="F300">
        <v>0</v>
      </c>
      <c r="G300">
        <v>21000</v>
      </c>
      <c r="H300" t="s">
        <v>205</v>
      </c>
      <c r="I300" s="75" t="str">
        <f ca="1">IF(Table7[[#This Row],[Type]]="KILL",IF(_xlfn.NUMBERVALUE(RIGHT(Table7[[#This Row],[Min]],LEN(Table7[[#This Row],[Min]])-FIND("-",Table7[[#This Row],[Min]])))&gt;INDIRECT(ADDRESS(11+MATCH(LEFT(Table7[[#This Row],[Min]],FIND("-",Table7[[#This Row],[Min]])-1),Table1[Content Sku],0),14,1,1,"Entities")),"review","ok"),"ok")</f>
        <v>ok</v>
      </c>
      <c r="U300" t="s">
        <v>254</v>
      </c>
      <c r="V300">
        <v>0</v>
      </c>
      <c r="W300">
        <v>0</v>
      </c>
      <c r="X300" t="s">
        <v>8</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205</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254</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254</v>
      </c>
      <c r="V301">
        <v>0</v>
      </c>
      <c r="W301">
        <v>0</v>
      </c>
      <c r="X301" t="s">
        <v>8</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205</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254</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254</v>
      </c>
      <c r="V302">
        <v>16100</v>
      </c>
      <c r="W302">
        <v>0</v>
      </c>
      <c r="X302" t="s">
        <v>205</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205</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254</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254</v>
      </c>
      <c r="V303">
        <v>0</v>
      </c>
      <c r="W303">
        <v>0</v>
      </c>
      <c r="X303" t="s">
        <v>8</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205</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254</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254</v>
      </c>
      <c r="V304">
        <v>0</v>
      </c>
      <c r="W304">
        <v>14000</v>
      </c>
      <c r="X304" t="s">
        <v>205</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4439</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254</v>
      </c>
      <c r="F305">
        <v>4000</v>
      </c>
      <c r="G305">
        <v>10000</v>
      </c>
      <c r="H305" t="s">
        <v>205</v>
      </c>
      <c r="I305" s="75" t="str">
        <f ca="1">IF(Table7[[#This Row],[Type]]="KILL",IF(_xlfn.NUMBERVALUE(RIGHT(Table7[[#This Row],[Min]],LEN(Table7[[#This Row],[Min]])-FIND("-",Table7[[#This Row],[Min]])))&gt;INDIRECT(ADDRESS(11+MATCH(LEFT(Table7[[#This Row],[Min]],FIND("-",Table7[[#This Row],[Min]])-1),Table1[Content Sku],0),14,1,1,"Entities")),"review","ok"),"ok")</f>
        <v>ok</v>
      </c>
      <c r="U305" t="s">
        <v>254</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254</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254</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205</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254</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254</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205</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254</v>
      </c>
      <c r="F308">
        <v>7000</v>
      </c>
      <c r="G308">
        <v>0</v>
      </c>
      <c r="H308" t="s">
        <v>205</v>
      </c>
      <c r="I308" s="75" t="str">
        <f ca="1">IF(Table7[[#This Row],[Type]]="KILL",IF(_xlfn.NUMBERVALUE(RIGHT(Table7[[#This Row],[Min]],LEN(Table7[[#This Row],[Min]])-FIND("-",Table7[[#This Row],[Min]])))&gt;INDIRECT(ADDRESS(11+MATCH(LEFT(Table7[[#This Row],[Min]],FIND("-",Table7[[#This Row],[Min]])-1),Table1[Content Sku],0),14,1,1,"Entities")),"review","ok"),"ok")</f>
        <v>ok</v>
      </c>
      <c r="U308" t="s">
        <v>254</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205</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254</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254</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205</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254</v>
      </c>
      <c r="F310">
        <v>0</v>
      </c>
      <c r="G310">
        <v>30000</v>
      </c>
      <c r="H310" t="s">
        <v>205</v>
      </c>
      <c r="I310" s="75" t="str">
        <f ca="1">IF(Table7[[#This Row],[Type]]="KILL",IF(_xlfn.NUMBERVALUE(RIGHT(Table7[[#This Row],[Min]],LEN(Table7[[#This Row],[Min]])-FIND("-",Table7[[#This Row],[Min]])))&gt;INDIRECT(ADDRESS(11+MATCH(LEFT(Table7[[#This Row],[Min]],FIND("-",Table7[[#This Row],[Min]])-1),Table1[Content Sku],0),14,1,1,"Entities")),"review","ok"),"ok")</f>
        <v>ok</v>
      </c>
      <c r="U310" t="s">
        <v>254</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205</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254</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254</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399</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254</v>
      </c>
      <c r="F312">
        <v>2000</v>
      </c>
      <c r="G312">
        <v>0</v>
      </c>
      <c r="H312" t="s">
        <v>205</v>
      </c>
      <c r="I312" s="75" t="str">
        <f ca="1">IF(Table7[[#This Row],[Type]]="KILL",IF(_xlfn.NUMBERVALUE(RIGHT(Table7[[#This Row],[Min]],LEN(Table7[[#This Row],[Min]])-FIND("-",Table7[[#This Row],[Min]])))&gt;INDIRECT(ADDRESS(11+MATCH(LEFT(Table7[[#This Row],[Min]],FIND("-",Table7[[#This Row],[Min]])-1),Table1[Content Sku],0),14,1,1,"Entities")),"review","ok"),"ok")</f>
        <v>ok</v>
      </c>
      <c r="U312" t="s">
        <v>254</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399</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254</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254</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399</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254</v>
      </c>
      <c r="F314">
        <v>0</v>
      </c>
      <c r="G314">
        <v>0</v>
      </c>
      <c r="H314" t="s">
        <v>8</v>
      </c>
      <c r="I314" s="75" t="str">
        <f ca="1">IF(Table7[[#This Row],[Type]]="KILL",IF(_xlfn.NUMBERVALUE(RIGHT(Table7[[#This Row],[Min]],LEN(Table7[[#This Row],[Min]])-FIND("-",Table7[[#This Row],[Min]])))&gt;INDIRECT(ADDRESS(11+MATCH(LEFT(Table7[[#This Row],[Min]],FIND("-",Table7[[#This Row],[Min]])-1),Table1[Content Sku],0),14,1,1,"Entities")),"review","ok"),"ok")</f>
        <v>ok</v>
      </c>
      <c r="U314" t="s">
        <v>254</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399</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254</v>
      </c>
      <c r="F315">
        <v>0</v>
      </c>
      <c r="G315">
        <v>20000</v>
      </c>
      <c r="H315" t="s">
        <v>205</v>
      </c>
      <c r="I315" s="75" t="str">
        <f ca="1">IF(Table7[[#This Row],[Type]]="KILL",IF(_xlfn.NUMBERVALUE(RIGHT(Table7[[#This Row],[Min]],LEN(Table7[[#This Row],[Min]])-FIND("-",Table7[[#This Row],[Min]])))&gt;INDIRECT(ADDRESS(11+MATCH(LEFT(Table7[[#This Row],[Min]],FIND("-",Table7[[#This Row],[Min]])-1),Table1[Content Sku],0),14,1,1,"Entities")),"review","ok"),"ok")</f>
        <v>ok</v>
      </c>
      <c r="U315" t="s">
        <v>254</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399</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254</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254</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399</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254</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254</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399</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254</v>
      </c>
      <c r="F318">
        <v>0</v>
      </c>
      <c r="G318">
        <v>18000</v>
      </c>
      <c r="H318" t="s">
        <v>205</v>
      </c>
      <c r="I318" s="75" t="str">
        <f ca="1">IF(Table7[[#This Row],[Type]]="KILL",IF(_xlfn.NUMBERVALUE(RIGHT(Table7[[#This Row],[Min]],LEN(Table7[[#This Row],[Min]])-FIND("-",Table7[[#This Row],[Min]])))&gt;INDIRECT(ADDRESS(11+MATCH(LEFT(Table7[[#This Row],[Min]],FIND("-",Table7[[#This Row],[Min]])-1),Table1[Content Sku],0),14,1,1,"Entities")),"review","ok"),"ok")</f>
        <v>ok</v>
      </c>
      <c r="U318" t="s">
        <v>254</v>
      </c>
      <c r="V318">
        <v>0</v>
      </c>
      <c r="W318">
        <v>40000</v>
      </c>
      <c r="X318" t="s">
        <v>205</v>
      </c>
      <c r="Y318" s="75" t="str">
        <f ca="1">IF(Table15[[#This Row],[Type]]="KILL",IF(_xlfn.NUMBERVALUE(RIGHT(Table15[[#This Row],[Min]],LEN(Table15[[#This Row],[Min]])-FIND("-",Table15[[#This Row],[Min]])))&gt;INDIRECT(ADDRESS(11+MATCH(LEFT(Table15[[#This Row],[Min]],FIND("-",Table15[[#This Row],[Min]])-1),Table1[Content Sku],0),16,1,1,"Entities")),"review","ok"),"ok")</f>
        <v>ok</v>
      </c>
      <c r="AK318" t="s">
        <v>399</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254</v>
      </c>
      <c r="F319">
        <v>0</v>
      </c>
      <c r="G319">
        <v>27000</v>
      </c>
      <c r="H319" t="s">
        <v>205</v>
      </c>
      <c r="I319" s="75" t="str">
        <f ca="1">IF(Table7[[#This Row],[Type]]="KILL",IF(_xlfn.NUMBERVALUE(RIGHT(Table7[[#This Row],[Min]],LEN(Table7[[#This Row],[Min]])-FIND("-",Table7[[#This Row],[Min]])))&gt;INDIRECT(ADDRESS(11+MATCH(LEFT(Table7[[#This Row],[Min]],FIND("-",Table7[[#This Row],[Min]])-1),Table1[Content Sku],0),14,1,1,"Entities")),"review","ok"),"ok")</f>
        <v>ok</v>
      </c>
      <c r="U319" t="s">
        <v>254</v>
      </c>
      <c r="V319">
        <v>0</v>
      </c>
      <c r="W319">
        <v>0</v>
      </c>
      <c r="X319" t="s">
        <v>8</v>
      </c>
      <c r="Y319" s="75" t="str">
        <f ca="1">IF(Table15[[#This Row],[Type]]="KILL",IF(_xlfn.NUMBERVALUE(RIGHT(Table15[[#This Row],[Min]],LEN(Table15[[#This Row],[Min]])-FIND("-",Table15[[#This Row],[Min]])))&gt;INDIRECT(ADDRESS(11+MATCH(LEFT(Table15[[#This Row],[Min]],FIND("-",Table15[[#This Row],[Min]])-1),Table1[Content Sku],0),16,1,1,"Entities")),"review","ok"),"ok")</f>
        <v>ok</v>
      </c>
      <c r="AK319" t="s">
        <v>399</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254</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254</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399</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254</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254</v>
      </c>
      <c r="V321">
        <v>0</v>
      </c>
      <c r="W321">
        <v>0</v>
      </c>
      <c r="X321" t="s">
        <v>8</v>
      </c>
      <c r="Y321" s="75" t="str">
        <f ca="1">IF(Table15[[#This Row],[Type]]="KILL",IF(_xlfn.NUMBERVALUE(RIGHT(Table15[[#This Row],[Min]],LEN(Table15[[#This Row],[Min]])-FIND("-",Table15[[#This Row],[Min]])))&gt;INDIRECT(ADDRESS(11+MATCH(LEFT(Table15[[#This Row],[Min]],FIND("-",Table15[[#This Row],[Min]])-1),Table1[Content Sku],0),16,1,1,"Entities")),"review","ok"),"ok")</f>
        <v>ok</v>
      </c>
      <c r="AK321" t="s">
        <v>399</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254</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254</v>
      </c>
      <c r="V322">
        <v>12100</v>
      </c>
      <c r="W322">
        <v>30000</v>
      </c>
      <c r="X322" t="s">
        <v>205</v>
      </c>
      <c r="Y322" s="75" t="str">
        <f ca="1">IF(Table15[[#This Row],[Type]]="KILL",IF(_xlfn.NUMBERVALUE(RIGHT(Table15[[#This Row],[Min]],LEN(Table15[[#This Row],[Min]])-FIND("-",Table15[[#This Row],[Min]])))&gt;INDIRECT(ADDRESS(11+MATCH(LEFT(Table15[[#This Row],[Min]],FIND("-",Table15[[#This Row],[Min]])-1),Table1[Content Sku],0),16,1,1,"Entities")),"review","ok"),"ok")</f>
        <v>ok</v>
      </c>
      <c r="AK322" t="s">
        <v>399</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254</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254</v>
      </c>
      <c r="V323">
        <v>0</v>
      </c>
      <c r="W323">
        <v>0</v>
      </c>
      <c r="X323" t="s">
        <v>8</v>
      </c>
      <c r="Y323" s="75" t="str">
        <f ca="1">IF(Table15[[#This Row],[Type]]="KILL",IF(_xlfn.NUMBERVALUE(RIGHT(Table15[[#This Row],[Min]],LEN(Table15[[#This Row],[Min]])-FIND("-",Table15[[#This Row],[Min]])))&gt;INDIRECT(ADDRESS(11+MATCH(LEFT(Table15[[#This Row],[Min]],FIND("-",Table15[[#This Row],[Min]])-1),Table1[Content Sku],0),16,1,1,"Entities")),"review","ok"),"ok")</f>
        <v>ok</v>
      </c>
      <c r="AK323" t="s">
        <v>399</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254</v>
      </c>
      <c r="F324">
        <v>0</v>
      </c>
      <c r="G324">
        <v>6000</v>
      </c>
      <c r="H324" t="s">
        <v>205</v>
      </c>
      <c r="I324" s="75" t="str">
        <f ca="1">IF(Table7[[#This Row],[Type]]="KILL",IF(_xlfn.NUMBERVALUE(RIGHT(Table7[[#This Row],[Min]],LEN(Table7[[#This Row],[Min]])-FIND("-",Table7[[#This Row],[Min]])))&gt;INDIRECT(ADDRESS(11+MATCH(LEFT(Table7[[#This Row],[Min]],FIND("-",Table7[[#This Row],[Min]])-1),Table1[Content Sku],0),14,1,1,"Entities")),"review","ok"),"ok")</f>
        <v>ok</v>
      </c>
      <c r="U324" t="s">
        <v>254</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399</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254</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254</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401</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254</v>
      </c>
      <c r="F326">
        <v>0</v>
      </c>
      <c r="G326">
        <v>27000</v>
      </c>
      <c r="H326" t="s">
        <v>205</v>
      </c>
      <c r="I326" s="75" t="str">
        <f ca="1">IF(Table7[[#This Row],[Type]]="KILL",IF(_xlfn.NUMBERVALUE(RIGHT(Table7[[#This Row],[Min]],LEN(Table7[[#This Row],[Min]])-FIND("-",Table7[[#This Row],[Min]])))&gt;INDIRECT(ADDRESS(11+MATCH(LEFT(Table7[[#This Row],[Min]],FIND("-",Table7[[#This Row],[Min]])-1),Table1[Content Sku],0),14,1,1,"Entities")),"review","ok"),"ok")</f>
        <v>ok</v>
      </c>
      <c r="U326" t="s">
        <v>254</v>
      </c>
      <c r="V326">
        <v>14100</v>
      </c>
      <c r="W326">
        <v>0</v>
      </c>
      <c r="X326" t="s">
        <v>205</v>
      </c>
      <c r="Y326" s="75" t="str">
        <f ca="1">IF(Table15[[#This Row],[Type]]="KILL",IF(_xlfn.NUMBERVALUE(RIGHT(Table15[[#This Row],[Min]],LEN(Table15[[#This Row],[Min]])-FIND("-",Table15[[#This Row],[Min]])))&gt;INDIRECT(ADDRESS(11+MATCH(LEFT(Table15[[#This Row],[Min]],FIND("-",Table15[[#This Row],[Min]])-1),Table1[Content Sku],0),16,1,1,"Entities")),"review","ok"),"ok")</f>
        <v>ok</v>
      </c>
      <c r="AK326" t="s">
        <v>401</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254</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254</v>
      </c>
      <c r="V327">
        <v>0</v>
      </c>
      <c r="W327">
        <v>0</v>
      </c>
      <c r="X327" t="s">
        <v>8</v>
      </c>
      <c r="Y327" s="75" t="str">
        <f ca="1">IF(Table15[[#This Row],[Type]]="KILL",IF(_xlfn.NUMBERVALUE(RIGHT(Table15[[#This Row],[Min]],LEN(Table15[[#This Row],[Min]])-FIND("-",Table15[[#This Row],[Min]])))&gt;INDIRECT(ADDRESS(11+MATCH(LEFT(Table15[[#This Row],[Min]],FIND("-",Table15[[#This Row],[Min]])-1),Table1[Content Sku],0),16,1,1,"Entities")),"review","ok"),"ok")</f>
        <v>ok</v>
      </c>
      <c r="AK327" t="s">
        <v>401</v>
      </c>
      <c r="AL327">
        <v>0</v>
      </c>
      <c r="AM327">
        <v>38000</v>
      </c>
      <c r="AN327" t="s">
        <v>205</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254</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254</v>
      </c>
      <c r="V328">
        <v>0</v>
      </c>
      <c r="W328">
        <v>0</v>
      </c>
      <c r="X328" t="s">
        <v>8</v>
      </c>
      <c r="Y328" s="75" t="str">
        <f ca="1">IF(Table15[[#This Row],[Type]]="KILL",IF(_xlfn.NUMBERVALUE(RIGHT(Table15[[#This Row],[Min]],LEN(Table15[[#This Row],[Min]])-FIND("-",Table15[[#This Row],[Min]])))&gt;INDIRECT(ADDRESS(11+MATCH(LEFT(Table15[[#This Row],[Min]],FIND("-",Table15[[#This Row],[Min]])-1),Table1[Content Sku],0),16,1,1,"Entities")),"review","ok"),"ok")</f>
        <v>ok</v>
      </c>
      <c r="AK328" t="s">
        <v>401</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254</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254</v>
      </c>
      <c r="V329">
        <v>0</v>
      </c>
      <c r="W329">
        <v>40000</v>
      </c>
      <c r="X329" t="s">
        <v>205</v>
      </c>
      <c r="Y329" s="75" t="str">
        <f ca="1">IF(Table15[[#This Row],[Type]]="KILL",IF(_xlfn.NUMBERVALUE(RIGHT(Table15[[#This Row],[Min]],LEN(Table15[[#This Row],[Min]])-FIND("-",Table15[[#This Row],[Min]])))&gt;INDIRECT(ADDRESS(11+MATCH(LEFT(Table15[[#This Row],[Min]],FIND("-",Table15[[#This Row],[Min]])-1),Table1[Content Sku],0),16,1,1,"Entities")),"review","ok"),"ok")</f>
        <v>ok</v>
      </c>
      <c r="AK329" t="s">
        <v>401</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254</v>
      </c>
      <c r="F330">
        <v>0</v>
      </c>
      <c r="G330">
        <v>0</v>
      </c>
      <c r="H330" t="s">
        <v>8</v>
      </c>
      <c r="I330" s="75" t="str">
        <f ca="1">IF(Table7[[#This Row],[Type]]="KILL",IF(_xlfn.NUMBERVALUE(RIGHT(Table7[[#This Row],[Min]],LEN(Table7[[#This Row],[Min]])-FIND("-",Table7[[#This Row],[Min]])))&gt;INDIRECT(ADDRESS(11+MATCH(LEFT(Table7[[#This Row],[Min]],FIND("-",Table7[[#This Row],[Min]])-1),Table1[Content Sku],0),14,1,1,"Entities")),"review","ok"),"ok")</f>
        <v>ok</v>
      </c>
      <c r="U330" t="s">
        <v>254</v>
      </c>
      <c r="V330">
        <v>0</v>
      </c>
      <c r="W330">
        <v>0</v>
      </c>
      <c r="X330" t="s">
        <v>8</v>
      </c>
      <c r="Y330" s="75" t="str">
        <f ca="1">IF(Table15[[#This Row],[Type]]="KILL",IF(_xlfn.NUMBERVALUE(RIGHT(Table15[[#This Row],[Min]],LEN(Table15[[#This Row],[Min]])-FIND("-",Table15[[#This Row],[Min]])))&gt;INDIRECT(ADDRESS(11+MATCH(LEFT(Table15[[#This Row],[Min]],FIND("-",Table15[[#This Row],[Min]])-1),Table1[Content Sku],0),16,1,1,"Entities")),"review","ok"),"ok")</f>
        <v>ok</v>
      </c>
      <c r="AK330" t="s">
        <v>401</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254</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254</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401</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254</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254</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401</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254</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254</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401</v>
      </c>
      <c r="AL333">
        <v>0</v>
      </c>
      <c r="AM333">
        <v>35000</v>
      </c>
      <c r="AN333" t="s">
        <v>205</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254</v>
      </c>
      <c r="F334">
        <v>0</v>
      </c>
      <c r="G334">
        <v>22000</v>
      </c>
      <c r="H334" t="s">
        <v>205</v>
      </c>
      <c r="I334" s="75" t="str">
        <f ca="1">IF(Table7[[#This Row],[Type]]="KILL",IF(_xlfn.NUMBERVALUE(RIGHT(Table7[[#This Row],[Min]],LEN(Table7[[#This Row],[Min]])-FIND("-",Table7[[#This Row],[Min]])))&gt;INDIRECT(ADDRESS(11+MATCH(LEFT(Table7[[#This Row],[Min]],FIND("-",Table7[[#This Row],[Min]])-1),Table1[Content Sku],0),14,1,1,"Entities")),"review","ok"),"ok")</f>
        <v>ok</v>
      </c>
      <c r="U334" t="s">
        <v>254</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401</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254</v>
      </c>
      <c r="F335">
        <v>1800</v>
      </c>
      <c r="G335">
        <v>0</v>
      </c>
      <c r="H335" t="s">
        <v>205</v>
      </c>
      <c r="I335" s="75" t="str">
        <f ca="1">IF(Table7[[#This Row],[Type]]="KILL",IF(_xlfn.NUMBERVALUE(RIGHT(Table7[[#This Row],[Min]],LEN(Table7[[#This Row],[Min]])-FIND("-",Table7[[#This Row],[Min]])))&gt;INDIRECT(ADDRESS(11+MATCH(LEFT(Table7[[#This Row],[Min]],FIND("-",Table7[[#This Row],[Min]])-1),Table1[Content Sku],0),14,1,1,"Entities")),"review","ok"),"ok")</f>
        <v>ok</v>
      </c>
      <c r="U335" t="s">
        <v>254</v>
      </c>
      <c r="V335">
        <v>0</v>
      </c>
      <c r="W335">
        <v>0</v>
      </c>
      <c r="X335" t="s">
        <v>8</v>
      </c>
      <c r="Y335" s="75" t="str">
        <f ca="1">IF(Table15[[#This Row],[Type]]="KILL",IF(_xlfn.NUMBERVALUE(RIGHT(Table15[[#This Row],[Min]],LEN(Table15[[#This Row],[Min]])-FIND("-",Table15[[#This Row],[Min]])))&gt;INDIRECT(ADDRESS(11+MATCH(LEFT(Table15[[#This Row],[Min]],FIND("-",Table15[[#This Row],[Min]])-1),Table1[Content Sku],0),16,1,1,"Entities")),"review","ok"),"ok")</f>
        <v>ok</v>
      </c>
      <c r="AK335" t="s">
        <v>401</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254</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254</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401</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254</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254</v>
      </c>
      <c r="V337">
        <v>0</v>
      </c>
      <c r="W337">
        <v>12000</v>
      </c>
      <c r="X337" t="s">
        <v>205</v>
      </c>
      <c r="Y337" s="75" t="str">
        <f ca="1">IF(Table15[[#This Row],[Type]]="KILL",IF(_xlfn.NUMBERVALUE(RIGHT(Table15[[#This Row],[Min]],LEN(Table15[[#This Row],[Min]])-FIND("-",Table15[[#This Row],[Min]])))&gt;INDIRECT(ADDRESS(11+MATCH(LEFT(Table15[[#This Row],[Min]],FIND("-",Table15[[#This Row],[Min]])-1),Table1[Content Sku],0),16,1,1,"Entities")),"review","ok"),"ok")</f>
        <v>ok</v>
      </c>
      <c r="AK337" t="s">
        <v>401</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254</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254</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401</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254</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254</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2669</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254</v>
      </c>
      <c r="F340">
        <v>5000</v>
      </c>
      <c r="G340">
        <v>0</v>
      </c>
      <c r="H340" t="s">
        <v>205</v>
      </c>
      <c r="I340" s="75" t="str">
        <f ca="1">IF(Table7[[#This Row],[Type]]="KILL",IF(_xlfn.NUMBERVALUE(RIGHT(Table7[[#This Row],[Min]],LEN(Table7[[#This Row],[Min]])-FIND("-",Table7[[#This Row],[Min]])))&gt;INDIRECT(ADDRESS(11+MATCH(LEFT(Table7[[#This Row],[Min]],FIND("-",Table7[[#This Row],[Min]])-1),Table1[Content Sku],0),14,1,1,"Entities")),"review","ok"),"ok")</f>
        <v>ok</v>
      </c>
      <c r="U340" t="s">
        <v>254</v>
      </c>
      <c r="V340">
        <v>13000</v>
      </c>
      <c r="W340">
        <v>0</v>
      </c>
      <c r="X340" t="s">
        <v>205</v>
      </c>
      <c r="Y340" s="75" t="str">
        <f ca="1">IF(Table15[[#This Row],[Type]]="KILL",IF(_xlfn.NUMBERVALUE(RIGHT(Table15[[#This Row],[Min]],LEN(Table15[[#This Row],[Min]])-FIND("-",Table15[[#This Row],[Min]])))&gt;INDIRECT(ADDRESS(11+MATCH(LEFT(Table15[[#This Row],[Min]],FIND("-",Table15[[#This Row],[Min]])-1),Table1[Content Sku],0),16,1,1,"Entities")),"review","ok"),"ok")</f>
        <v>ok</v>
      </c>
      <c r="AK340" t="s">
        <v>2669</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254</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2669</v>
      </c>
      <c r="AL341" t="s">
        <v>4476</v>
      </c>
      <c r="AM341" t="s">
        <v>4477</v>
      </c>
      <c r="AN341" t="s">
        <v>4478</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254</v>
      </c>
      <c r="F342">
        <v>0</v>
      </c>
      <c r="G342">
        <v>13000</v>
      </c>
      <c r="H342" t="s">
        <v>205</v>
      </c>
      <c r="I342" s="75"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2669</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254</v>
      </c>
      <c r="F343">
        <v>0</v>
      </c>
      <c r="G343">
        <v>0</v>
      </c>
      <c r="H343" t="s">
        <v>8</v>
      </c>
      <c r="I343" s="75" t="str">
        <f ca="1">IF(Table7[[#This Row],[Type]]="KILL",IF(_xlfn.NUMBERVALUE(RIGHT(Table7[[#This Row],[Min]],LEN(Table7[[#This Row],[Min]])-FIND("-",Table7[[#This Row],[Min]])))&gt;INDIRECT(ADDRESS(11+MATCH(LEFT(Table7[[#This Row],[Min]],FIND("-",Table7[[#This Row],[Min]])-1),Table1[Content Sku],0),14,1,1,"Entities")),"review","ok"),"ok")</f>
        <v>ok</v>
      </c>
      <c r="U343" t="s">
        <v>254</v>
      </c>
      <c r="V343">
        <v>15000</v>
      </c>
      <c r="W343">
        <v>0</v>
      </c>
      <c r="X343" t="s">
        <v>205</v>
      </c>
      <c r="Y343" s="75" t="str">
        <f ca="1">IF(Table15[[#This Row],[Type]]="KILL",IF(_xlfn.NUMBERVALUE(RIGHT(Table15[[#This Row],[Min]],LEN(Table15[[#This Row],[Min]])-FIND("-",Table15[[#This Row],[Min]])))&gt;INDIRECT(ADDRESS(11+MATCH(LEFT(Table15[[#This Row],[Min]],FIND("-",Table15[[#This Row],[Min]])-1),Table1[Content Sku],0),16,1,1,"Entities")),"review","ok"),"ok")</f>
        <v>ok</v>
      </c>
      <c r="AK343" t="s">
        <v>2669</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254</v>
      </c>
      <c r="F344">
        <v>0</v>
      </c>
      <c r="G344">
        <v>0</v>
      </c>
      <c r="H344" t="s">
        <v>8</v>
      </c>
      <c r="I344" s="75"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2669</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254</v>
      </c>
      <c r="F345">
        <v>0</v>
      </c>
      <c r="G345">
        <v>0</v>
      </c>
      <c r="H345" t="s">
        <v>8</v>
      </c>
      <c r="I345" s="7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2669</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254</v>
      </c>
      <c r="F346">
        <v>0</v>
      </c>
      <c r="G346">
        <v>13000</v>
      </c>
      <c r="H346" t="s">
        <v>205</v>
      </c>
      <c r="I346" s="75"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2669</v>
      </c>
      <c r="AL346" t="s">
        <v>4481</v>
      </c>
      <c r="AM346" t="s">
        <v>4477</v>
      </c>
      <c r="AN346" t="s">
        <v>4478</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254</v>
      </c>
      <c r="F347">
        <v>0</v>
      </c>
      <c r="G347">
        <v>5000</v>
      </c>
      <c r="H347" t="s">
        <v>205</v>
      </c>
      <c r="I347" s="75"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X347" t="s">
        <v>8</v>
      </c>
      <c r="Y347" s="75" t="str">
        <f ca="1">IF(Table15[[#This Row],[Type]]="KILL",IF(_xlfn.NUMBERVALUE(RIGHT(Table15[[#This Row],[Min]],LEN(Table15[[#This Row],[Min]])-FIND("-",Table15[[#This Row],[Min]])))&gt;INDIRECT(ADDRESS(11+MATCH(LEFT(Table15[[#This Row],[Min]],FIND("-",Table15[[#This Row],[Min]])-1),Table1[Content Sku],0),16,1,1,"Entities")),"review","ok"),"ok")</f>
        <v>ok</v>
      </c>
      <c r="AK347" t="s">
        <v>2669</v>
      </c>
      <c r="AL347">
        <v>30000</v>
      </c>
      <c r="AM347">
        <v>0</v>
      </c>
      <c r="AN347" t="s">
        <v>205</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254</v>
      </c>
      <c r="F348">
        <v>10000</v>
      </c>
      <c r="G348">
        <v>0</v>
      </c>
      <c r="H348" t="s">
        <v>205</v>
      </c>
      <c r="I348" s="75"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X348" t="s">
        <v>8</v>
      </c>
      <c r="Y348" s="75" t="str">
        <f ca="1">IF(Table15[[#This Row],[Type]]="KILL",IF(_xlfn.NUMBERVALUE(RIGHT(Table15[[#This Row],[Min]],LEN(Table15[[#This Row],[Min]])-FIND("-",Table15[[#This Row],[Min]])))&gt;INDIRECT(ADDRESS(11+MATCH(LEFT(Table15[[#This Row],[Min]],FIND("-",Table15[[#This Row],[Min]])-1),Table1[Content Sku],0),16,1,1,"Entities")),"review","ok"),"ok")</f>
        <v>ok</v>
      </c>
      <c r="AK348" t="s">
        <v>2669</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254</v>
      </c>
      <c r="F349">
        <v>1600</v>
      </c>
      <c r="G349">
        <v>0</v>
      </c>
      <c r="H349" t="s">
        <v>205</v>
      </c>
      <c r="I349" s="75"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2669</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254</v>
      </c>
      <c r="F350">
        <v>0</v>
      </c>
      <c r="G350">
        <v>24000</v>
      </c>
      <c r="H350" t="s">
        <v>205</v>
      </c>
      <c r="I350" s="75"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2669</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254</v>
      </c>
      <c r="F351">
        <v>0</v>
      </c>
      <c r="G351">
        <v>0</v>
      </c>
      <c r="H351" t="s">
        <v>8</v>
      </c>
      <c r="I351" s="75"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2669</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254</v>
      </c>
      <c r="F352">
        <v>0</v>
      </c>
      <c r="G352">
        <v>0</v>
      </c>
      <c r="H352" t="s">
        <v>8</v>
      </c>
      <c r="I352" s="75"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2669</v>
      </c>
      <c r="AL352">
        <v>27000</v>
      </c>
      <c r="AM352">
        <v>0</v>
      </c>
      <c r="AN352" t="s">
        <v>205</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254</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X353" t="s">
        <v>8</v>
      </c>
      <c r="Y353" s="75" t="str">
        <f ca="1">IF(Table15[[#This Row],[Type]]="KILL",IF(_xlfn.NUMBERVALUE(RIGHT(Table15[[#This Row],[Min]],LEN(Table15[[#This Row],[Min]])-FIND("-",Table15[[#This Row],[Min]])))&gt;INDIRECT(ADDRESS(11+MATCH(LEFT(Table15[[#This Row],[Min]],FIND("-",Table15[[#This Row],[Min]])-1),Table1[Content Sku],0),16,1,1,"Entities")),"review","ok"),"ok")</f>
        <v>ok</v>
      </c>
      <c r="AK353" t="s">
        <v>2669</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254</v>
      </c>
      <c r="F354">
        <v>0</v>
      </c>
      <c r="G354">
        <v>12000</v>
      </c>
      <c r="H354" t="s">
        <v>205</v>
      </c>
      <c r="I354" s="75"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2669</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254</v>
      </c>
      <c r="F355">
        <v>0</v>
      </c>
      <c r="G355">
        <v>20000</v>
      </c>
      <c r="H355" t="s">
        <v>205</v>
      </c>
      <c r="I355" s="7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2669</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254</v>
      </c>
      <c r="F356">
        <v>0</v>
      </c>
      <c r="G356">
        <v>26000</v>
      </c>
      <c r="H356" t="s">
        <v>205</v>
      </c>
      <c r="I356" s="75" t="str">
        <f ca="1">IF(Table7[[#This Row],[Type]]="KILL",IF(_xlfn.NUMBERVALUE(RIGHT(Table7[[#This Row],[Min]],LEN(Table7[[#This Row],[Min]])-FIND("-",Table7[[#This Row],[Min]])))&gt;INDIRECT(ADDRESS(11+MATCH(LEFT(Table7[[#This Row],[Min]],FIND("-",Table7[[#This Row],[Min]])-1),Table1[Content Sku],0),14,1,1,"Entities")),"review","ok"),"ok")</f>
        <v>ok</v>
      </c>
      <c r="U356" t="s">
        <v>254</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2669</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254</v>
      </c>
      <c r="F357">
        <v>0</v>
      </c>
      <c r="G357">
        <v>28000</v>
      </c>
      <c r="H357" t="s">
        <v>205</v>
      </c>
      <c r="I357" s="75" t="str">
        <f ca="1">IF(Table7[[#This Row],[Type]]="KILL",IF(_xlfn.NUMBERVALUE(RIGHT(Table7[[#This Row],[Min]],LEN(Table7[[#This Row],[Min]])-FIND("-",Table7[[#This Row],[Min]])))&gt;INDIRECT(ADDRESS(11+MATCH(LEFT(Table7[[#This Row],[Min]],FIND("-",Table7[[#This Row],[Min]])-1),Table1[Content Sku],0),14,1,1,"Entities")),"review","ok"),"ok")</f>
        <v>ok</v>
      </c>
      <c r="U357" t="s">
        <v>254</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2669</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254</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254</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2669</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254</v>
      </c>
      <c r="F359">
        <v>0</v>
      </c>
      <c r="G359">
        <v>7500</v>
      </c>
      <c r="H359" t="s">
        <v>205</v>
      </c>
      <c r="I359" s="75" t="str">
        <f ca="1">IF(Table7[[#This Row],[Type]]="KILL",IF(_xlfn.NUMBERVALUE(RIGHT(Table7[[#This Row],[Min]],LEN(Table7[[#This Row],[Min]])-FIND("-",Table7[[#This Row],[Min]])))&gt;INDIRECT(ADDRESS(11+MATCH(LEFT(Table7[[#This Row],[Min]],FIND("-",Table7[[#This Row],[Min]])-1),Table1[Content Sku],0),14,1,1,"Entities")),"review","ok"),"ok")</f>
        <v>ok</v>
      </c>
      <c r="U359" t="s">
        <v>254</v>
      </c>
      <c r="V359">
        <v>0</v>
      </c>
      <c r="W359">
        <v>45000</v>
      </c>
      <c r="X359" t="s">
        <v>205</v>
      </c>
      <c r="Y359" s="75" t="str">
        <f ca="1">IF(Table15[[#This Row],[Type]]="KILL",IF(_xlfn.NUMBERVALUE(RIGHT(Table15[[#This Row],[Min]],LEN(Table15[[#This Row],[Min]])-FIND("-",Table15[[#This Row],[Min]])))&gt;INDIRECT(ADDRESS(11+MATCH(LEFT(Table15[[#This Row],[Min]],FIND("-",Table15[[#This Row],[Min]])-1),Table1[Content Sku],0),16,1,1,"Entities")),"review","ok"),"ok")</f>
        <v>ok</v>
      </c>
      <c r="AK359" t="s">
        <v>2669</v>
      </c>
      <c r="AL359">
        <v>38500</v>
      </c>
      <c r="AM359">
        <v>0</v>
      </c>
      <c r="AN359" t="s">
        <v>205</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254</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254</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2669</v>
      </c>
      <c r="AL360">
        <v>33000</v>
      </c>
      <c r="AM360">
        <v>0</v>
      </c>
      <c r="AN360" t="s">
        <v>205</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254</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254</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2669</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254</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254</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2669</v>
      </c>
      <c r="AL362">
        <v>27000</v>
      </c>
      <c r="AM362">
        <v>0</v>
      </c>
      <c r="AN362" t="s">
        <v>205</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254</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254</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2669</v>
      </c>
      <c r="AL363">
        <v>33000</v>
      </c>
      <c r="AM363">
        <v>0</v>
      </c>
      <c r="AN363" t="s">
        <v>205</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254</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254</v>
      </c>
      <c r="V364">
        <v>0</v>
      </c>
      <c r="W364">
        <v>0</v>
      </c>
      <c r="X364" t="s">
        <v>8</v>
      </c>
      <c r="Y364" s="75" t="str">
        <f ca="1">IF(Table15[[#This Row],[Type]]="KILL",IF(_xlfn.NUMBERVALUE(RIGHT(Table15[[#This Row],[Min]],LEN(Table15[[#This Row],[Min]])-FIND("-",Table15[[#This Row],[Min]])))&gt;INDIRECT(ADDRESS(11+MATCH(LEFT(Table15[[#This Row],[Min]],FIND("-",Table15[[#This Row],[Min]])-1),Table1[Content Sku],0),16,1,1,"Entities")),"review","ok"),"ok")</f>
        <v>ok</v>
      </c>
      <c r="AK364" t="s">
        <v>2669</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254</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254</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2669</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254</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254</v>
      </c>
      <c r="V366">
        <v>0</v>
      </c>
      <c r="W366">
        <v>0</v>
      </c>
      <c r="X366" t="s">
        <v>8</v>
      </c>
      <c r="Y366" s="75" t="str">
        <f ca="1">IF(Table15[[#This Row],[Type]]="KILL",IF(_xlfn.NUMBERVALUE(RIGHT(Table15[[#This Row],[Min]],LEN(Table15[[#This Row],[Min]])-FIND("-",Table15[[#This Row],[Min]])))&gt;INDIRECT(ADDRESS(11+MATCH(LEFT(Table15[[#This Row],[Min]],FIND("-",Table15[[#This Row],[Min]])-1),Table1[Content Sku],0),16,1,1,"Entities")),"review","ok"),"ok")</f>
        <v>ok</v>
      </c>
      <c r="AK366" t="s">
        <v>2669</v>
      </c>
      <c r="AL366" t="s">
        <v>4476</v>
      </c>
      <c r="AM366" t="s">
        <v>5024</v>
      </c>
      <c r="AN366" t="s">
        <v>4478</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254</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254</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2669</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254</v>
      </c>
      <c r="F368">
        <v>0</v>
      </c>
      <c r="G368">
        <v>0</v>
      </c>
      <c r="H368" t="s">
        <v>8</v>
      </c>
      <c r="I368" s="75" t="str">
        <f ca="1">IF(Table7[[#This Row],[Type]]="KILL",IF(_xlfn.NUMBERVALUE(RIGHT(Table7[[#This Row],[Min]],LEN(Table7[[#This Row],[Min]])-FIND("-",Table7[[#This Row],[Min]])))&gt;INDIRECT(ADDRESS(11+MATCH(LEFT(Table7[[#This Row],[Min]],FIND("-",Table7[[#This Row],[Min]])-1),Table1[Content Sku],0),14,1,1,"Entities")),"review","ok"),"ok")</f>
        <v>ok</v>
      </c>
      <c r="U368" t="s">
        <v>254</v>
      </c>
      <c r="V368">
        <v>0</v>
      </c>
      <c r="W368">
        <v>0</v>
      </c>
      <c r="X368" t="s">
        <v>8</v>
      </c>
      <c r="Y368" s="75" t="str">
        <f ca="1">IF(Table15[[#This Row],[Type]]="KILL",IF(_xlfn.NUMBERVALUE(RIGHT(Table15[[#This Row],[Min]],LEN(Table15[[#This Row],[Min]])-FIND("-",Table15[[#This Row],[Min]])))&gt;INDIRECT(ADDRESS(11+MATCH(LEFT(Table15[[#This Row],[Min]],FIND("-",Table15[[#This Row],[Min]])-1),Table1[Content Sku],0),16,1,1,"Entities")),"review","ok"),"ok")</f>
        <v>ok</v>
      </c>
      <c r="AK368" t="s">
        <v>2669</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254</v>
      </c>
      <c r="F369">
        <v>0</v>
      </c>
      <c r="G369">
        <v>17000</v>
      </c>
      <c r="H369" t="s">
        <v>205</v>
      </c>
      <c r="I369" s="75" t="str">
        <f ca="1">IF(Table7[[#This Row],[Type]]="KILL",IF(_xlfn.NUMBERVALUE(RIGHT(Table7[[#This Row],[Min]],LEN(Table7[[#This Row],[Min]])-FIND("-",Table7[[#This Row],[Min]])))&gt;INDIRECT(ADDRESS(11+MATCH(LEFT(Table7[[#This Row],[Min]],FIND("-",Table7[[#This Row],[Min]])-1),Table1[Content Sku],0),14,1,1,"Entities")),"review","ok"),"ok")</f>
        <v>ok</v>
      </c>
      <c r="U369" t="s">
        <v>254</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2669</v>
      </c>
      <c r="AL369">
        <v>30000</v>
      </c>
      <c r="AM369">
        <v>0</v>
      </c>
      <c r="AN369" t="s">
        <v>205</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254</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254</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2669</v>
      </c>
      <c r="AL370" t="s">
        <v>4485</v>
      </c>
      <c r="AM370" t="s">
        <v>4477</v>
      </c>
      <c r="AN370" t="s">
        <v>4478</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254</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254</v>
      </c>
      <c r="V371">
        <v>0</v>
      </c>
      <c r="W371">
        <v>0</v>
      </c>
      <c r="X371" t="s">
        <v>8</v>
      </c>
      <c r="Y371" s="75" t="str">
        <f ca="1">IF(Table15[[#This Row],[Type]]="KILL",IF(_xlfn.NUMBERVALUE(RIGHT(Table15[[#This Row],[Min]],LEN(Table15[[#This Row],[Min]])-FIND("-",Table15[[#This Row],[Min]])))&gt;INDIRECT(ADDRESS(11+MATCH(LEFT(Table15[[#This Row],[Min]],FIND("-",Table15[[#This Row],[Min]])-1),Table1[Content Sku],0),16,1,1,"Entities")),"review","ok"),"ok")</f>
        <v>ok</v>
      </c>
      <c r="AK371" t="s">
        <v>2669</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254</v>
      </c>
      <c r="F372">
        <v>6000</v>
      </c>
      <c r="G372">
        <v>0</v>
      </c>
      <c r="H372" t="s">
        <v>205</v>
      </c>
      <c r="I372" s="75" t="str">
        <f ca="1">IF(Table7[[#This Row],[Type]]="KILL",IF(_xlfn.NUMBERVALUE(RIGHT(Table7[[#This Row],[Min]],LEN(Table7[[#This Row],[Min]])-FIND("-",Table7[[#This Row],[Min]])))&gt;INDIRECT(ADDRESS(11+MATCH(LEFT(Table7[[#This Row],[Min]],FIND("-",Table7[[#This Row],[Min]])-1),Table1[Content Sku],0),14,1,1,"Entities")),"review","ok"),"ok")</f>
        <v>ok</v>
      </c>
      <c r="U372" t="s">
        <v>254</v>
      </c>
      <c r="V372">
        <v>0</v>
      </c>
      <c r="W372">
        <v>0</v>
      </c>
      <c r="X372" t="s">
        <v>8</v>
      </c>
      <c r="Y372" s="75" t="str">
        <f ca="1">IF(Table15[[#This Row],[Type]]="KILL",IF(_xlfn.NUMBERVALUE(RIGHT(Table15[[#This Row],[Min]],LEN(Table15[[#This Row],[Min]])-FIND("-",Table15[[#This Row],[Min]])))&gt;INDIRECT(ADDRESS(11+MATCH(LEFT(Table15[[#This Row],[Min]],FIND("-",Table15[[#This Row],[Min]])-1),Table1[Content Sku],0),16,1,1,"Entities")),"review","ok"),"ok")</f>
        <v>ok</v>
      </c>
      <c r="AK372" t="s">
        <v>2669</v>
      </c>
      <c r="AL372">
        <v>0</v>
      </c>
      <c r="AM372">
        <v>25000</v>
      </c>
      <c r="AN372" t="s">
        <v>205</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254</v>
      </c>
      <c r="F373">
        <v>4000</v>
      </c>
      <c r="G373">
        <v>0</v>
      </c>
      <c r="H373" t="s">
        <v>205</v>
      </c>
      <c r="I373" s="75" t="str">
        <f ca="1">IF(Table7[[#This Row],[Type]]="KILL",IF(_xlfn.NUMBERVALUE(RIGHT(Table7[[#This Row],[Min]],LEN(Table7[[#This Row],[Min]])-FIND("-",Table7[[#This Row],[Min]])))&gt;INDIRECT(ADDRESS(11+MATCH(LEFT(Table7[[#This Row],[Min]],FIND("-",Table7[[#This Row],[Min]])-1),Table1[Content Sku],0),14,1,1,"Entities")),"review","ok"),"ok")</f>
        <v>ok</v>
      </c>
      <c r="U373" t="s">
        <v>254</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2669</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254</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254</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2669</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254</v>
      </c>
      <c r="F375">
        <v>0</v>
      </c>
      <c r="G375">
        <v>13000</v>
      </c>
      <c r="H375" t="s">
        <v>205</v>
      </c>
      <c r="I375" s="75" t="str">
        <f ca="1">IF(Table7[[#This Row],[Type]]="KILL",IF(_xlfn.NUMBERVALUE(RIGHT(Table7[[#This Row],[Min]],LEN(Table7[[#This Row],[Min]])-FIND("-",Table7[[#This Row],[Min]])))&gt;INDIRECT(ADDRESS(11+MATCH(LEFT(Table7[[#This Row],[Min]],FIND("-",Table7[[#This Row],[Min]])-1),Table1[Content Sku],0),14,1,1,"Entities")),"review","ok"),"ok")</f>
        <v>ok</v>
      </c>
      <c r="U375" t="s">
        <v>254</v>
      </c>
      <c r="V375">
        <v>0</v>
      </c>
      <c r="W375">
        <v>0</v>
      </c>
      <c r="X375" t="s">
        <v>8</v>
      </c>
      <c r="Y375" s="75" t="str">
        <f ca="1">IF(Table15[[#This Row],[Type]]="KILL",IF(_xlfn.NUMBERVALUE(RIGHT(Table15[[#This Row],[Min]],LEN(Table15[[#This Row],[Min]])-FIND("-",Table15[[#This Row],[Min]])))&gt;INDIRECT(ADDRESS(11+MATCH(LEFT(Table15[[#This Row],[Min]],FIND("-",Table15[[#This Row],[Min]])-1),Table1[Content Sku],0),16,1,1,"Entities")),"review","ok"),"ok")</f>
        <v>ok</v>
      </c>
      <c r="AK375" t="s">
        <v>2669</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254</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254</v>
      </c>
      <c r="V376">
        <v>0</v>
      </c>
      <c r="W376">
        <v>0</v>
      </c>
      <c r="X376" t="s">
        <v>8</v>
      </c>
      <c r="Y376" s="75" t="str">
        <f ca="1">IF(Table15[[#This Row],[Type]]="KILL",IF(_xlfn.NUMBERVALUE(RIGHT(Table15[[#This Row],[Min]],LEN(Table15[[#This Row],[Min]])-FIND("-",Table15[[#This Row],[Min]])))&gt;INDIRECT(ADDRESS(11+MATCH(LEFT(Table15[[#This Row],[Min]],FIND("-",Table15[[#This Row],[Min]])-1),Table1[Content Sku],0),16,1,1,"Entities")),"review","ok"),"ok")</f>
        <v>ok</v>
      </c>
      <c r="AK376" t="s">
        <v>2669</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254</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254</v>
      </c>
      <c r="V377">
        <v>0</v>
      </c>
      <c r="W377">
        <v>0</v>
      </c>
      <c r="X377" t="s">
        <v>8</v>
      </c>
      <c r="Y377" s="75" t="str">
        <f ca="1">IF(Table15[[#This Row],[Type]]="KILL",IF(_xlfn.NUMBERVALUE(RIGHT(Table15[[#This Row],[Min]],LEN(Table15[[#This Row],[Min]])-FIND("-",Table15[[#This Row],[Min]])))&gt;INDIRECT(ADDRESS(11+MATCH(LEFT(Table15[[#This Row],[Min]],FIND("-",Table15[[#This Row],[Min]])-1),Table1[Content Sku],0),16,1,1,"Entities")),"review","ok"),"ok")</f>
        <v>ok</v>
      </c>
      <c r="AK377" t="s">
        <v>2669</v>
      </c>
      <c r="AL377" t="s">
        <v>4477</v>
      </c>
      <c r="AM377" t="s">
        <v>4487</v>
      </c>
      <c r="AN377" t="s">
        <v>4478</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254</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254</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2669</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254</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254</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2669</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254</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254</v>
      </c>
      <c r="V380">
        <v>0</v>
      </c>
      <c r="W380">
        <v>0</v>
      </c>
      <c r="X380" t="s">
        <v>8</v>
      </c>
      <c r="Y380" s="75" t="str">
        <f ca="1">IF(Table15[[#This Row],[Type]]="KILL",IF(_xlfn.NUMBERVALUE(RIGHT(Table15[[#This Row],[Min]],LEN(Table15[[#This Row],[Min]])-FIND("-",Table15[[#This Row],[Min]])))&gt;INDIRECT(ADDRESS(11+MATCH(LEFT(Table15[[#This Row],[Min]],FIND("-",Table15[[#This Row],[Min]])-1),Table1[Content Sku],0),16,1,1,"Entities")),"review","ok"),"ok")</f>
        <v>ok</v>
      </c>
      <c r="AK380" t="s">
        <v>2669</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254</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254</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2669</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254</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254</v>
      </c>
      <c r="V382">
        <v>0</v>
      </c>
      <c r="W382">
        <v>0</v>
      </c>
      <c r="X382" t="s">
        <v>8</v>
      </c>
      <c r="Y382" s="75" t="str">
        <f ca="1">IF(Table15[[#This Row],[Type]]="KILL",IF(_xlfn.NUMBERVALUE(RIGHT(Table15[[#This Row],[Min]],LEN(Table15[[#This Row],[Min]])-FIND("-",Table15[[#This Row],[Min]])))&gt;INDIRECT(ADDRESS(11+MATCH(LEFT(Table15[[#This Row],[Min]],FIND("-",Table15[[#This Row],[Min]])-1),Table1[Content Sku],0),16,1,1,"Entities")),"review","ok"),"ok")</f>
        <v>ok</v>
      </c>
      <c r="AK382" t="s">
        <v>2683</v>
      </c>
      <c r="AL382">
        <v>45000</v>
      </c>
      <c r="AM382">
        <v>0</v>
      </c>
      <c r="AN382" t="s">
        <v>205</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254</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254</v>
      </c>
      <c r="V383">
        <v>0</v>
      </c>
      <c r="W383">
        <v>0</v>
      </c>
      <c r="X383" t="s">
        <v>8</v>
      </c>
      <c r="Y383" s="75" t="str">
        <f ca="1">IF(Table15[[#This Row],[Type]]="KILL",IF(_xlfn.NUMBERVALUE(RIGHT(Table15[[#This Row],[Min]],LEN(Table15[[#This Row],[Min]])-FIND("-",Table15[[#This Row],[Min]])))&gt;INDIRECT(ADDRESS(11+MATCH(LEFT(Table15[[#This Row],[Min]],FIND("-",Table15[[#This Row],[Min]])-1),Table1[Content Sku],0),16,1,1,"Entities")),"review","ok"),"ok")</f>
        <v>ok</v>
      </c>
      <c r="AK383" t="s">
        <v>2683</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254</v>
      </c>
      <c r="F384">
        <v>8000</v>
      </c>
      <c r="G384">
        <v>0</v>
      </c>
      <c r="H384" t="s">
        <v>205</v>
      </c>
      <c r="I384" s="75" t="str">
        <f ca="1">IF(Table7[[#This Row],[Type]]="KILL",IF(_xlfn.NUMBERVALUE(RIGHT(Table7[[#This Row],[Min]],LEN(Table7[[#This Row],[Min]])-FIND("-",Table7[[#This Row],[Min]])))&gt;INDIRECT(ADDRESS(11+MATCH(LEFT(Table7[[#This Row],[Min]],FIND("-",Table7[[#This Row],[Min]])-1),Table1[Content Sku],0),14,1,1,"Entities")),"review","ok"),"ok")</f>
        <v>ok</v>
      </c>
      <c r="U384" t="s">
        <v>254</v>
      </c>
      <c r="V384">
        <v>0</v>
      </c>
      <c r="W384">
        <v>0</v>
      </c>
      <c r="X384" t="s">
        <v>8</v>
      </c>
      <c r="Y384" s="75" t="str">
        <f ca="1">IF(Table15[[#This Row],[Type]]="KILL",IF(_xlfn.NUMBERVALUE(RIGHT(Table15[[#This Row],[Min]],LEN(Table15[[#This Row],[Min]])-FIND("-",Table15[[#This Row],[Min]])))&gt;INDIRECT(ADDRESS(11+MATCH(LEFT(Table15[[#This Row],[Min]],FIND("-",Table15[[#This Row],[Min]])-1),Table1[Content Sku],0),16,1,1,"Entities")),"review","ok"),"ok")</f>
        <v>ok</v>
      </c>
      <c r="AK384" t="s">
        <v>2683</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254</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15000</v>
      </c>
      <c r="W385">
        <v>0</v>
      </c>
      <c r="X385" t="s">
        <v>205</v>
      </c>
      <c r="Y385" s="75" t="str">
        <f ca="1">IF(Table15[[#This Row],[Type]]="KILL",IF(_xlfn.NUMBERVALUE(RIGHT(Table15[[#This Row],[Min]],LEN(Table15[[#This Row],[Min]])-FIND("-",Table15[[#This Row],[Min]])))&gt;INDIRECT(ADDRESS(11+MATCH(LEFT(Table15[[#This Row],[Min]],FIND("-",Table15[[#This Row],[Min]])-1),Table1[Content Sku],0),16,1,1,"Entities")),"review","ok"),"ok")</f>
        <v>ok</v>
      </c>
      <c r="AK385" t="s">
        <v>2683</v>
      </c>
      <c r="AL385">
        <v>0</v>
      </c>
      <c r="AM385">
        <v>75000</v>
      </c>
      <c r="AN385" t="s">
        <v>205</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254</v>
      </c>
      <c r="F386">
        <v>0</v>
      </c>
      <c r="G386">
        <v>19000</v>
      </c>
      <c r="H386" t="s">
        <v>205</v>
      </c>
      <c r="I386" s="75" t="str">
        <f ca="1">IF(Table7[[#This Row],[Type]]="KILL",IF(_xlfn.NUMBERVALUE(RIGHT(Table7[[#This Row],[Min]],LEN(Table7[[#This Row],[Min]])-FIND("-",Table7[[#This Row],[Min]])))&gt;INDIRECT(ADDRESS(11+MATCH(LEFT(Table7[[#This Row],[Min]],FIND("-",Table7[[#This Row],[Min]])-1),Table1[Content Sku],0),14,1,1,"Entities")),"review","ok"),"ok")</f>
        <v>ok</v>
      </c>
      <c r="U386" t="s">
        <v>61</v>
      </c>
      <c r="V386">
        <v>18000</v>
      </c>
      <c r="W386">
        <v>0</v>
      </c>
      <c r="X386" t="s">
        <v>205</v>
      </c>
      <c r="Y386" s="75" t="str">
        <f ca="1">IF(Table15[[#This Row],[Type]]="KILL",IF(_xlfn.NUMBERVALUE(RIGHT(Table15[[#This Row],[Min]],LEN(Table15[[#This Row],[Min]])-FIND("-",Table15[[#This Row],[Min]])))&gt;INDIRECT(ADDRESS(11+MATCH(LEFT(Table15[[#This Row],[Min]],FIND("-",Table15[[#This Row],[Min]])-1),Table1[Content Sku],0),16,1,1,"Entities")),"review","ok"),"ok")</f>
        <v>ok</v>
      </c>
      <c r="AK386" t="s">
        <v>2683</v>
      </c>
      <c r="AL386">
        <v>0</v>
      </c>
      <c r="AM386">
        <v>80000</v>
      </c>
      <c r="AN386" t="s">
        <v>205</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254</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s="75" t="str">
        <f ca="1">IF(Table15[[#This Row],[Type]]="KILL",IF(_xlfn.NUMBERVALUE(RIGHT(Table15[[#This Row],[Min]],LEN(Table15[[#This Row],[Min]])-FIND("-",Table15[[#This Row],[Min]])))&gt;INDIRECT(ADDRESS(11+MATCH(LEFT(Table15[[#This Row],[Min]],FIND("-",Table15[[#This Row],[Min]])-1),Table1[Content Sku],0),16,1,1,"Entities")),"review","ok"),"ok")</f>
        <v>ok</v>
      </c>
      <c r="AK387" t="s">
        <v>2683</v>
      </c>
      <c r="AL387">
        <v>0</v>
      </c>
      <c r="AM387">
        <v>90000</v>
      </c>
      <c r="AN387" t="s">
        <v>205</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254</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29000</v>
      </c>
      <c r="W388">
        <v>0</v>
      </c>
      <c r="X388" t="s">
        <v>205</v>
      </c>
      <c r="Y388" s="75" t="str">
        <f ca="1">IF(Table15[[#This Row],[Type]]="KILL",IF(_xlfn.NUMBERVALUE(RIGHT(Table15[[#This Row],[Min]],LEN(Table15[[#This Row],[Min]])-FIND("-",Table15[[#This Row],[Min]])))&gt;INDIRECT(ADDRESS(11+MATCH(LEFT(Table15[[#This Row],[Min]],FIND("-",Table15[[#This Row],[Min]])-1),Table1[Content Sku],0),16,1,1,"Entities")),"review","ok"),"ok")</f>
        <v>ok</v>
      </c>
      <c r="AK388" t="s">
        <v>2683</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254</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35000</v>
      </c>
      <c r="W389">
        <v>0</v>
      </c>
      <c r="X389" t="s">
        <v>205</v>
      </c>
      <c r="Y389" s="75" t="str">
        <f ca="1">IF(Table15[[#This Row],[Type]]="KILL",IF(_xlfn.NUMBERVALUE(RIGHT(Table15[[#This Row],[Min]],LEN(Table15[[#This Row],[Min]])-FIND("-",Table15[[#This Row],[Min]])))&gt;INDIRECT(ADDRESS(11+MATCH(LEFT(Table15[[#This Row],[Min]],FIND("-",Table15[[#This Row],[Min]])-1),Table1[Content Sku],0),16,1,1,"Entities")),"review","ok"),"ok")</f>
        <v>ok</v>
      </c>
      <c r="AK389" t="s">
        <v>2683</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254</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61</v>
      </c>
      <c r="V390">
        <v>20000</v>
      </c>
      <c r="W390">
        <v>0</v>
      </c>
      <c r="X390" t="s">
        <v>205</v>
      </c>
      <c r="Y390" s="75" t="str">
        <f ca="1">IF(Table15[[#This Row],[Type]]="KILL",IF(_xlfn.NUMBERVALUE(RIGHT(Table15[[#This Row],[Min]],LEN(Table15[[#This Row],[Min]])-FIND("-",Table15[[#This Row],[Min]])))&gt;INDIRECT(ADDRESS(11+MATCH(LEFT(Table15[[#This Row],[Min]],FIND("-",Table15[[#This Row],[Min]])-1),Table1[Content Sku],0),16,1,1,"Entities")),"review","ok"),"ok")</f>
        <v>ok</v>
      </c>
      <c r="AK390" t="s">
        <v>2683</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254</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61</v>
      </c>
      <c r="V391">
        <v>0</v>
      </c>
      <c r="W391">
        <v>0</v>
      </c>
      <c r="X391" t="s">
        <v>8</v>
      </c>
      <c r="Y391" s="75" t="str">
        <f ca="1">IF(Table15[[#This Row],[Type]]="KILL",IF(_xlfn.NUMBERVALUE(RIGHT(Table15[[#This Row],[Min]],LEN(Table15[[#This Row],[Min]])-FIND("-",Table15[[#This Row],[Min]])))&gt;INDIRECT(ADDRESS(11+MATCH(LEFT(Table15[[#This Row],[Min]],FIND("-",Table15[[#This Row],[Min]])-1),Table1[Content Sku],0),16,1,1,"Entities")),"review","ok"),"ok")</f>
        <v>ok</v>
      </c>
      <c r="AK391" t="s">
        <v>2683</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254</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61</v>
      </c>
      <c r="V392">
        <v>0</v>
      </c>
      <c r="W392">
        <v>0</v>
      </c>
      <c r="X392" t="s">
        <v>8</v>
      </c>
      <c r="Y392" s="75" t="str">
        <f ca="1">IF(Table15[[#This Row],[Type]]="KILL",IF(_xlfn.NUMBERVALUE(RIGHT(Table15[[#This Row],[Min]],LEN(Table15[[#This Row],[Min]])-FIND("-",Table15[[#This Row],[Min]])))&gt;INDIRECT(ADDRESS(11+MATCH(LEFT(Table15[[#This Row],[Min]],FIND("-",Table15[[#This Row],[Min]])-1),Table1[Content Sku],0),16,1,1,"Entities")),"review","ok"),"ok")</f>
        <v>ok</v>
      </c>
      <c r="AK392" t="s">
        <v>2683</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254</v>
      </c>
      <c r="F393">
        <v>0</v>
      </c>
      <c r="G393">
        <v>0</v>
      </c>
      <c r="H393" t="s">
        <v>8</v>
      </c>
      <c r="I393" s="75" t="str">
        <f ca="1">IF(Table7[[#This Row],[Type]]="KILL",IF(_xlfn.NUMBERVALUE(RIGHT(Table7[[#This Row],[Min]],LEN(Table7[[#This Row],[Min]])-FIND("-",Table7[[#This Row],[Min]])))&gt;INDIRECT(ADDRESS(11+MATCH(LEFT(Table7[[#This Row],[Min]],FIND("-",Table7[[#This Row],[Min]])-1),Table1[Content Sku],0),14,1,1,"Entities")),"review","ok"),"ok")</f>
        <v>ok</v>
      </c>
      <c r="U393" t="s">
        <v>61</v>
      </c>
      <c r="V393">
        <v>0</v>
      </c>
      <c r="W393">
        <v>0</v>
      </c>
      <c r="X393" t="s">
        <v>8</v>
      </c>
      <c r="Y393" s="75" t="str">
        <f ca="1">IF(Table15[[#This Row],[Type]]="KILL",IF(_xlfn.NUMBERVALUE(RIGHT(Table15[[#This Row],[Min]],LEN(Table15[[#This Row],[Min]])-FIND("-",Table15[[#This Row],[Min]])))&gt;INDIRECT(ADDRESS(11+MATCH(LEFT(Table15[[#This Row],[Min]],FIND("-",Table15[[#This Row],[Min]])-1),Table1[Content Sku],0),16,1,1,"Entities")),"review","ok"),"ok")</f>
        <v>ok</v>
      </c>
      <c r="AK393" t="s">
        <v>2683</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254</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61</v>
      </c>
      <c r="V394">
        <v>22000</v>
      </c>
      <c r="W394">
        <v>0</v>
      </c>
      <c r="X394" t="s">
        <v>205</v>
      </c>
      <c r="Y394" s="75" t="str">
        <f ca="1">IF(Table15[[#This Row],[Type]]="KILL",IF(_xlfn.NUMBERVALUE(RIGHT(Table15[[#This Row],[Min]],LEN(Table15[[#This Row],[Min]])-FIND("-",Table15[[#This Row],[Min]])))&gt;INDIRECT(ADDRESS(11+MATCH(LEFT(Table15[[#This Row],[Min]],FIND("-",Table15[[#This Row],[Min]])-1),Table1[Content Sku],0),16,1,1,"Entities")),"review","ok"),"ok")</f>
        <v>ok</v>
      </c>
      <c r="AK394" t="s">
        <v>2683</v>
      </c>
      <c r="AL394">
        <v>50000</v>
      </c>
      <c r="AM394">
        <v>0</v>
      </c>
      <c r="AN394" t="s">
        <v>205</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254</v>
      </c>
      <c r="F395">
        <v>2400</v>
      </c>
      <c r="G395">
        <v>0</v>
      </c>
      <c r="H395" t="s">
        <v>205</v>
      </c>
      <c r="I395" s="75" t="str">
        <f ca="1">IF(Table7[[#This Row],[Type]]="KILL",IF(_xlfn.NUMBERVALUE(RIGHT(Table7[[#This Row],[Min]],LEN(Table7[[#This Row],[Min]])-FIND("-",Table7[[#This Row],[Min]])))&gt;INDIRECT(ADDRESS(11+MATCH(LEFT(Table7[[#This Row],[Min]],FIND("-",Table7[[#This Row],[Min]])-1),Table1[Content Sku],0),14,1,1,"Entities")),"review","ok"),"ok")</f>
        <v>ok</v>
      </c>
      <c r="U395" t="s">
        <v>61</v>
      </c>
      <c r="V395">
        <v>36000</v>
      </c>
      <c r="W395">
        <v>0</v>
      </c>
      <c r="X395" t="s">
        <v>205</v>
      </c>
      <c r="Y395" s="75" t="str">
        <f ca="1">IF(Table15[[#This Row],[Type]]="KILL",IF(_xlfn.NUMBERVALUE(RIGHT(Table15[[#This Row],[Min]],LEN(Table15[[#This Row],[Min]])-FIND("-",Table15[[#This Row],[Min]])))&gt;INDIRECT(ADDRESS(11+MATCH(LEFT(Table15[[#This Row],[Min]],FIND("-",Table15[[#This Row],[Min]])-1),Table1[Content Sku],0),16,1,1,"Entities")),"review","ok"),"ok")</f>
        <v>ok</v>
      </c>
      <c r="AK395" t="s">
        <v>2686</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254</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61</v>
      </c>
      <c r="V396">
        <v>25000</v>
      </c>
      <c r="W396">
        <v>0</v>
      </c>
      <c r="X396" t="s">
        <v>205</v>
      </c>
      <c r="Y396" s="75" t="str">
        <f ca="1">IF(Table15[[#This Row],[Type]]="KILL",IF(_xlfn.NUMBERVALUE(RIGHT(Table15[[#This Row],[Min]],LEN(Table15[[#This Row],[Min]])-FIND("-",Table15[[#This Row],[Min]])))&gt;INDIRECT(ADDRESS(11+MATCH(LEFT(Table15[[#This Row],[Min]],FIND("-",Table15[[#This Row],[Min]])-1),Table1[Content Sku],0),16,1,1,"Entities")),"review","ok"),"ok")</f>
        <v>ok</v>
      </c>
      <c r="AK396" t="s">
        <v>2686</v>
      </c>
      <c r="AL396">
        <v>0</v>
      </c>
      <c r="AM396">
        <v>40000</v>
      </c>
      <c r="AN396" t="s">
        <v>205</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254</v>
      </c>
      <c r="F397">
        <v>0</v>
      </c>
      <c r="G397">
        <v>28000</v>
      </c>
      <c r="H397" t="s">
        <v>205</v>
      </c>
      <c r="I397" s="75" t="str">
        <f ca="1">IF(Table7[[#This Row],[Type]]="KILL",IF(_xlfn.NUMBERVALUE(RIGHT(Table7[[#This Row],[Min]],LEN(Table7[[#This Row],[Min]])-FIND("-",Table7[[#This Row],[Min]])))&gt;INDIRECT(ADDRESS(11+MATCH(LEFT(Table7[[#This Row],[Min]],FIND("-",Table7[[#This Row],[Min]])-1),Table1[Content Sku],0),14,1,1,"Entities")),"review","ok"),"ok")</f>
        <v>ok</v>
      </c>
      <c r="U397" t="s">
        <v>61</v>
      </c>
      <c r="V397">
        <v>27000</v>
      </c>
      <c r="W397">
        <v>0</v>
      </c>
      <c r="X397" t="s">
        <v>205</v>
      </c>
      <c r="Y397" s="75" t="str">
        <f ca="1">IF(Table15[[#This Row],[Type]]="KILL",IF(_xlfn.NUMBERVALUE(RIGHT(Table15[[#This Row],[Min]],LEN(Table15[[#This Row],[Min]])-FIND("-",Table15[[#This Row],[Min]])))&gt;INDIRECT(ADDRESS(11+MATCH(LEFT(Table15[[#This Row],[Min]],FIND("-",Table15[[#This Row],[Min]])-1),Table1[Content Sku],0),16,1,1,"Entities")),"review","ok"),"ok")</f>
        <v>ok</v>
      </c>
      <c r="AK397" t="s">
        <v>2686</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254</v>
      </c>
      <c r="F398">
        <v>8000</v>
      </c>
      <c r="G398">
        <v>0</v>
      </c>
      <c r="H398" t="s">
        <v>205</v>
      </c>
      <c r="I398" s="75" t="str">
        <f ca="1">IF(Table7[[#This Row],[Type]]="KILL",IF(_xlfn.NUMBERVALUE(RIGHT(Table7[[#This Row],[Min]],LEN(Table7[[#This Row],[Min]])-FIND("-",Table7[[#This Row],[Min]])))&gt;INDIRECT(ADDRESS(11+MATCH(LEFT(Table7[[#This Row],[Min]],FIND("-",Table7[[#This Row],[Min]])-1),Table1[Content Sku],0),14,1,1,"Entities")),"review","ok"),"ok")</f>
        <v>ok</v>
      </c>
      <c r="U398" t="s">
        <v>62</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2686</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254</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62</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2681</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254</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95</v>
      </c>
      <c r="V400">
        <v>0</v>
      </c>
      <c r="W400">
        <v>0</v>
      </c>
      <c r="X400" t="s">
        <v>8</v>
      </c>
      <c r="Y400" s="75" t="str">
        <f ca="1">IF(Table15[[#This Row],[Type]]="KILL",IF(_xlfn.NUMBERVALUE(RIGHT(Table15[[#This Row],[Min]],LEN(Table15[[#This Row],[Min]])-FIND("-",Table15[[#This Row],[Min]])))&gt;INDIRECT(ADDRESS(11+MATCH(LEFT(Table15[[#This Row],[Min]],FIND("-",Table15[[#This Row],[Min]])-1),Table1[Content Sku],0),16,1,1,"Entities")),"review","ok"),"ok")</f>
        <v>ok</v>
      </c>
      <c r="AK400" t="s">
        <v>2681</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254</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95</v>
      </c>
      <c r="V401">
        <v>0</v>
      </c>
      <c r="W401">
        <v>0</v>
      </c>
      <c r="X401" t="s">
        <v>8</v>
      </c>
      <c r="Y401" s="75" t="str">
        <f ca="1">IF(Table15[[#This Row],[Type]]="KILL",IF(_xlfn.NUMBERVALUE(RIGHT(Table15[[#This Row],[Min]],LEN(Table15[[#This Row],[Min]])-FIND("-",Table15[[#This Row],[Min]])))&gt;INDIRECT(ADDRESS(11+MATCH(LEFT(Table15[[#This Row],[Min]],FIND("-",Table15[[#This Row],[Min]])-1),Table1[Content Sku],0),16,1,1,"Entities")),"review","ok"),"ok")</f>
        <v>ok</v>
      </c>
      <c r="AK401" t="s">
        <v>2681</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254</v>
      </c>
      <c r="F402">
        <v>4500</v>
      </c>
      <c r="G402">
        <v>0</v>
      </c>
      <c r="H402" t="s">
        <v>205</v>
      </c>
      <c r="I402" s="75" t="str">
        <f ca="1">IF(Table7[[#This Row],[Type]]="KILL",IF(_xlfn.NUMBERVALUE(RIGHT(Table7[[#This Row],[Min]],LEN(Table7[[#This Row],[Min]])-FIND("-",Table7[[#This Row],[Min]])))&gt;INDIRECT(ADDRESS(11+MATCH(LEFT(Table7[[#This Row],[Min]],FIND("-",Table7[[#This Row],[Min]])-1),Table1[Content Sku],0),14,1,1,"Entities")),"review","ok"),"ok")</f>
        <v>ok</v>
      </c>
      <c r="U402" t="s">
        <v>95</v>
      </c>
      <c r="V402">
        <v>0</v>
      </c>
      <c r="W402">
        <v>0</v>
      </c>
      <c r="X402" t="s">
        <v>8</v>
      </c>
      <c r="Y402" s="75" t="str">
        <f ca="1">IF(Table15[[#This Row],[Type]]="KILL",IF(_xlfn.NUMBERVALUE(RIGHT(Table15[[#This Row],[Min]],LEN(Table15[[#This Row],[Min]])-FIND("-",Table15[[#This Row],[Min]])))&gt;INDIRECT(ADDRESS(11+MATCH(LEFT(Table15[[#This Row],[Min]],FIND("-",Table15[[#This Row],[Min]])-1),Table1[Content Sku],0),16,1,1,"Entities")),"review","ok"),"ok")</f>
        <v>ok</v>
      </c>
      <c r="AK402" t="s">
        <v>2681</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254</v>
      </c>
      <c r="F403">
        <v>3000</v>
      </c>
      <c r="G403">
        <v>0</v>
      </c>
      <c r="H403" t="s">
        <v>205</v>
      </c>
      <c r="I403" s="75" t="str">
        <f ca="1">IF(Table7[[#This Row],[Type]]="KILL",IF(_xlfn.NUMBERVALUE(RIGHT(Table7[[#This Row],[Min]],LEN(Table7[[#This Row],[Min]])-FIND("-",Table7[[#This Row],[Min]])))&gt;INDIRECT(ADDRESS(11+MATCH(LEFT(Table7[[#This Row],[Min]],FIND("-",Table7[[#This Row],[Min]])-1),Table1[Content Sku],0),14,1,1,"Entities")),"review","ok"),"ok")</f>
        <v>ok</v>
      </c>
      <c r="U403" t="s">
        <v>95</v>
      </c>
      <c r="V403">
        <v>24000</v>
      </c>
      <c r="W403">
        <v>0</v>
      </c>
      <c r="X403" t="s">
        <v>205</v>
      </c>
      <c r="Y403" s="75" t="str">
        <f ca="1">IF(Table15[[#This Row],[Type]]="KILL",IF(_xlfn.NUMBERVALUE(RIGHT(Table15[[#This Row],[Min]],LEN(Table15[[#This Row],[Min]])-FIND("-",Table15[[#This Row],[Min]])))&gt;INDIRECT(ADDRESS(11+MATCH(LEFT(Table15[[#This Row],[Min]],FIND("-",Table15[[#This Row],[Min]])-1),Table1[Content Sku],0),16,1,1,"Entities")),"review","ok"),"ok")</f>
        <v>ok</v>
      </c>
      <c r="AK403" t="s">
        <v>2681</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254</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95</v>
      </c>
      <c r="V404">
        <v>0</v>
      </c>
      <c r="W404">
        <v>0</v>
      </c>
      <c r="X404" t="s">
        <v>8</v>
      </c>
      <c r="Y404" s="75" t="str">
        <f ca="1">IF(Table15[[#This Row],[Type]]="KILL",IF(_xlfn.NUMBERVALUE(RIGHT(Table15[[#This Row],[Min]],LEN(Table15[[#This Row],[Min]])-FIND("-",Table15[[#This Row],[Min]])))&gt;INDIRECT(ADDRESS(11+MATCH(LEFT(Table15[[#This Row],[Min]],FIND("-",Table15[[#This Row],[Min]])-1),Table1[Content Sku],0),16,1,1,"Entities")),"review","ok"),"ok")</f>
        <v>ok</v>
      </c>
      <c r="AK404" t="s">
        <v>2681</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254</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95</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2681</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254</v>
      </c>
      <c r="F406">
        <v>0</v>
      </c>
      <c r="G406">
        <v>5000</v>
      </c>
      <c r="H406" t="s">
        <v>205</v>
      </c>
      <c r="I406" s="75" t="str">
        <f ca="1">IF(Table7[[#This Row],[Type]]="KILL",IF(_xlfn.NUMBERVALUE(RIGHT(Table7[[#This Row],[Min]],LEN(Table7[[#This Row],[Min]])-FIND("-",Table7[[#This Row],[Min]])))&gt;INDIRECT(ADDRESS(11+MATCH(LEFT(Table7[[#This Row],[Min]],FIND("-",Table7[[#This Row],[Min]])-1),Table1[Content Sku],0),14,1,1,"Entities")),"review","ok"),"ok")</f>
        <v>ok</v>
      </c>
      <c r="U406" t="s">
        <v>95</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2681</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254</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95</v>
      </c>
      <c r="V407">
        <v>0</v>
      </c>
      <c r="W407">
        <v>0</v>
      </c>
      <c r="X407" t="s">
        <v>8</v>
      </c>
      <c r="Y407" s="75" t="str">
        <f ca="1">IF(Table15[[#This Row],[Type]]="KILL",IF(_xlfn.NUMBERVALUE(RIGHT(Table15[[#This Row],[Min]],LEN(Table15[[#This Row],[Min]])-FIND("-",Table15[[#This Row],[Min]])))&gt;INDIRECT(ADDRESS(11+MATCH(LEFT(Table15[[#This Row],[Min]],FIND("-",Table15[[#This Row],[Min]])-1),Table1[Content Sku],0),16,1,1,"Entities")),"review","ok"),"ok")</f>
        <v>ok</v>
      </c>
      <c r="AK407" t="s">
        <v>2681</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254</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95</v>
      </c>
      <c r="V408">
        <v>0</v>
      </c>
      <c r="W408">
        <v>0</v>
      </c>
      <c r="X408" t="s">
        <v>8</v>
      </c>
      <c r="Y408" s="75" t="str">
        <f ca="1">IF(Table15[[#This Row],[Type]]="KILL",IF(_xlfn.NUMBERVALUE(RIGHT(Table15[[#This Row],[Min]],LEN(Table15[[#This Row],[Min]])-FIND("-",Table15[[#This Row],[Min]])))&gt;INDIRECT(ADDRESS(11+MATCH(LEFT(Table15[[#This Row],[Min]],FIND("-",Table15[[#This Row],[Min]])-1),Table1[Content Sku],0),16,1,1,"Entities")),"review","ok"),"ok")</f>
        <v>ok</v>
      </c>
      <c r="AK408" t="s">
        <v>2681</v>
      </c>
      <c r="AL408">
        <v>0</v>
      </c>
      <c r="AM408">
        <v>50000</v>
      </c>
      <c r="AN408" t="s">
        <v>205</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254</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95</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2681</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254</v>
      </c>
      <c r="F410">
        <v>0</v>
      </c>
      <c r="G410">
        <v>16000</v>
      </c>
      <c r="H410" t="s">
        <v>205</v>
      </c>
      <c r="I410" s="75" t="str">
        <f ca="1">IF(Table7[[#This Row],[Type]]="KILL",IF(_xlfn.NUMBERVALUE(RIGHT(Table7[[#This Row],[Min]],LEN(Table7[[#This Row],[Min]])-FIND("-",Table7[[#This Row],[Min]])))&gt;INDIRECT(ADDRESS(11+MATCH(LEFT(Table7[[#This Row],[Min]],FIND("-",Table7[[#This Row],[Min]])-1),Table1[Content Sku],0),14,1,1,"Entities")),"review","ok"),"ok")</f>
        <v>ok</v>
      </c>
      <c r="U410" t="s">
        <v>95</v>
      </c>
      <c r="V410">
        <v>0</v>
      </c>
      <c r="W410">
        <v>0</v>
      </c>
      <c r="X410" t="s">
        <v>8</v>
      </c>
      <c r="Y410" s="75" t="str">
        <f ca="1">IF(Table15[[#This Row],[Type]]="KILL",IF(_xlfn.NUMBERVALUE(RIGHT(Table15[[#This Row],[Min]],LEN(Table15[[#This Row],[Min]])-FIND("-",Table15[[#This Row],[Min]])))&gt;INDIRECT(ADDRESS(11+MATCH(LEFT(Table15[[#This Row],[Min]],FIND("-",Table15[[#This Row],[Min]])-1),Table1[Content Sku],0),16,1,1,"Entities")),"review","ok"),"ok")</f>
        <v>ok</v>
      </c>
      <c r="AK410" t="s">
        <v>2681</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254</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95</v>
      </c>
      <c r="V411">
        <v>0</v>
      </c>
      <c r="W411">
        <v>0</v>
      </c>
      <c r="X411" t="s">
        <v>8</v>
      </c>
      <c r="Y411" s="75" t="str">
        <f ca="1">IF(Table15[[#This Row],[Type]]="KILL",IF(_xlfn.NUMBERVALUE(RIGHT(Table15[[#This Row],[Min]],LEN(Table15[[#This Row],[Min]])-FIND("-",Table15[[#This Row],[Min]])))&gt;INDIRECT(ADDRESS(11+MATCH(LEFT(Table15[[#This Row],[Min]],FIND("-",Table15[[#This Row],[Min]])-1),Table1[Content Sku],0),16,1,1,"Entities")),"review","ok"),"ok")</f>
        <v>ok</v>
      </c>
      <c r="AK411" t="s">
        <v>2681</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254</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95</v>
      </c>
      <c r="V412">
        <v>0</v>
      </c>
      <c r="W412">
        <v>0</v>
      </c>
      <c r="X412" t="s">
        <v>8</v>
      </c>
      <c r="Y412" s="75" t="str">
        <f ca="1">IF(Table15[[#This Row],[Type]]="KILL",IF(_xlfn.NUMBERVALUE(RIGHT(Table15[[#This Row],[Min]],LEN(Table15[[#This Row],[Min]])-FIND("-",Table15[[#This Row],[Min]])))&gt;INDIRECT(ADDRESS(11+MATCH(LEFT(Table15[[#This Row],[Min]],FIND("-",Table15[[#This Row],[Min]])-1),Table1[Content Sku],0),16,1,1,"Entities")),"review","ok"),"ok")</f>
        <v>ok</v>
      </c>
      <c r="AK412" t="s">
        <v>2681</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254</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95</v>
      </c>
      <c r="V413">
        <v>0</v>
      </c>
      <c r="W413">
        <v>0</v>
      </c>
      <c r="X413" t="s">
        <v>8</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254</v>
      </c>
      <c r="F414">
        <v>0</v>
      </c>
      <c r="G414">
        <v>27000</v>
      </c>
      <c r="H414" t="s">
        <v>205</v>
      </c>
      <c r="I414" s="75" t="str">
        <f ca="1">IF(Table7[[#This Row],[Type]]="KILL",IF(_xlfn.NUMBERVALUE(RIGHT(Table7[[#This Row],[Min]],LEN(Table7[[#This Row],[Min]])-FIND("-",Table7[[#This Row],[Min]])))&gt;INDIRECT(ADDRESS(11+MATCH(LEFT(Table7[[#This Row],[Min]],FIND("-",Table7[[#This Row],[Min]])-1),Table1[Content Sku],0),14,1,1,"Entities")),"review","ok"),"ok")</f>
        <v>ok</v>
      </c>
      <c r="U414" t="s">
        <v>95</v>
      </c>
      <c r="V414">
        <v>0</v>
      </c>
      <c r="W414">
        <v>0</v>
      </c>
      <c r="X414" t="s">
        <v>8</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254</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95</v>
      </c>
      <c r="V415">
        <v>0</v>
      </c>
      <c r="W415">
        <v>0</v>
      </c>
      <c r="X415" t="s">
        <v>8</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254</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95</v>
      </c>
      <c r="V416">
        <v>0</v>
      </c>
      <c r="W416">
        <v>0</v>
      </c>
      <c r="X416" t="s">
        <v>8</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254</v>
      </c>
      <c r="F417">
        <v>0</v>
      </c>
      <c r="G417">
        <v>0</v>
      </c>
      <c r="H417" t="s">
        <v>8</v>
      </c>
      <c r="I417" s="75" t="str">
        <f ca="1">IF(Table7[[#This Row],[Type]]="KILL",IF(_xlfn.NUMBERVALUE(RIGHT(Table7[[#This Row],[Min]],LEN(Table7[[#This Row],[Min]])-FIND("-",Table7[[#This Row],[Min]])))&gt;INDIRECT(ADDRESS(11+MATCH(LEFT(Table7[[#This Row],[Min]],FIND("-",Table7[[#This Row],[Min]])-1),Table1[Content Sku],0),14,1,1,"Entities")),"review","ok"),"ok")</f>
        <v>ok</v>
      </c>
      <c r="U417" t="s">
        <v>95</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254</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95</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254</v>
      </c>
      <c r="F419">
        <v>8000</v>
      </c>
      <c r="G419">
        <v>0</v>
      </c>
      <c r="H419" t="s">
        <v>205</v>
      </c>
      <c r="I419" s="75" t="str">
        <f ca="1">IF(Table7[[#This Row],[Type]]="KILL",IF(_xlfn.NUMBERVALUE(RIGHT(Table7[[#This Row],[Min]],LEN(Table7[[#This Row],[Min]])-FIND("-",Table7[[#This Row],[Min]])))&gt;INDIRECT(ADDRESS(11+MATCH(LEFT(Table7[[#This Row],[Min]],FIND("-",Table7[[#This Row],[Min]])-1),Table1[Content Sku],0),14,1,1,"Entities")),"review","ok"),"ok")</f>
        <v>ok</v>
      </c>
      <c r="U419" t="s">
        <v>95</v>
      </c>
      <c r="V419">
        <v>20000</v>
      </c>
      <c r="W419">
        <v>0</v>
      </c>
      <c r="X419" t="s">
        <v>205</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254</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95</v>
      </c>
      <c r="V420">
        <v>0</v>
      </c>
      <c r="W420">
        <v>0</v>
      </c>
      <c r="X420" t="s">
        <v>8</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254</v>
      </c>
      <c r="F421">
        <v>4000</v>
      </c>
      <c r="G421">
        <v>0</v>
      </c>
      <c r="H421" t="s">
        <v>205</v>
      </c>
      <c r="I421" s="75" t="str">
        <f ca="1">IF(Table7[[#This Row],[Type]]="KILL",IF(_xlfn.NUMBERVALUE(RIGHT(Table7[[#This Row],[Min]],LEN(Table7[[#This Row],[Min]])-FIND("-",Table7[[#This Row],[Min]])))&gt;INDIRECT(ADDRESS(11+MATCH(LEFT(Table7[[#This Row],[Min]],FIND("-",Table7[[#This Row],[Min]])-1),Table1[Content Sku],0),14,1,1,"Entities")),"review","ok"),"ok")</f>
        <v>ok</v>
      </c>
      <c r="U421" t="s">
        <v>95</v>
      </c>
      <c r="V421">
        <v>24000</v>
      </c>
      <c r="W421">
        <v>0</v>
      </c>
      <c r="X421" t="s">
        <v>205</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254</v>
      </c>
      <c r="F422">
        <v>0</v>
      </c>
      <c r="G422">
        <v>23000</v>
      </c>
      <c r="H422" t="s">
        <v>205</v>
      </c>
      <c r="I422" s="75" t="str">
        <f ca="1">IF(Table7[[#This Row],[Type]]="KILL",IF(_xlfn.NUMBERVALUE(RIGHT(Table7[[#This Row],[Min]],LEN(Table7[[#This Row],[Min]])-FIND("-",Table7[[#This Row],[Min]])))&gt;INDIRECT(ADDRESS(11+MATCH(LEFT(Table7[[#This Row],[Min]],FIND("-",Table7[[#This Row],[Min]])-1),Table1[Content Sku],0),14,1,1,"Entities")),"review","ok"),"ok")</f>
        <v>ok</v>
      </c>
      <c r="U422" t="s">
        <v>95</v>
      </c>
      <c r="V422">
        <v>0</v>
      </c>
      <c r="W422">
        <v>0</v>
      </c>
      <c r="X422" t="s">
        <v>8</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254</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95</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254</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95</v>
      </c>
      <c r="V424">
        <v>0</v>
      </c>
      <c r="W424">
        <v>0</v>
      </c>
      <c r="X424" t="s">
        <v>8</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254</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95</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254</v>
      </c>
      <c r="F426">
        <v>0</v>
      </c>
      <c r="G426">
        <v>15000</v>
      </c>
      <c r="H426" t="s">
        <v>205</v>
      </c>
      <c r="I426" s="75" t="str">
        <f ca="1">IF(Table7[[#This Row],[Type]]="KILL",IF(_xlfn.NUMBERVALUE(RIGHT(Table7[[#This Row],[Min]],LEN(Table7[[#This Row],[Min]])-FIND("-",Table7[[#This Row],[Min]])))&gt;INDIRECT(ADDRESS(11+MATCH(LEFT(Table7[[#This Row],[Min]],FIND("-",Table7[[#This Row],[Min]])-1),Table1[Content Sku],0),14,1,1,"Entities")),"review","ok"),"ok")</f>
        <v>ok</v>
      </c>
      <c r="U426" t="s">
        <v>95</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254</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95</v>
      </c>
      <c r="V427">
        <v>0</v>
      </c>
      <c r="W427">
        <v>35000</v>
      </c>
      <c r="X427" t="s">
        <v>205</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254</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95</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254</v>
      </c>
      <c r="F429">
        <v>3000</v>
      </c>
      <c r="G429">
        <v>0</v>
      </c>
      <c r="H429" t="s">
        <v>205</v>
      </c>
      <c r="I429" s="75" t="str">
        <f ca="1">IF(Table7[[#This Row],[Type]]="KILL",IF(_xlfn.NUMBERVALUE(RIGHT(Table7[[#This Row],[Min]],LEN(Table7[[#This Row],[Min]])-FIND("-",Table7[[#This Row],[Min]])))&gt;INDIRECT(ADDRESS(11+MATCH(LEFT(Table7[[#This Row],[Min]],FIND("-",Table7[[#This Row],[Min]])-1),Table1[Content Sku],0),14,1,1,"Entities")),"review","ok"),"ok")</f>
        <v>ok</v>
      </c>
      <c r="U429" t="s">
        <v>95</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254</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95</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205</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254</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95</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254</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95</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205</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254</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95</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254</v>
      </c>
      <c r="F434">
        <v>7000</v>
      </c>
      <c r="G434">
        <v>0</v>
      </c>
      <c r="H434" t="s">
        <v>205</v>
      </c>
      <c r="I434" s="75" t="str">
        <f ca="1">IF(Table7[[#This Row],[Type]]="KILL",IF(_xlfn.NUMBERVALUE(RIGHT(Table7[[#This Row],[Min]],LEN(Table7[[#This Row],[Min]])-FIND("-",Table7[[#This Row],[Min]])))&gt;INDIRECT(ADDRESS(11+MATCH(LEFT(Table7[[#This Row],[Min]],FIND("-",Table7[[#This Row],[Min]])-1),Table1[Content Sku],0),14,1,1,"Entities")),"review","ok"),"ok")</f>
        <v>ok</v>
      </c>
      <c r="U434" t="s">
        <v>95</v>
      </c>
      <c r="V434">
        <v>0</v>
      </c>
      <c r="W434">
        <v>35000</v>
      </c>
      <c r="X434" t="s">
        <v>205</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254</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95</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254</v>
      </c>
      <c r="F436">
        <v>4000</v>
      </c>
      <c r="G436">
        <v>0</v>
      </c>
      <c r="H436" t="s">
        <v>205</v>
      </c>
      <c r="I436" s="75" t="str">
        <f ca="1">IF(Table7[[#This Row],[Type]]="KILL",IF(_xlfn.NUMBERVALUE(RIGHT(Table7[[#This Row],[Min]],LEN(Table7[[#This Row],[Min]])-FIND("-",Table7[[#This Row],[Min]])))&gt;INDIRECT(ADDRESS(11+MATCH(LEFT(Table7[[#This Row],[Min]],FIND("-",Table7[[#This Row],[Min]])-1),Table1[Content Sku],0),14,1,1,"Entities")),"review","ok"),"ok")</f>
        <v>ok</v>
      </c>
      <c r="U436" t="s">
        <v>95</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254</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95</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205</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254</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95</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254</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445</v>
      </c>
      <c r="V439">
        <v>240</v>
      </c>
      <c r="W439">
        <v>0</v>
      </c>
      <c r="X439" t="s">
        <v>4439</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254</v>
      </c>
      <c r="F440">
        <v>0</v>
      </c>
      <c r="G440">
        <v>18000</v>
      </c>
      <c r="H440" t="s">
        <v>205</v>
      </c>
      <c r="I440" s="75" t="str">
        <f ca="1">IF(Table7[[#This Row],[Type]]="KILL",IF(_xlfn.NUMBERVALUE(RIGHT(Table7[[#This Row],[Min]],LEN(Table7[[#This Row],[Min]])-FIND("-",Table7[[#This Row],[Min]])))&gt;INDIRECT(ADDRESS(11+MATCH(LEFT(Table7[[#This Row],[Min]],FIND("-",Table7[[#This Row],[Min]])-1),Table1[Content Sku],0),14,1,1,"Entities")),"review","ok"),"ok")</f>
        <v>ok</v>
      </c>
      <c r="U440" t="s">
        <v>445</v>
      </c>
      <c r="V440">
        <v>38000</v>
      </c>
      <c r="W440">
        <v>0</v>
      </c>
      <c r="X440" t="s">
        <v>205</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254</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445</v>
      </c>
      <c r="V441">
        <v>0</v>
      </c>
      <c r="W441">
        <v>0</v>
      </c>
      <c r="X441" t="s">
        <v>8</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254</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445</v>
      </c>
      <c r="V442">
        <v>32000</v>
      </c>
      <c r="W442">
        <v>0</v>
      </c>
      <c r="X442" t="s">
        <v>205</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254</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445</v>
      </c>
      <c r="V443">
        <v>0</v>
      </c>
      <c r="W443">
        <v>0</v>
      </c>
      <c r="X443" t="s">
        <v>8</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205</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254</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445</v>
      </c>
      <c r="V444">
        <v>0</v>
      </c>
      <c r="W444">
        <v>0</v>
      </c>
      <c r="X444" t="s">
        <v>8</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205</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254</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445</v>
      </c>
      <c r="V445">
        <v>0</v>
      </c>
      <c r="W445">
        <v>0</v>
      </c>
      <c r="X445" t="s">
        <v>8</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254</v>
      </c>
      <c r="F446">
        <v>1100</v>
      </c>
      <c r="G446">
        <v>0</v>
      </c>
      <c r="H446" t="s">
        <v>205</v>
      </c>
      <c r="I446" s="75" t="str">
        <f ca="1">IF(Table7[[#This Row],[Type]]="KILL",IF(_xlfn.NUMBERVALUE(RIGHT(Table7[[#This Row],[Min]],LEN(Table7[[#This Row],[Min]])-FIND("-",Table7[[#This Row],[Min]])))&gt;INDIRECT(ADDRESS(11+MATCH(LEFT(Table7[[#This Row],[Min]],FIND("-",Table7[[#This Row],[Min]])-1),Table1[Content Sku],0),14,1,1,"Entities")),"review","ok"),"ok")</f>
        <v>ok</v>
      </c>
      <c r="U446" t="s">
        <v>445</v>
      </c>
      <c r="V446">
        <v>380</v>
      </c>
      <c r="W446">
        <v>0</v>
      </c>
      <c r="X446" t="s">
        <v>4439</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205</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254</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445</v>
      </c>
      <c r="V447">
        <v>0</v>
      </c>
      <c r="W447">
        <v>300</v>
      </c>
      <c r="X447" t="s">
        <v>4439</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254</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445</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205</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254</v>
      </c>
      <c r="F449">
        <v>6000</v>
      </c>
      <c r="G449">
        <v>0</v>
      </c>
      <c r="H449" t="s">
        <v>205</v>
      </c>
      <c r="I449" s="75" t="str">
        <f ca="1">IF(Table7[[#This Row],[Type]]="KILL",IF(_xlfn.NUMBERVALUE(RIGHT(Table7[[#This Row],[Min]],LEN(Table7[[#This Row],[Min]])-FIND("-",Table7[[#This Row],[Min]])))&gt;INDIRECT(ADDRESS(11+MATCH(LEFT(Table7[[#This Row],[Min]],FIND("-",Table7[[#This Row],[Min]])-1),Table1[Content Sku],0),14,1,1,"Entities")),"review","ok"),"ok")</f>
        <v>ok</v>
      </c>
      <c r="U449" t="s">
        <v>445</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205</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254</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445</v>
      </c>
      <c r="V450">
        <v>300</v>
      </c>
      <c r="W450">
        <v>0</v>
      </c>
      <c r="X450" t="s">
        <v>4439</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205</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254</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445</v>
      </c>
      <c r="V451">
        <v>40000</v>
      </c>
      <c r="W451">
        <v>0</v>
      </c>
      <c r="X451" t="s">
        <v>205</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205</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254</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47</v>
      </c>
      <c r="V452">
        <v>0</v>
      </c>
      <c r="W452">
        <v>25000</v>
      </c>
      <c r="X452" t="s">
        <v>205</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205</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254</v>
      </c>
      <c r="F453">
        <v>0</v>
      </c>
      <c r="G453">
        <v>0</v>
      </c>
      <c r="H453" t="s">
        <v>8</v>
      </c>
      <c r="I453" s="75" t="str">
        <f ca="1">IF(Table7[[#This Row],[Type]]="KILL",IF(_xlfn.NUMBERVALUE(RIGHT(Table7[[#This Row],[Min]],LEN(Table7[[#This Row],[Min]])-FIND("-",Table7[[#This Row],[Min]])))&gt;INDIRECT(ADDRESS(11+MATCH(LEFT(Table7[[#This Row],[Min]],FIND("-",Table7[[#This Row],[Min]])-1),Table1[Content Sku],0),14,1,1,"Entities")),"review","ok"),"ok")</f>
        <v>ok</v>
      </c>
      <c r="U453" t="s">
        <v>47</v>
      </c>
      <c r="V453">
        <v>0</v>
      </c>
      <c r="W453">
        <v>0</v>
      </c>
      <c r="X453" t="s">
        <v>8</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254</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47</v>
      </c>
      <c r="V454">
        <v>0</v>
      </c>
      <c r="W454">
        <v>0</v>
      </c>
      <c r="X454" t="s">
        <v>8</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205</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254</v>
      </c>
      <c r="F455">
        <v>2000</v>
      </c>
      <c r="G455">
        <v>0</v>
      </c>
      <c r="H455" t="s">
        <v>205</v>
      </c>
      <c r="I455" s="75" t="str">
        <f ca="1">IF(Table7[[#This Row],[Type]]="KILL",IF(_xlfn.NUMBERVALUE(RIGHT(Table7[[#This Row],[Min]],LEN(Table7[[#This Row],[Min]])-FIND("-",Table7[[#This Row],[Min]])))&gt;INDIRECT(ADDRESS(11+MATCH(LEFT(Table7[[#This Row],[Min]],FIND("-",Table7[[#This Row],[Min]])-1),Table1[Content Sku],0),14,1,1,"Entities")),"review","ok"),"ok")</f>
        <v>ok</v>
      </c>
      <c r="U455" t="s">
        <v>47</v>
      </c>
      <c r="V455">
        <v>0</v>
      </c>
      <c r="W455">
        <v>0</v>
      </c>
      <c r="X455" t="s">
        <v>8</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205</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254</v>
      </c>
      <c r="F456">
        <v>0</v>
      </c>
      <c r="G456">
        <v>0</v>
      </c>
      <c r="H456" t="s">
        <v>8</v>
      </c>
      <c r="I456" s="75" t="str">
        <f ca="1">IF(Table7[[#This Row],[Type]]="KILL",IF(_xlfn.NUMBERVALUE(RIGHT(Table7[[#This Row],[Min]],LEN(Table7[[#This Row],[Min]])-FIND("-",Table7[[#This Row],[Min]])))&gt;INDIRECT(ADDRESS(11+MATCH(LEFT(Table7[[#This Row],[Min]],FIND("-",Table7[[#This Row],[Min]])-1),Table1[Content Sku],0),14,1,1,"Entities")),"review","ok"),"ok")</f>
        <v>ok</v>
      </c>
      <c r="U456" t="s">
        <v>47</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205</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254</v>
      </c>
      <c r="F457">
        <v>4000</v>
      </c>
      <c r="G457">
        <v>0</v>
      </c>
      <c r="H457" t="s">
        <v>205</v>
      </c>
      <c r="I457" s="75" t="str">
        <f ca="1">IF(Table7[[#This Row],[Type]]="KILL",IF(_xlfn.NUMBERVALUE(RIGHT(Table7[[#This Row],[Min]],LEN(Table7[[#This Row],[Min]])-FIND("-",Table7[[#This Row],[Min]])))&gt;INDIRECT(ADDRESS(11+MATCH(LEFT(Table7[[#This Row],[Min]],FIND("-",Table7[[#This Row],[Min]])-1),Table1[Content Sku],0),14,1,1,"Entities")),"review","ok"),"ok")</f>
        <v>ok</v>
      </c>
      <c r="U457" t="s">
        <v>47</v>
      </c>
      <c r="V457">
        <v>0</v>
      </c>
      <c r="W457">
        <v>0</v>
      </c>
      <c r="X457" t="s">
        <v>8</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205</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254</v>
      </c>
      <c r="F458">
        <v>0</v>
      </c>
      <c r="G458">
        <v>25000</v>
      </c>
      <c r="H458" t="s">
        <v>205</v>
      </c>
      <c r="I458" s="75" t="str">
        <f ca="1">IF(Table7[[#This Row],[Type]]="KILL",IF(_xlfn.NUMBERVALUE(RIGHT(Table7[[#This Row],[Min]],LEN(Table7[[#This Row],[Min]])-FIND("-",Table7[[#This Row],[Min]])))&gt;INDIRECT(ADDRESS(11+MATCH(LEFT(Table7[[#This Row],[Min]],FIND("-",Table7[[#This Row],[Min]])-1),Table1[Content Sku],0),14,1,1,"Entities")),"review","ok"),"ok")</f>
        <v>ok</v>
      </c>
      <c r="U458" t="s">
        <v>47</v>
      </c>
      <c r="V458">
        <v>0</v>
      </c>
      <c r="W458">
        <v>0</v>
      </c>
      <c r="X458" t="s">
        <v>8</v>
      </c>
      <c r="Y458" s="75" t="str">
        <f ca="1">IF(Table15[[#This Row],[Type]]="KILL",IF(_xlfn.NUMBERVALUE(RIGHT(Table15[[#This Row],[Min]],LEN(Table15[[#This Row],[Min]])-FIND("-",Table15[[#This Row],[Min]])))&gt;INDIRECT(ADDRESS(11+MATCH(LEFT(Table15[[#This Row],[Min]],FIND("-",Table15[[#This Row],[Min]])-1),Table1[Content Sku],0),16,1,1,"Entities")),"review","ok"),"ok")</f>
        <v>ok</v>
      </c>
      <c r="AK458" t="s">
        <v>256</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254</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47</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256</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254</v>
      </c>
      <c r="F460">
        <v>5000</v>
      </c>
      <c r="G460">
        <v>0</v>
      </c>
      <c r="H460" t="s">
        <v>205</v>
      </c>
      <c r="I460" s="75" t="str">
        <f ca="1">IF(Table7[[#This Row],[Type]]="KILL",IF(_xlfn.NUMBERVALUE(RIGHT(Table7[[#This Row],[Min]],LEN(Table7[[#This Row],[Min]])-FIND("-",Table7[[#This Row],[Min]])))&gt;INDIRECT(ADDRESS(11+MATCH(LEFT(Table7[[#This Row],[Min]],FIND("-",Table7[[#This Row],[Min]])-1),Table1[Content Sku],0),14,1,1,"Entities")),"review","ok"),"ok")</f>
        <v>ok</v>
      </c>
      <c r="U460" t="s">
        <v>47</v>
      </c>
      <c r="V460">
        <v>0</v>
      </c>
      <c r="W460">
        <v>0</v>
      </c>
      <c r="X460" t="s">
        <v>8</v>
      </c>
      <c r="Y460" s="75" t="str">
        <f ca="1">IF(Table15[[#This Row],[Type]]="KILL",IF(_xlfn.NUMBERVALUE(RIGHT(Table15[[#This Row],[Min]],LEN(Table15[[#This Row],[Min]])-FIND("-",Table15[[#This Row],[Min]])))&gt;INDIRECT(ADDRESS(11+MATCH(LEFT(Table15[[#This Row],[Min]],FIND("-",Table15[[#This Row],[Min]])-1),Table1[Content Sku],0),16,1,1,"Entities")),"review","ok"),"ok")</f>
        <v>ok</v>
      </c>
      <c r="AK460" t="s">
        <v>256</v>
      </c>
      <c r="AL460">
        <v>35000</v>
      </c>
      <c r="AM460">
        <v>0</v>
      </c>
      <c r="AN460" t="s">
        <v>205</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90</v>
      </c>
      <c r="F461">
        <v>0</v>
      </c>
      <c r="G461">
        <v>25000</v>
      </c>
      <c r="H461" t="s">
        <v>205</v>
      </c>
      <c r="I461" s="75"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256</v>
      </c>
      <c r="AL461">
        <v>0</v>
      </c>
      <c r="AM461">
        <v>54000</v>
      </c>
      <c r="AN461" t="s">
        <v>205</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90</v>
      </c>
      <c r="F462">
        <v>0</v>
      </c>
      <c r="G462">
        <v>16000</v>
      </c>
      <c r="H462" t="s">
        <v>205</v>
      </c>
      <c r="I462" s="75" t="str">
        <f ca="1">IF(Table7[[#This Row],[Type]]="KILL",IF(_xlfn.NUMBERVALUE(RIGHT(Table7[[#This Row],[Min]],LEN(Table7[[#This Row],[Min]])-FIND("-",Table7[[#This Row],[Min]])))&gt;INDIRECT(ADDRESS(11+MATCH(LEFT(Table7[[#This Row],[Min]],FIND("-",Table7[[#This Row],[Min]])-1),Table1[Content Sku],0),14,1,1,"Entities")),"review","ok"),"ok")</f>
        <v>ok</v>
      </c>
      <c r="U462" t="s">
        <v>48</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256</v>
      </c>
      <c r="AL462">
        <v>0</v>
      </c>
      <c r="AM462">
        <v>32000</v>
      </c>
      <c r="AN462" t="s">
        <v>205</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90</v>
      </c>
      <c r="F463">
        <v>0</v>
      </c>
      <c r="G463">
        <v>20000</v>
      </c>
      <c r="H463" t="s">
        <v>205</v>
      </c>
      <c r="I463" s="75" t="str">
        <f ca="1">IF(Table7[[#This Row],[Type]]="KILL",IF(_xlfn.NUMBERVALUE(RIGHT(Table7[[#This Row],[Min]],LEN(Table7[[#This Row],[Min]])-FIND("-",Table7[[#This Row],[Min]])))&gt;INDIRECT(ADDRESS(11+MATCH(LEFT(Table7[[#This Row],[Min]],FIND("-",Table7[[#This Row],[Min]])-1),Table1[Content Sku],0),14,1,1,"Entities")),"review","ok"),"ok")</f>
        <v>ok</v>
      </c>
      <c r="U463" t="s">
        <v>48</v>
      </c>
      <c r="V463">
        <v>0</v>
      </c>
      <c r="W463">
        <v>0</v>
      </c>
      <c r="X463" t="s">
        <v>8</v>
      </c>
      <c r="Y463" s="75" t="str">
        <f ca="1">IF(Table15[[#This Row],[Type]]="KILL",IF(_xlfn.NUMBERVALUE(RIGHT(Table15[[#This Row],[Min]],LEN(Table15[[#This Row],[Min]])-FIND("-",Table15[[#This Row],[Min]])))&gt;INDIRECT(ADDRESS(11+MATCH(LEFT(Table15[[#This Row],[Min]],FIND("-",Table15[[#This Row],[Min]])-1),Table1[Content Sku],0),16,1,1,"Entities")),"review","ok"),"ok")</f>
        <v>ok</v>
      </c>
      <c r="AK463" t="s">
        <v>256</v>
      </c>
      <c r="AL463">
        <v>0</v>
      </c>
      <c r="AM463">
        <v>52000</v>
      </c>
      <c r="AN463" t="s">
        <v>205</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90</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48</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256</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90</v>
      </c>
      <c r="F465">
        <v>0</v>
      </c>
      <c r="G465">
        <v>0</v>
      </c>
      <c r="H465" t="s">
        <v>8</v>
      </c>
      <c r="I465" s="75" t="str">
        <f ca="1">IF(Table7[[#This Row],[Type]]="KILL",IF(_xlfn.NUMBERVALUE(RIGHT(Table7[[#This Row],[Min]],LEN(Table7[[#This Row],[Min]])-FIND("-",Table7[[#This Row],[Min]])))&gt;INDIRECT(ADDRESS(11+MATCH(LEFT(Table7[[#This Row],[Min]],FIND("-",Table7[[#This Row],[Min]])-1),Table1[Content Sku],0),14,1,1,"Entities")),"review","ok"),"ok")</f>
        <v>ok</v>
      </c>
      <c r="U465" t="s">
        <v>48</v>
      </c>
      <c r="V465">
        <v>0</v>
      </c>
      <c r="W465">
        <v>14000</v>
      </c>
      <c r="X465" t="s">
        <v>205</v>
      </c>
      <c r="Y465" s="75" t="str">
        <f ca="1">IF(Table15[[#This Row],[Type]]="KILL",IF(_xlfn.NUMBERVALUE(RIGHT(Table15[[#This Row],[Min]],LEN(Table15[[#This Row],[Min]])-FIND("-",Table15[[#This Row],[Min]])))&gt;INDIRECT(ADDRESS(11+MATCH(LEFT(Table15[[#This Row],[Min]],FIND("-",Table15[[#This Row],[Min]])-1),Table1[Content Sku],0),16,1,1,"Entities")),"review","ok"),"ok")</f>
        <v>ok</v>
      </c>
      <c r="AK465" t="s">
        <v>256</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90</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48</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256</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90</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48</v>
      </c>
      <c r="V467">
        <v>45000</v>
      </c>
      <c r="W467">
        <v>0</v>
      </c>
      <c r="X467" t="s">
        <v>205</v>
      </c>
      <c r="Y467" s="75" t="str">
        <f ca="1">IF(Table15[[#This Row],[Type]]="KILL",IF(_xlfn.NUMBERVALUE(RIGHT(Table15[[#This Row],[Min]],LEN(Table15[[#This Row],[Min]])-FIND("-",Table15[[#This Row],[Min]])))&gt;INDIRECT(ADDRESS(11+MATCH(LEFT(Table15[[#This Row],[Min]],FIND("-",Table15[[#This Row],[Min]])-1),Table1[Content Sku],0),16,1,1,"Entities")),"review","ok"),"ok")</f>
        <v>ok</v>
      </c>
      <c r="AK467" t="s">
        <v>256</v>
      </c>
      <c r="AL467">
        <v>35000</v>
      </c>
      <c r="AM467">
        <v>0</v>
      </c>
      <c r="AN467" t="s">
        <v>205</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90</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49</v>
      </c>
      <c r="V468">
        <v>0</v>
      </c>
      <c r="W468">
        <v>0</v>
      </c>
      <c r="X468" t="s">
        <v>8</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205</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90</v>
      </c>
      <c r="F469">
        <v>0</v>
      </c>
      <c r="G469">
        <v>16000</v>
      </c>
      <c r="H469" t="s">
        <v>205</v>
      </c>
      <c r="I469" s="75" t="str">
        <f ca="1">IF(Table7[[#This Row],[Type]]="KILL",IF(_xlfn.NUMBERVALUE(RIGHT(Table7[[#This Row],[Min]],LEN(Table7[[#This Row],[Min]])-FIND("-",Table7[[#This Row],[Min]])))&gt;INDIRECT(ADDRESS(11+MATCH(LEFT(Table7[[#This Row],[Min]],FIND("-",Table7[[#This Row],[Min]])-1),Table1[Content Sku],0),14,1,1,"Entities")),"review","ok"),"ok")</f>
        <v>ok</v>
      </c>
      <c r="U469" t="s">
        <v>49</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205</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90</v>
      </c>
      <c r="F470">
        <v>2500</v>
      </c>
      <c r="G470">
        <v>0</v>
      </c>
      <c r="H470" t="s">
        <v>205</v>
      </c>
      <c r="I470" s="75" t="str">
        <f ca="1">IF(Table7[[#This Row],[Type]]="KILL",IF(_xlfn.NUMBERVALUE(RIGHT(Table7[[#This Row],[Min]],LEN(Table7[[#This Row],[Min]])-FIND("-",Table7[[#This Row],[Min]])))&gt;INDIRECT(ADDRESS(11+MATCH(LEFT(Table7[[#This Row],[Min]],FIND("-",Table7[[#This Row],[Min]])-1),Table1[Content Sku],0),14,1,1,"Entities")),"review","ok"),"ok")</f>
        <v>ok</v>
      </c>
      <c r="U470" t="s">
        <v>49</v>
      </c>
      <c r="V470">
        <v>35000</v>
      </c>
      <c r="W470">
        <v>0</v>
      </c>
      <c r="X470" t="s">
        <v>205</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205</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90</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49</v>
      </c>
      <c r="V471">
        <v>0</v>
      </c>
      <c r="W471">
        <v>0</v>
      </c>
      <c r="X471" t="s">
        <v>8</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205</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90</v>
      </c>
      <c r="F472">
        <v>0</v>
      </c>
      <c r="G472">
        <v>0</v>
      </c>
      <c r="H472" t="s">
        <v>8</v>
      </c>
      <c r="I472" s="75" t="str">
        <f ca="1">IF(Table7[[#This Row],[Type]]="KILL",IF(_xlfn.NUMBERVALUE(RIGHT(Table7[[#This Row],[Min]],LEN(Table7[[#This Row],[Min]])-FIND("-",Table7[[#This Row],[Min]])))&gt;INDIRECT(ADDRESS(11+MATCH(LEFT(Table7[[#This Row],[Min]],FIND("-",Table7[[#This Row],[Min]])-1),Table1[Content Sku],0),14,1,1,"Entities")),"review","ok"),"ok")</f>
        <v>ok</v>
      </c>
      <c r="U472" t="s">
        <v>49</v>
      </c>
      <c r="V472">
        <v>45000</v>
      </c>
      <c r="W472">
        <v>0</v>
      </c>
      <c r="X472" t="s">
        <v>205</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205</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90</v>
      </c>
      <c r="F473">
        <v>0</v>
      </c>
      <c r="G473">
        <v>0</v>
      </c>
      <c r="H473" t="s">
        <v>8</v>
      </c>
      <c r="I473" s="75" t="str">
        <f ca="1">IF(Table7[[#This Row],[Type]]="KILL",IF(_xlfn.NUMBERVALUE(RIGHT(Table7[[#This Row],[Min]],LEN(Table7[[#This Row],[Min]])-FIND("-",Table7[[#This Row],[Min]])))&gt;INDIRECT(ADDRESS(11+MATCH(LEFT(Table7[[#This Row],[Min]],FIND("-",Table7[[#This Row],[Min]])-1),Table1[Content Sku],0),14,1,1,"Entities")),"review","ok"),"ok")</f>
        <v>ok</v>
      </c>
      <c r="U473" t="s">
        <v>49</v>
      </c>
      <c r="V473">
        <v>18000</v>
      </c>
      <c r="W473">
        <v>0</v>
      </c>
      <c r="X473" t="s">
        <v>205</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205</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90</v>
      </c>
      <c r="F474">
        <v>0</v>
      </c>
      <c r="G474">
        <v>0</v>
      </c>
      <c r="H474" t="s">
        <v>8</v>
      </c>
      <c r="I474" s="75" t="str">
        <f ca="1">IF(Table7[[#This Row],[Type]]="KILL",IF(_xlfn.NUMBERVALUE(RIGHT(Table7[[#This Row],[Min]],LEN(Table7[[#This Row],[Min]])-FIND("-",Table7[[#This Row],[Min]])))&gt;INDIRECT(ADDRESS(11+MATCH(LEFT(Table7[[#This Row],[Min]],FIND("-",Table7[[#This Row],[Min]])-1),Table1[Content Sku],0),14,1,1,"Entities")),"review","ok"),"ok")</f>
        <v>ok</v>
      </c>
      <c r="U474" t="s">
        <v>49</v>
      </c>
      <c r="V474">
        <v>0</v>
      </c>
      <c r="W474">
        <v>0</v>
      </c>
      <c r="X474" t="s">
        <v>8</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205</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90</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49</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205</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90</v>
      </c>
      <c r="F476">
        <v>0</v>
      </c>
      <c r="G476">
        <v>22250</v>
      </c>
      <c r="H476" t="s">
        <v>205</v>
      </c>
      <c r="I476" s="75" t="str">
        <f ca="1">IF(Table7[[#This Row],[Type]]="KILL",IF(_xlfn.NUMBERVALUE(RIGHT(Table7[[#This Row],[Min]],LEN(Table7[[#This Row],[Min]])-FIND("-",Table7[[#This Row],[Min]])))&gt;INDIRECT(ADDRESS(11+MATCH(LEFT(Table7[[#This Row],[Min]],FIND("-",Table7[[#This Row],[Min]])-1),Table1[Content Sku],0),14,1,1,"Entities")),"review","ok"),"ok")</f>
        <v>ok</v>
      </c>
      <c r="U476" t="s">
        <v>49</v>
      </c>
      <c r="V476">
        <v>35000</v>
      </c>
      <c r="W476">
        <v>0</v>
      </c>
      <c r="X476" t="s">
        <v>205</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205</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90</v>
      </c>
      <c r="F477">
        <v>0</v>
      </c>
      <c r="G477">
        <v>20000</v>
      </c>
      <c r="H477" t="s">
        <v>205</v>
      </c>
      <c r="I477" s="75" t="str">
        <f ca="1">IF(Table7[[#This Row],[Type]]="KILL",IF(_xlfn.NUMBERVALUE(RIGHT(Table7[[#This Row],[Min]],LEN(Table7[[#This Row],[Min]])-FIND("-",Table7[[#This Row],[Min]])))&gt;INDIRECT(ADDRESS(11+MATCH(LEFT(Table7[[#This Row],[Min]],FIND("-",Table7[[#This Row],[Min]])-1),Table1[Content Sku],0),14,1,1,"Entities")),"review","ok"),"ok")</f>
        <v>ok</v>
      </c>
      <c r="U477" t="s">
        <v>49</v>
      </c>
      <c r="V477">
        <v>0</v>
      </c>
      <c r="W477">
        <v>0</v>
      </c>
      <c r="X477" t="s">
        <v>8</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205</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90</v>
      </c>
      <c r="F478">
        <v>0</v>
      </c>
      <c r="G478">
        <v>11000</v>
      </c>
      <c r="H478" t="s">
        <v>205</v>
      </c>
      <c r="I478" s="75" t="str">
        <f ca="1">IF(Table7[[#This Row],[Type]]="KILL",IF(_xlfn.NUMBERVALUE(RIGHT(Table7[[#This Row],[Min]],LEN(Table7[[#This Row],[Min]])-FIND("-",Table7[[#This Row],[Min]])))&gt;INDIRECT(ADDRESS(11+MATCH(LEFT(Table7[[#This Row],[Min]],FIND("-",Table7[[#This Row],[Min]])-1),Table1[Content Sku],0),14,1,1,"Entities")),"review","ok"),"ok")</f>
        <v>ok</v>
      </c>
      <c r="U478" t="s">
        <v>49</v>
      </c>
      <c r="V478">
        <v>0</v>
      </c>
      <c r="W478">
        <v>0</v>
      </c>
      <c r="X478" t="s">
        <v>8</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205</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90</v>
      </c>
      <c r="F479">
        <v>0</v>
      </c>
      <c r="G479">
        <v>15000</v>
      </c>
      <c r="H479" t="s">
        <v>205</v>
      </c>
      <c r="I479" s="75" t="str">
        <f ca="1">IF(Table7[[#This Row],[Type]]="KILL",IF(_xlfn.NUMBERVALUE(RIGHT(Table7[[#This Row],[Min]],LEN(Table7[[#This Row],[Min]])-FIND("-",Table7[[#This Row],[Min]])))&gt;INDIRECT(ADDRESS(11+MATCH(LEFT(Table7[[#This Row],[Min]],FIND("-",Table7[[#This Row],[Min]])-1),Table1[Content Sku],0),14,1,1,"Entities")),"review","ok"),"ok")</f>
        <v>ok</v>
      </c>
      <c r="U479" t="s">
        <v>49</v>
      </c>
      <c r="V479">
        <v>210</v>
      </c>
      <c r="W479">
        <v>0</v>
      </c>
      <c r="X479" t="s">
        <v>4439</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205</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90</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49</v>
      </c>
      <c r="V480">
        <v>45000</v>
      </c>
      <c r="W480">
        <v>0</v>
      </c>
      <c r="X480" t="s">
        <v>205</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205</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90</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49</v>
      </c>
      <c r="V481">
        <v>25000</v>
      </c>
      <c r="W481">
        <v>0</v>
      </c>
      <c r="X481" t="s">
        <v>205</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205</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90</v>
      </c>
      <c r="F482">
        <v>0</v>
      </c>
      <c r="G482">
        <v>19000</v>
      </c>
      <c r="H482" t="s">
        <v>205</v>
      </c>
      <c r="I482" s="75" t="str">
        <f ca="1">IF(Table7[[#This Row],[Type]]="KILL",IF(_xlfn.NUMBERVALUE(RIGHT(Table7[[#This Row],[Min]],LEN(Table7[[#This Row],[Min]])-FIND("-",Table7[[#This Row],[Min]])))&gt;INDIRECT(ADDRESS(11+MATCH(LEFT(Table7[[#This Row],[Min]],FIND("-",Table7[[#This Row],[Min]])-1),Table1[Content Sku],0),14,1,1,"Entities")),"review","ok"),"ok")</f>
        <v>ok</v>
      </c>
      <c r="U482" t="s">
        <v>49</v>
      </c>
      <c r="V482">
        <v>0</v>
      </c>
      <c r="W482">
        <v>0</v>
      </c>
      <c r="X482" t="s">
        <v>8</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90</v>
      </c>
      <c r="F483">
        <v>0</v>
      </c>
      <c r="G483">
        <v>15000</v>
      </c>
      <c r="H483" t="s">
        <v>205</v>
      </c>
      <c r="I483" s="75" t="str">
        <f ca="1">IF(Table7[[#This Row],[Type]]="KILL",IF(_xlfn.NUMBERVALUE(RIGHT(Table7[[#This Row],[Min]],LEN(Table7[[#This Row],[Min]])-FIND("-",Table7[[#This Row],[Min]])))&gt;INDIRECT(ADDRESS(11+MATCH(LEFT(Table7[[#This Row],[Min]],FIND("-",Table7[[#This Row],[Min]])-1),Table1[Content Sku],0),14,1,1,"Entities")),"review","ok"),"ok")</f>
        <v>ok</v>
      </c>
      <c r="U483" t="s">
        <v>50</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205</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90</v>
      </c>
      <c r="F484">
        <v>0</v>
      </c>
      <c r="G484">
        <v>13000</v>
      </c>
      <c r="H484" t="s">
        <v>205</v>
      </c>
      <c r="I484" s="75" t="str">
        <f ca="1">IF(Table7[[#This Row],[Type]]="KILL",IF(_xlfn.NUMBERVALUE(RIGHT(Table7[[#This Row],[Min]],LEN(Table7[[#This Row],[Min]])-FIND("-",Table7[[#This Row],[Min]])))&gt;INDIRECT(ADDRESS(11+MATCH(LEFT(Table7[[#This Row],[Min]],FIND("-",Table7[[#This Row],[Min]])-1),Table1[Content Sku],0),14,1,1,"Entities")),"review","ok"),"ok")</f>
        <v>ok</v>
      </c>
      <c r="U484" t="s">
        <v>50</v>
      </c>
      <c r="V484">
        <v>0</v>
      </c>
      <c r="W484">
        <v>0</v>
      </c>
      <c r="X484" t="s">
        <v>8</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205</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90</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50</v>
      </c>
      <c r="V485">
        <v>40000</v>
      </c>
      <c r="W485">
        <v>0</v>
      </c>
      <c r="X485" t="s">
        <v>205</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205</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90</v>
      </c>
      <c r="F486">
        <v>0</v>
      </c>
      <c r="G486">
        <v>15000</v>
      </c>
      <c r="H486" t="s">
        <v>205</v>
      </c>
      <c r="I486" s="75" t="str">
        <f ca="1">IF(Table7[[#This Row],[Type]]="KILL",IF(_xlfn.NUMBERVALUE(RIGHT(Table7[[#This Row],[Min]],LEN(Table7[[#This Row],[Min]])-FIND("-",Table7[[#This Row],[Min]])))&gt;INDIRECT(ADDRESS(11+MATCH(LEFT(Table7[[#This Row],[Min]],FIND("-",Table7[[#This Row],[Min]])-1),Table1[Content Sku],0),14,1,1,"Entities")),"review","ok"),"ok")</f>
        <v>ok</v>
      </c>
      <c r="U486" t="s">
        <v>50</v>
      </c>
      <c r="V486">
        <v>22000</v>
      </c>
      <c r="W486">
        <v>0</v>
      </c>
      <c r="X486" t="s">
        <v>205</v>
      </c>
      <c r="Y486" s="75" t="str">
        <f ca="1">IF(Table15[[#This Row],[Type]]="KILL",IF(_xlfn.NUMBERVALUE(RIGHT(Table15[[#This Row],[Min]],LEN(Table15[[#This Row],[Min]])-FIND("-",Table15[[#This Row],[Min]])))&gt;INDIRECT(ADDRESS(11+MATCH(LEFT(Table15[[#This Row],[Min]],FIND("-",Table15[[#This Row],[Min]])-1),Table1[Content Sku],0),16,1,1,"Entities")),"review","ok"),"ok")</f>
        <v>ok</v>
      </c>
      <c r="AK486" t="s">
        <v>257</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90</v>
      </c>
      <c r="F487">
        <v>0</v>
      </c>
      <c r="G487">
        <v>18000</v>
      </c>
      <c r="H487" t="s">
        <v>205</v>
      </c>
      <c r="I487" s="75" t="str">
        <f ca="1">IF(Table7[[#This Row],[Type]]="KILL",IF(_xlfn.NUMBERVALUE(RIGHT(Table7[[#This Row],[Min]],LEN(Table7[[#This Row],[Min]])-FIND("-",Table7[[#This Row],[Min]])))&gt;INDIRECT(ADDRESS(11+MATCH(LEFT(Table7[[#This Row],[Min]],FIND("-",Table7[[#This Row],[Min]])-1),Table1[Content Sku],0),14,1,1,"Entities")),"review","ok"),"ok")</f>
        <v>ok</v>
      </c>
      <c r="U487" t="s">
        <v>50</v>
      </c>
      <c r="V487">
        <v>60000</v>
      </c>
      <c r="W487">
        <v>0</v>
      </c>
      <c r="X487" t="s">
        <v>205</v>
      </c>
      <c r="Y487" s="75" t="str">
        <f ca="1">IF(Table15[[#This Row],[Type]]="KILL",IF(_xlfn.NUMBERVALUE(RIGHT(Table15[[#This Row],[Min]],LEN(Table15[[#This Row],[Min]])-FIND("-",Table15[[#This Row],[Min]])))&gt;INDIRECT(ADDRESS(11+MATCH(LEFT(Table15[[#This Row],[Min]],FIND("-",Table15[[#This Row],[Min]])-1),Table1[Content Sku],0),16,1,1,"Entities")),"review","ok"),"ok")</f>
        <v>ok</v>
      </c>
      <c r="AK487" t="s">
        <v>257</v>
      </c>
      <c r="AL487">
        <v>40000</v>
      </c>
      <c r="AM487">
        <v>0</v>
      </c>
      <c r="AN487" t="s">
        <v>205</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90</v>
      </c>
      <c r="F488">
        <v>0</v>
      </c>
      <c r="G488">
        <v>15000</v>
      </c>
      <c r="H488" t="s">
        <v>205</v>
      </c>
      <c r="I488" s="75" t="str">
        <f ca="1">IF(Table7[[#This Row],[Type]]="KILL",IF(_xlfn.NUMBERVALUE(RIGHT(Table7[[#This Row],[Min]],LEN(Table7[[#This Row],[Min]])-FIND("-",Table7[[#This Row],[Min]])))&gt;INDIRECT(ADDRESS(11+MATCH(LEFT(Table7[[#This Row],[Min]],FIND("-",Table7[[#This Row],[Min]])-1),Table1[Content Sku],0),14,1,1,"Entities")),"review","ok"),"ok")</f>
        <v>ok</v>
      </c>
      <c r="U488" t="s">
        <v>50</v>
      </c>
      <c r="V488">
        <v>0</v>
      </c>
      <c r="W488">
        <v>0</v>
      </c>
      <c r="X488" t="s">
        <v>8</v>
      </c>
      <c r="Y488" s="75" t="str">
        <f ca="1">IF(Table15[[#This Row],[Type]]="KILL",IF(_xlfn.NUMBERVALUE(RIGHT(Table15[[#This Row],[Min]],LEN(Table15[[#This Row],[Min]])-FIND("-",Table15[[#This Row],[Min]])))&gt;INDIRECT(ADDRESS(11+MATCH(LEFT(Table15[[#This Row],[Min]],FIND("-",Table15[[#This Row],[Min]])-1),Table1[Content Sku],0),16,1,1,"Entities")),"review","ok"),"ok")</f>
        <v>ok</v>
      </c>
      <c r="AK488" t="s">
        <v>257</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90</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50</v>
      </c>
      <c r="V489">
        <v>40000</v>
      </c>
      <c r="W489">
        <v>0</v>
      </c>
      <c r="X489" t="s">
        <v>205</v>
      </c>
      <c r="Y489" s="75" t="str">
        <f ca="1">IF(Table15[[#This Row],[Type]]="KILL",IF(_xlfn.NUMBERVALUE(RIGHT(Table15[[#This Row],[Min]],LEN(Table15[[#This Row],[Min]])-FIND("-",Table15[[#This Row],[Min]])))&gt;INDIRECT(ADDRESS(11+MATCH(LEFT(Table15[[#This Row],[Min]],FIND("-",Table15[[#This Row],[Min]])-1),Table1[Content Sku],0),16,1,1,"Entities")),"review","ok"),"ok")</f>
        <v>ok</v>
      </c>
      <c r="AK489" t="s">
        <v>257</v>
      </c>
      <c r="AL489">
        <v>0</v>
      </c>
      <c r="AM489">
        <v>50000</v>
      </c>
      <c r="AN489" t="s">
        <v>205</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90</v>
      </c>
      <c r="F490">
        <v>0</v>
      </c>
      <c r="G490">
        <v>0</v>
      </c>
      <c r="H490" t="s">
        <v>8</v>
      </c>
      <c r="I490" s="75" t="str">
        <f ca="1">IF(Table7[[#This Row],[Type]]="KILL",IF(_xlfn.NUMBERVALUE(RIGHT(Table7[[#This Row],[Min]],LEN(Table7[[#This Row],[Min]])-FIND("-",Table7[[#This Row],[Min]])))&gt;INDIRECT(ADDRESS(11+MATCH(LEFT(Table7[[#This Row],[Min]],FIND("-",Table7[[#This Row],[Min]])-1),Table1[Content Sku],0),14,1,1,"Entities")),"review","ok"),"ok")</f>
        <v>ok</v>
      </c>
      <c r="U490" t="s">
        <v>50</v>
      </c>
      <c r="V490">
        <v>50000</v>
      </c>
      <c r="W490">
        <v>0</v>
      </c>
      <c r="X490" t="s">
        <v>205</v>
      </c>
      <c r="Y490" s="75" t="str">
        <f ca="1">IF(Table15[[#This Row],[Type]]="KILL",IF(_xlfn.NUMBERVALUE(RIGHT(Table15[[#This Row],[Min]],LEN(Table15[[#This Row],[Min]])-FIND("-",Table15[[#This Row],[Min]])))&gt;INDIRECT(ADDRESS(11+MATCH(LEFT(Table15[[#This Row],[Min]],FIND("-",Table15[[#This Row],[Min]])-1),Table1[Content Sku],0),16,1,1,"Entities")),"review","ok"),"ok")</f>
        <v>ok</v>
      </c>
      <c r="AK490" t="s">
        <v>257</v>
      </c>
      <c r="AL490">
        <v>0</v>
      </c>
      <c r="AM490">
        <v>40000</v>
      </c>
      <c r="AN490" t="s">
        <v>205</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90</v>
      </c>
      <c r="F491">
        <v>0</v>
      </c>
      <c r="G491">
        <v>22000</v>
      </c>
      <c r="H491" t="s">
        <v>205</v>
      </c>
      <c r="I491" s="75" t="str">
        <f ca="1">IF(Table7[[#This Row],[Type]]="KILL",IF(_xlfn.NUMBERVALUE(RIGHT(Table7[[#This Row],[Min]],LEN(Table7[[#This Row],[Min]])-FIND("-",Table7[[#This Row],[Min]])))&gt;INDIRECT(ADDRESS(11+MATCH(LEFT(Table7[[#This Row],[Min]],FIND("-",Table7[[#This Row],[Min]])-1),Table1[Content Sku],0),14,1,1,"Entities")),"review","ok"),"ok")</f>
        <v>ok</v>
      </c>
      <c r="U491" t="s">
        <v>50</v>
      </c>
      <c r="V491">
        <v>200</v>
      </c>
      <c r="W491">
        <v>0</v>
      </c>
      <c r="X491" t="s">
        <v>4439</v>
      </c>
      <c r="Y491" s="75" t="str">
        <f ca="1">IF(Table15[[#This Row],[Type]]="KILL",IF(_xlfn.NUMBERVALUE(RIGHT(Table15[[#This Row],[Min]],LEN(Table15[[#This Row],[Min]])-FIND("-",Table15[[#This Row],[Min]])))&gt;INDIRECT(ADDRESS(11+MATCH(LEFT(Table15[[#This Row],[Min]],FIND("-",Table15[[#This Row],[Min]])-1),Table1[Content Sku],0),16,1,1,"Entities")),"review","ok"),"ok")</f>
        <v>ok</v>
      </c>
      <c r="AK491" t="s">
        <v>257</v>
      </c>
      <c r="AL491">
        <v>0</v>
      </c>
      <c r="AM491">
        <v>72000</v>
      </c>
      <c r="AN491" t="s">
        <v>205</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90</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0</v>
      </c>
      <c r="W492">
        <v>0</v>
      </c>
      <c r="X492" t="s">
        <v>8</v>
      </c>
      <c r="Y492" s="75" t="str">
        <f ca="1">IF(Table15[[#This Row],[Type]]="KILL",IF(_xlfn.NUMBERVALUE(RIGHT(Table15[[#This Row],[Min]],LEN(Table15[[#This Row],[Min]])-FIND("-",Table15[[#This Row],[Min]])))&gt;INDIRECT(ADDRESS(11+MATCH(LEFT(Table15[[#This Row],[Min]],FIND("-",Table15[[#This Row],[Min]])-1),Table1[Content Sku],0),16,1,1,"Entities")),"review","ok"),"ok")</f>
        <v>ok</v>
      </c>
      <c r="AK492" t="s">
        <v>257</v>
      </c>
      <c r="AL492">
        <v>0</v>
      </c>
      <c r="AM492">
        <v>42000</v>
      </c>
      <c r="AN492" t="s">
        <v>205</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90</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X493" t="s">
        <v>8</v>
      </c>
      <c r="Y493" s="75" t="str">
        <f ca="1">IF(Table15[[#This Row],[Type]]="KILL",IF(_xlfn.NUMBERVALUE(RIGHT(Table15[[#This Row],[Min]],LEN(Table15[[#This Row],[Min]])-FIND("-",Table15[[#This Row],[Min]])))&gt;INDIRECT(ADDRESS(11+MATCH(LEFT(Table15[[#This Row],[Min]],FIND("-",Table15[[#This Row],[Min]])-1),Table1[Content Sku],0),16,1,1,"Entities")),"review","ok"),"ok")</f>
        <v>ok</v>
      </c>
      <c r="AK493" t="s">
        <v>257</v>
      </c>
      <c r="AL493">
        <v>0</v>
      </c>
      <c r="AM493">
        <v>42000</v>
      </c>
      <c r="AN493" t="s">
        <v>205</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90</v>
      </c>
      <c r="F494">
        <v>9000</v>
      </c>
      <c r="G494">
        <v>0</v>
      </c>
      <c r="H494" t="s">
        <v>205</v>
      </c>
      <c r="I494" s="75" t="str">
        <f ca="1">IF(Table7[[#This Row],[Type]]="KILL",IF(_xlfn.NUMBERVALUE(RIGHT(Table7[[#This Row],[Min]],LEN(Table7[[#This Row],[Min]])-FIND("-",Table7[[#This Row],[Min]])))&gt;INDIRECT(ADDRESS(11+MATCH(LEFT(Table7[[#This Row],[Min]],FIND("-",Table7[[#This Row],[Min]])-1),Table1[Content Sku],0),14,1,1,"Entities")),"review","ok"),"ok")</f>
        <v>ok</v>
      </c>
      <c r="U494" t="s">
        <v>50</v>
      </c>
      <c r="V494">
        <v>200</v>
      </c>
      <c r="W494">
        <v>0</v>
      </c>
      <c r="X494" t="s">
        <v>4439</v>
      </c>
      <c r="Y494" s="75" t="str">
        <f ca="1">IF(Table15[[#This Row],[Type]]="KILL",IF(_xlfn.NUMBERVALUE(RIGHT(Table15[[#This Row],[Min]],LEN(Table15[[#This Row],[Min]])-FIND("-",Table15[[#This Row],[Min]])))&gt;INDIRECT(ADDRESS(11+MATCH(LEFT(Table15[[#This Row],[Min]],FIND("-",Table15[[#This Row],[Min]])-1),Table1[Content Sku],0),16,1,1,"Entities")),"review","ok"),"ok")</f>
        <v>ok</v>
      </c>
      <c r="AK494" t="s">
        <v>257</v>
      </c>
      <c r="AL494">
        <v>0</v>
      </c>
      <c r="AM494">
        <v>45000</v>
      </c>
      <c r="AN494" t="s">
        <v>205</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90</v>
      </c>
      <c r="F495">
        <v>2150</v>
      </c>
      <c r="G495">
        <v>0</v>
      </c>
      <c r="H495" t="s">
        <v>205</v>
      </c>
      <c r="I495" s="75" t="str">
        <f ca="1">IF(Table7[[#This Row],[Type]]="KILL",IF(_xlfn.NUMBERVALUE(RIGHT(Table7[[#This Row],[Min]],LEN(Table7[[#This Row],[Min]])-FIND("-",Table7[[#This Row],[Min]])))&gt;INDIRECT(ADDRESS(11+MATCH(LEFT(Table7[[#This Row],[Min]],FIND("-",Table7[[#This Row],[Min]])-1),Table1[Content Sku],0),14,1,1,"Entities")),"review","ok"),"ok")</f>
        <v>ok</v>
      </c>
      <c r="U495" t="s">
        <v>50</v>
      </c>
      <c r="V495">
        <v>200</v>
      </c>
      <c r="W495">
        <v>0</v>
      </c>
      <c r="X495" t="s">
        <v>4439</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205</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90</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50</v>
      </c>
      <c r="V496">
        <v>38000</v>
      </c>
      <c r="W496">
        <v>0</v>
      </c>
      <c r="X496" t="s">
        <v>205</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205</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90</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51</v>
      </c>
      <c r="V497">
        <v>45000</v>
      </c>
      <c r="W497">
        <v>0</v>
      </c>
      <c r="X497" t="s">
        <v>205</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205</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90</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51</v>
      </c>
      <c r="V498">
        <v>0</v>
      </c>
      <c r="W498">
        <v>0</v>
      </c>
      <c r="X498" t="s">
        <v>8</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205</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90</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51</v>
      </c>
      <c r="V499">
        <v>35000</v>
      </c>
      <c r="W499">
        <v>0</v>
      </c>
      <c r="X499" t="s">
        <v>205</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205</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90</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51</v>
      </c>
      <c r="V500">
        <v>200</v>
      </c>
      <c r="W500">
        <v>0</v>
      </c>
      <c r="X500" t="s">
        <v>4439</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205</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90</v>
      </c>
      <c r="F501">
        <v>0</v>
      </c>
      <c r="G501">
        <v>27000</v>
      </c>
      <c r="H501" t="s">
        <v>205</v>
      </c>
      <c r="I501" s="75" t="str">
        <f ca="1">IF(Table7[[#This Row],[Type]]="KILL",IF(_xlfn.NUMBERVALUE(RIGHT(Table7[[#This Row],[Min]],LEN(Table7[[#This Row],[Min]])-FIND("-",Table7[[#This Row],[Min]])))&gt;INDIRECT(ADDRESS(11+MATCH(LEFT(Table7[[#This Row],[Min]],FIND("-",Table7[[#This Row],[Min]])-1),Table1[Content Sku],0),14,1,1,"Entities")),"review","ok"),"ok")</f>
        <v>ok</v>
      </c>
      <c r="U501" t="s">
        <v>51</v>
      </c>
      <c r="V501">
        <v>42000</v>
      </c>
      <c r="W501">
        <v>0</v>
      </c>
      <c r="X501" t="s">
        <v>4439</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205</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90</v>
      </c>
      <c r="F502">
        <v>0</v>
      </c>
      <c r="G502">
        <v>0</v>
      </c>
      <c r="H502" t="s">
        <v>8</v>
      </c>
      <c r="I502" s="75" t="str">
        <f ca="1">IF(Table7[[#This Row],[Type]]="KILL",IF(_xlfn.NUMBERVALUE(RIGHT(Table7[[#This Row],[Min]],LEN(Table7[[#This Row],[Min]])-FIND("-",Table7[[#This Row],[Min]])))&gt;INDIRECT(ADDRESS(11+MATCH(LEFT(Table7[[#This Row],[Min]],FIND("-",Table7[[#This Row],[Min]])-1),Table1[Content Sku],0),14,1,1,"Entities")),"review","ok"),"ok")</f>
        <v>ok</v>
      </c>
      <c r="U502" t="s">
        <v>51</v>
      </c>
      <c r="V502">
        <v>80000</v>
      </c>
      <c r="W502">
        <v>0</v>
      </c>
      <c r="X502" t="s">
        <v>205</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90</v>
      </c>
      <c r="F503">
        <v>0</v>
      </c>
      <c r="G503">
        <v>0</v>
      </c>
      <c r="H503" t="s">
        <v>8</v>
      </c>
      <c r="I503" s="75" t="str">
        <f ca="1">IF(Table7[[#This Row],[Type]]="KILL",IF(_xlfn.NUMBERVALUE(RIGHT(Table7[[#This Row],[Min]],LEN(Table7[[#This Row],[Min]])-FIND("-",Table7[[#This Row],[Min]])))&gt;INDIRECT(ADDRESS(11+MATCH(LEFT(Table7[[#This Row],[Min]],FIND("-",Table7[[#This Row],[Min]])-1),Table1[Content Sku],0),14,1,1,"Entities")),"review","ok"),"ok")</f>
        <v>ok</v>
      </c>
      <c r="U503" t="s">
        <v>399</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205</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90</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399</v>
      </c>
      <c r="V504">
        <v>0</v>
      </c>
      <c r="W504">
        <v>0</v>
      </c>
      <c r="X504" t="s">
        <v>8</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205</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90</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399</v>
      </c>
      <c r="V505">
        <v>0</v>
      </c>
      <c r="W505">
        <v>0</v>
      </c>
      <c r="X505" t="s">
        <v>8</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205</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90</v>
      </c>
      <c r="F506">
        <v>0</v>
      </c>
      <c r="G506">
        <v>25000</v>
      </c>
      <c r="H506" t="s">
        <v>205</v>
      </c>
      <c r="I506" s="75" t="str">
        <f ca="1">IF(Table7[[#This Row],[Type]]="KILL",IF(_xlfn.NUMBERVALUE(RIGHT(Table7[[#This Row],[Min]],LEN(Table7[[#This Row],[Min]])-FIND("-",Table7[[#This Row],[Min]])))&gt;INDIRECT(ADDRESS(11+MATCH(LEFT(Table7[[#This Row],[Min]],FIND("-",Table7[[#This Row],[Min]])-1),Table1[Content Sku],0),14,1,1,"Entities")),"review","ok"),"ok")</f>
        <v>ok</v>
      </c>
      <c r="U506" t="s">
        <v>399</v>
      </c>
      <c r="V506">
        <v>0</v>
      </c>
      <c r="W506">
        <v>0</v>
      </c>
      <c r="X506" t="s">
        <v>8</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205</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90</v>
      </c>
      <c r="F507">
        <v>0</v>
      </c>
      <c r="G507">
        <v>25000</v>
      </c>
      <c r="H507" t="s">
        <v>205</v>
      </c>
      <c r="I507" s="75" t="str">
        <f ca="1">IF(Table7[[#This Row],[Type]]="KILL",IF(_xlfn.NUMBERVALUE(RIGHT(Table7[[#This Row],[Min]],LEN(Table7[[#This Row],[Min]])-FIND("-",Table7[[#This Row],[Min]])))&gt;INDIRECT(ADDRESS(11+MATCH(LEFT(Table7[[#This Row],[Min]],FIND("-",Table7[[#This Row],[Min]])-1),Table1[Content Sku],0),14,1,1,"Entities")),"review","ok"),"ok")</f>
        <v>ok</v>
      </c>
      <c r="U507" t="s">
        <v>399</v>
      </c>
      <c r="V507">
        <v>0</v>
      </c>
      <c r="W507">
        <v>0</v>
      </c>
      <c r="X507" t="s">
        <v>8</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205</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90</v>
      </c>
      <c r="F508">
        <v>0</v>
      </c>
      <c r="G508">
        <v>20000</v>
      </c>
      <c r="H508" t="s">
        <v>205</v>
      </c>
      <c r="I508" s="75" t="str">
        <f ca="1">IF(Table7[[#This Row],[Type]]="KILL",IF(_xlfn.NUMBERVALUE(RIGHT(Table7[[#This Row],[Min]],LEN(Table7[[#This Row],[Min]])-FIND("-",Table7[[#This Row],[Min]])))&gt;INDIRECT(ADDRESS(11+MATCH(LEFT(Table7[[#This Row],[Min]],FIND("-",Table7[[#This Row],[Min]])-1),Table1[Content Sku],0),14,1,1,"Entities")),"review","ok"),"ok")</f>
        <v>ok</v>
      </c>
      <c r="U508" t="s">
        <v>399</v>
      </c>
      <c r="V508">
        <v>0</v>
      </c>
      <c r="W508">
        <v>0</v>
      </c>
      <c r="X508" t="s">
        <v>8</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205</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90</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399</v>
      </c>
      <c r="V509">
        <v>0</v>
      </c>
      <c r="W509">
        <v>0</v>
      </c>
      <c r="X509" t="s">
        <v>8</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205</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90</v>
      </c>
      <c r="F510">
        <v>0</v>
      </c>
      <c r="G510">
        <v>15000</v>
      </c>
      <c r="H510" t="s">
        <v>205</v>
      </c>
      <c r="I510" s="75" t="str">
        <f ca="1">IF(Table7[[#This Row],[Type]]="KILL",IF(_xlfn.NUMBERVALUE(RIGHT(Table7[[#This Row],[Min]],LEN(Table7[[#This Row],[Min]])-FIND("-",Table7[[#This Row],[Min]])))&gt;INDIRECT(ADDRESS(11+MATCH(LEFT(Table7[[#This Row],[Min]],FIND("-",Table7[[#This Row],[Min]])-1),Table1[Content Sku],0),14,1,1,"Entities")),"review","ok"),"ok")</f>
        <v>ok</v>
      </c>
      <c r="U510" t="s">
        <v>399</v>
      </c>
      <c r="V510">
        <v>0</v>
      </c>
      <c r="W510">
        <v>0</v>
      </c>
      <c r="X510" t="s">
        <v>8</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205</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90</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399</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205</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90</v>
      </c>
      <c r="F512">
        <v>0</v>
      </c>
      <c r="G512">
        <v>15000</v>
      </c>
      <c r="H512" t="s">
        <v>205</v>
      </c>
      <c r="I512" s="75" t="str">
        <f ca="1">IF(Table7[[#This Row],[Type]]="KILL",IF(_xlfn.NUMBERVALUE(RIGHT(Table7[[#This Row],[Min]],LEN(Table7[[#This Row],[Min]])-FIND("-",Table7[[#This Row],[Min]])))&gt;INDIRECT(ADDRESS(11+MATCH(LEFT(Table7[[#This Row],[Min]],FIND("-",Table7[[#This Row],[Min]])-1),Table1[Content Sku],0),14,1,1,"Entities")),"review","ok"),"ok")</f>
        <v>ok</v>
      </c>
      <c r="U512" t="s">
        <v>399</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258</v>
      </c>
      <c r="AL512">
        <v>45000</v>
      </c>
      <c r="AM512">
        <v>0</v>
      </c>
      <c r="AN512" t="s">
        <v>205</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90</v>
      </c>
      <c r="F513">
        <v>0</v>
      </c>
      <c r="G513">
        <v>0</v>
      </c>
      <c r="H513" t="s">
        <v>8</v>
      </c>
      <c r="I513" s="75" t="str">
        <f ca="1">IF(Table7[[#This Row],[Type]]="KILL",IF(_xlfn.NUMBERVALUE(RIGHT(Table7[[#This Row],[Min]],LEN(Table7[[#This Row],[Min]])-FIND("-",Table7[[#This Row],[Min]])))&gt;INDIRECT(ADDRESS(11+MATCH(LEFT(Table7[[#This Row],[Min]],FIND("-",Table7[[#This Row],[Min]])-1),Table1[Content Sku],0),14,1,1,"Entities")),"review","ok"),"ok")</f>
        <v>ok</v>
      </c>
      <c r="U513" t="s">
        <v>399</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258</v>
      </c>
      <c r="AL513">
        <v>52000</v>
      </c>
      <c r="AM513">
        <v>0</v>
      </c>
      <c r="AN513" t="s">
        <v>205</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90</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399</v>
      </c>
      <c r="V514">
        <v>0</v>
      </c>
      <c r="W514">
        <v>0</v>
      </c>
      <c r="X514" t="s">
        <v>8</v>
      </c>
      <c r="Y514" s="75" t="str">
        <f ca="1">IF(Table15[[#This Row],[Type]]="KILL",IF(_xlfn.NUMBERVALUE(RIGHT(Table15[[#This Row],[Min]],LEN(Table15[[#This Row],[Min]])-FIND("-",Table15[[#This Row],[Min]])))&gt;INDIRECT(ADDRESS(11+MATCH(LEFT(Table15[[#This Row],[Min]],FIND("-",Table15[[#This Row],[Min]])-1),Table1[Content Sku],0),16,1,1,"Entities")),"review","ok"),"ok")</f>
        <v>ok</v>
      </c>
      <c r="AK514" t="s">
        <v>258</v>
      </c>
      <c r="AL514">
        <v>56000</v>
      </c>
      <c r="AM514">
        <v>0</v>
      </c>
      <c r="AN514" t="s">
        <v>205</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90</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399</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258</v>
      </c>
      <c r="AL515">
        <v>34000</v>
      </c>
      <c r="AM515">
        <v>0</v>
      </c>
      <c r="AN515" t="s">
        <v>205</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90</v>
      </c>
      <c r="F516">
        <v>0</v>
      </c>
      <c r="G516">
        <v>17000</v>
      </c>
      <c r="H516" t="s">
        <v>205</v>
      </c>
      <c r="I516" s="75" t="str">
        <f ca="1">IF(Table7[[#This Row],[Type]]="KILL",IF(_xlfn.NUMBERVALUE(RIGHT(Table7[[#This Row],[Min]],LEN(Table7[[#This Row],[Min]])-FIND("-",Table7[[#This Row],[Min]])))&gt;INDIRECT(ADDRESS(11+MATCH(LEFT(Table7[[#This Row],[Min]],FIND("-",Table7[[#This Row],[Min]])-1),Table1[Content Sku],0),14,1,1,"Entities")),"review","ok"),"ok")</f>
        <v>ok</v>
      </c>
      <c r="U516" t="s">
        <v>399</v>
      </c>
      <c r="V516">
        <v>0</v>
      </c>
      <c r="W516">
        <v>0</v>
      </c>
      <c r="X516" t="s">
        <v>8</v>
      </c>
      <c r="Y516" s="75" t="str">
        <f ca="1">IF(Table15[[#This Row],[Type]]="KILL",IF(_xlfn.NUMBERVALUE(RIGHT(Table15[[#This Row],[Min]],LEN(Table15[[#This Row],[Min]])-FIND("-",Table15[[#This Row],[Min]])))&gt;INDIRECT(ADDRESS(11+MATCH(LEFT(Table15[[#This Row],[Min]],FIND("-",Table15[[#This Row],[Min]])-1),Table1[Content Sku],0),16,1,1,"Entities")),"review","ok"),"ok")</f>
        <v>ok</v>
      </c>
      <c r="AK516" t="s">
        <v>258</v>
      </c>
      <c r="AL516">
        <v>42000</v>
      </c>
      <c r="AM516">
        <v>0</v>
      </c>
      <c r="AN516" t="s">
        <v>205</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90</v>
      </c>
      <c r="F517">
        <v>0</v>
      </c>
      <c r="G517">
        <v>25000</v>
      </c>
      <c r="H517" t="s">
        <v>205</v>
      </c>
      <c r="I517" s="75" t="str">
        <f ca="1">IF(Table7[[#This Row],[Type]]="KILL",IF(_xlfn.NUMBERVALUE(RIGHT(Table7[[#This Row],[Min]],LEN(Table7[[#This Row],[Min]])-FIND("-",Table7[[#This Row],[Min]])))&gt;INDIRECT(ADDRESS(11+MATCH(LEFT(Table7[[#This Row],[Min]],FIND("-",Table7[[#This Row],[Min]])-1),Table1[Content Sku],0),14,1,1,"Entities")),"review","ok"),"ok")</f>
        <v>ok</v>
      </c>
      <c r="U517" t="s">
        <v>399</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258</v>
      </c>
      <c r="AL517">
        <v>43000</v>
      </c>
      <c r="AM517">
        <v>0</v>
      </c>
      <c r="AN517" t="s">
        <v>205</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90</v>
      </c>
      <c r="F518">
        <v>4000</v>
      </c>
      <c r="G518">
        <v>0</v>
      </c>
      <c r="H518" t="s">
        <v>205</v>
      </c>
      <c r="I518" s="75" t="str">
        <f ca="1">IF(Table7[[#This Row],[Type]]="KILL",IF(_xlfn.NUMBERVALUE(RIGHT(Table7[[#This Row],[Min]],LEN(Table7[[#This Row],[Min]])-FIND("-",Table7[[#This Row],[Min]])))&gt;INDIRECT(ADDRESS(11+MATCH(LEFT(Table7[[#This Row],[Min]],FIND("-",Table7[[#This Row],[Min]])-1),Table1[Content Sku],0),14,1,1,"Entities")),"review","ok"),"ok")</f>
        <v>ok</v>
      </c>
      <c r="U518" t="s">
        <v>399</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258</v>
      </c>
      <c r="AL518">
        <v>38000</v>
      </c>
      <c r="AM518">
        <v>0</v>
      </c>
      <c r="AN518" t="s">
        <v>205</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90</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399</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258</v>
      </c>
      <c r="AL519">
        <v>45000</v>
      </c>
      <c r="AM519">
        <v>0</v>
      </c>
      <c r="AN519" t="s">
        <v>205</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90</v>
      </c>
      <c r="F520">
        <v>0</v>
      </c>
      <c r="G520">
        <v>21000</v>
      </c>
      <c r="H520" t="s">
        <v>205</v>
      </c>
      <c r="I520" s="75" t="str">
        <f ca="1">IF(Table7[[#This Row],[Type]]="KILL",IF(_xlfn.NUMBERVALUE(RIGHT(Table7[[#This Row],[Min]],LEN(Table7[[#This Row],[Min]])-FIND("-",Table7[[#This Row],[Min]])))&gt;INDIRECT(ADDRESS(11+MATCH(LEFT(Table7[[#This Row],[Min]],FIND("-",Table7[[#This Row],[Min]])-1),Table1[Content Sku],0),14,1,1,"Entities")),"review","ok"),"ok")</f>
        <v>ok</v>
      </c>
      <c r="U520" t="s">
        <v>399</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258</v>
      </c>
      <c r="AL520">
        <v>34000</v>
      </c>
      <c r="AM520">
        <v>0</v>
      </c>
      <c r="AN520" t="s">
        <v>205</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90</v>
      </c>
      <c r="F521">
        <v>0</v>
      </c>
      <c r="G521">
        <v>0</v>
      </c>
      <c r="H521" t="s">
        <v>8</v>
      </c>
      <c r="I521" s="75" t="str">
        <f ca="1">IF(Table7[[#This Row],[Type]]="KILL",IF(_xlfn.NUMBERVALUE(RIGHT(Table7[[#This Row],[Min]],LEN(Table7[[#This Row],[Min]])-FIND("-",Table7[[#This Row],[Min]])))&gt;INDIRECT(ADDRESS(11+MATCH(LEFT(Table7[[#This Row],[Min]],FIND("-",Table7[[#This Row],[Min]])-1),Table1[Content Sku],0),14,1,1,"Entities")),"review","ok"),"ok")</f>
        <v>ok</v>
      </c>
      <c r="U521" t="s">
        <v>401</v>
      </c>
      <c r="V521">
        <v>25000</v>
      </c>
      <c r="W521">
        <v>0</v>
      </c>
      <c r="X521" t="s">
        <v>205</v>
      </c>
      <c r="Y521" s="75" t="str">
        <f ca="1">IF(Table15[[#This Row],[Type]]="KILL",IF(_xlfn.NUMBERVALUE(RIGHT(Table15[[#This Row],[Min]],LEN(Table15[[#This Row],[Min]])-FIND("-",Table15[[#This Row],[Min]])))&gt;INDIRECT(ADDRESS(11+MATCH(LEFT(Table15[[#This Row],[Min]],FIND("-",Table15[[#This Row],[Min]])-1),Table1[Content Sku],0),16,1,1,"Entities")),"review","ok"),"ok")</f>
        <v>ok</v>
      </c>
      <c r="AK521" t="s">
        <v>258</v>
      </c>
      <c r="AL521">
        <v>74000</v>
      </c>
      <c r="AM521">
        <v>0</v>
      </c>
      <c r="AN521" t="s">
        <v>205</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90</v>
      </c>
      <c r="F522">
        <v>0</v>
      </c>
      <c r="G522">
        <v>0</v>
      </c>
      <c r="H522" t="s">
        <v>8</v>
      </c>
      <c r="I522" s="75" t="str">
        <f ca="1">IF(Table7[[#This Row],[Type]]="KILL",IF(_xlfn.NUMBERVALUE(RIGHT(Table7[[#This Row],[Min]],LEN(Table7[[#This Row],[Min]])-FIND("-",Table7[[#This Row],[Min]])))&gt;INDIRECT(ADDRESS(11+MATCH(LEFT(Table7[[#This Row],[Min]],FIND("-",Table7[[#This Row],[Min]])-1),Table1[Content Sku],0),14,1,1,"Entities")),"review","ok"),"ok")</f>
        <v>ok</v>
      </c>
      <c r="U522" t="s">
        <v>401</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258</v>
      </c>
      <c r="AL522">
        <v>45000</v>
      </c>
      <c r="AM522">
        <v>0</v>
      </c>
      <c r="AN522" t="s">
        <v>205</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90</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401</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258</v>
      </c>
      <c r="AL523">
        <v>45000</v>
      </c>
      <c r="AM523">
        <v>0</v>
      </c>
      <c r="AN523" t="s">
        <v>205</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90</v>
      </c>
      <c r="F524">
        <v>0</v>
      </c>
      <c r="G524">
        <v>14000</v>
      </c>
      <c r="H524" t="s">
        <v>205</v>
      </c>
      <c r="I524" s="75" t="str">
        <f ca="1">IF(Table7[[#This Row],[Type]]="KILL",IF(_xlfn.NUMBERVALUE(RIGHT(Table7[[#This Row],[Min]],LEN(Table7[[#This Row],[Min]])-FIND("-",Table7[[#This Row],[Min]])))&gt;INDIRECT(ADDRESS(11+MATCH(LEFT(Table7[[#This Row],[Min]],FIND("-",Table7[[#This Row],[Min]])-1),Table1[Content Sku],0),14,1,1,"Entities")),"review","ok"),"ok")</f>
        <v>ok</v>
      </c>
      <c r="U524" t="s">
        <v>401</v>
      </c>
      <c r="V524">
        <v>0</v>
      </c>
      <c r="W524">
        <v>0</v>
      </c>
      <c r="X524" t="s">
        <v>8</v>
      </c>
      <c r="Y524" s="75" t="str">
        <f ca="1">IF(Table15[[#This Row],[Type]]="KILL",IF(_xlfn.NUMBERVALUE(RIGHT(Table15[[#This Row],[Min]],LEN(Table15[[#This Row],[Min]])-FIND("-",Table15[[#This Row],[Min]])))&gt;INDIRECT(ADDRESS(11+MATCH(LEFT(Table15[[#This Row],[Min]],FIND("-",Table15[[#This Row],[Min]])-1),Table1[Content Sku],0),16,1,1,"Entities")),"review","ok"),"ok")</f>
        <v>ok</v>
      </c>
      <c r="AK524" t="s">
        <v>258</v>
      </c>
      <c r="AL524">
        <v>45000</v>
      </c>
      <c r="AM524">
        <v>0</v>
      </c>
      <c r="AN524" t="s">
        <v>205</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90</v>
      </c>
      <c r="F525">
        <v>0</v>
      </c>
      <c r="G525">
        <v>23000</v>
      </c>
      <c r="H525" t="s">
        <v>205</v>
      </c>
      <c r="I525" s="75" t="str">
        <f ca="1">IF(Table7[[#This Row],[Type]]="KILL",IF(_xlfn.NUMBERVALUE(RIGHT(Table7[[#This Row],[Min]],LEN(Table7[[#This Row],[Min]])-FIND("-",Table7[[#This Row],[Min]])))&gt;INDIRECT(ADDRESS(11+MATCH(LEFT(Table7[[#This Row],[Min]],FIND("-",Table7[[#This Row],[Min]])-1),Table1[Content Sku],0),14,1,1,"Entities")),"review","ok"),"ok")</f>
        <v>ok</v>
      </c>
      <c r="U525" t="s">
        <v>401</v>
      </c>
      <c r="V525">
        <v>0</v>
      </c>
      <c r="W525">
        <v>0</v>
      </c>
      <c r="X525" t="s">
        <v>8</v>
      </c>
      <c r="Y525" s="75" t="str">
        <f ca="1">IF(Table15[[#This Row],[Type]]="KILL",IF(_xlfn.NUMBERVALUE(RIGHT(Table15[[#This Row],[Min]],LEN(Table15[[#This Row],[Min]])-FIND("-",Table15[[#This Row],[Min]])))&gt;INDIRECT(ADDRESS(11+MATCH(LEFT(Table15[[#This Row],[Min]],FIND("-",Table15[[#This Row],[Min]])-1),Table1[Content Sku],0),16,1,1,"Entities")),"review","ok"),"ok")</f>
        <v>ok</v>
      </c>
      <c r="AK525" t="s">
        <v>258</v>
      </c>
      <c r="AL525">
        <v>355000</v>
      </c>
      <c r="AM525">
        <v>0</v>
      </c>
      <c r="AN525" t="s">
        <v>205</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91</v>
      </c>
      <c r="F526">
        <v>0</v>
      </c>
      <c r="G526">
        <v>48000</v>
      </c>
      <c r="H526" t="s">
        <v>205</v>
      </c>
      <c r="I526" s="75" t="str">
        <f ca="1">IF(Table7[[#This Row],[Type]]="KILL",IF(_xlfn.NUMBERVALUE(RIGHT(Table7[[#This Row],[Min]],LEN(Table7[[#This Row],[Min]])-FIND("-",Table7[[#This Row],[Min]])))&gt;INDIRECT(ADDRESS(11+MATCH(LEFT(Table7[[#This Row],[Min]],FIND("-",Table7[[#This Row],[Min]])-1),Table1[Content Sku],0),14,1,1,"Entities")),"review","ok"),"ok")</f>
        <v>ok</v>
      </c>
      <c r="U526" t="s">
        <v>401</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258</v>
      </c>
      <c r="AL526">
        <v>46000</v>
      </c>
      <c r="AM526">
        <v>0</v>
      </c>
      <c r="AN526" t="s">
        <v>205</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91</v>
      </c>
      <c r="F527">
        <v>0</v>
      </c>
      <c r="G527">
        <v>9000</v>
      </c>
      <c r="H527" t="s">
        <v>205</v>
      </c>
      <c r="I527" s="75" t="str">
        <f ca="1">IF(Table7[[#This Row],[Type]]="KILL",IF(_xlfn.NUMBERVALUE(RIGHT(Table7[[#This Row],[Min]],LEN(Table7[[#This Row],[Min]])-FIND("-",Table7[[#This Row],[Min]])))&gt;INDIRECT(ADDRESS(11+MATCH(LEFT(Table7[[#This Row],[Min]],FIND("-",Table7[[#This Row],[Min]])-1),Table1[Content Sku],0),14,1,1,"Entities")),"review","ok"),"ok")</f>
        <v>ok</v>
      </c>
      <c r="U527" t="s">
        <v>401</v>
      </c>
      <c r="V527">
        <v>14000</v>
      </c>
      <c r="W527">
        <v>0</v>
      </c>
      <c r="X527" t="s">
        <v>205</v>
      </c>
      <c r="Y527" s="75" t="str">
        <f ca="1">IF(Table15[[#This Row],[Type]]="KILL",IF(_xlfn.NUMBERVALUE(RIGHT(Table15[[#This Row],[Min]],LEN(Table15[[#This Row],[Min]])-FIND("-",Table15[[#This Row],[Min]])))&gt;INDIRECT(ADDRESS(11+MATCH(LEFT(Table15[[#This Row],[Min]],FIND("-",Table15[[#This Row],[Min]])-1),Table1[Content Sku],0),16,1,1,"Entities")),"review","ok"),"ok")</f>
        <v>ok</v>
      </c>
      <c r="AK527" t="s">
        <v>258</v>
      </c>
      <c r="AL527">
        <v>54000</v>
      </c>
      <c r="AM527">
        <v>0</v>
      </c>
      <c r="AN527" t="s">
        <v>205</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91</v>
      </c>
      <c r="F528">
        <v>0</v>
      </c>
      <c r="G528">
        <v>0</v>
      </c>
      <c r="H528" t="s">
        <v>8</v>
      </c>
      <c r="I528" s="75" t="str">
        <f ca="1">IF(Table7[[#This Row],[Type]]="KILL",IF(_xlfn.NUMBERVALUE(RIGHT(Table7[[#This Row],[Min]],LEN(Table7[[#This Row],[Min]])-FIND("-",Table7[[#This Row],[Min]])))&gt;INDIRECT(ADDRESS(11+MATCH(LEFT(Table7[[#This Row],[Min]],FIND("-",Table7[[#This Row],[Min]])-1),Table1[Content Sku],0),14,1,1,"Entities")),"review","ok"),"ok")</f>
        <v>ok</v>
      </c>
      <c r="U528" t="s">
        <v>401</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258</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91</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401</v>
      </c>
      <c r="V529">
        <v>25000</v>
      </c>
      <c r="W529">
        <v>0</v>
      </c>
      <c r="X529" t="s">
        <v>205</v>
      </c>
      <c r="Y529" s="75" t="str">
        <f ca="1">IF(Table15[[#This Row],[Type]]="KILL",IF(_xlfn.NUMBERVALUE(RIGHT(Table15[[#This Row],[Min]],LEN(Table15[[#This Row],[Min]])-FIND("-",Table15[[#This Row],[Min]])))&gt;INDIRECT(ADDRESS(11+MATCH(LEFT(Table15[[#This Row],[Min]],FIND("-",Table15[[#This Row],[Min]])-1),Table1[Content Sku],0),16,1,1,"Entities")),"review","ok"),"ok")</f>
        <v>ok</v>
      </c>
      <c r="AK529" t="s">
        <v>258</v>
      </c>
      <c r="AL529">
        <v>41000</v>
      </c>
      <c r="AM529">
        <v>0</v>
      </c>
      <c r="AN529" t="s">
        <v>205</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91</v>
      </c>
      <c r="F530">
        <v>0</v>
      </c>
      <c r="G530">
        <v>25000</v>
      </c>
      <c r="H530" t="s">
        <v>205</v>
      </c>
      <c r="I530" s="75" t="str">
        <f ca="1">IF(Table7[[#This Row],[Type]]="KILL",IF(_xlfn.NUMBERVALUE(RIGHT(Table7[[#This Row],[Min]],LEN(Table7[[#This Row],[Min]])-FIND("-",Table7[[#This Row],[Min]])))&gt;INDIRECT(ADDRESS(11+MATCH(LEFT(Table7[[#This Row],[Min]],FIND("-",Table7[[#This Row],[Min]])-1),Table1[Content Sku],0),14,1,1,"Entities")),"review","ok"),"ok")</f>
        <v>ok</v>
      </c>
      <c r="U530" t="s">
        <v>401</v>
      </c>
      <c r="V530">
        <v>18000</v>
      </c>
      <c r="W530">
        <v>0</v>
      </c>
      <c r="X530" t="s">
        <v>205</v>
      </c>
      <c r="Y530" s="75" t="str">
        <f ca="1">IF(Table15[[#This Row],[Type]]="KILL",IF(_xlfn.NUMBERVALUE(RIGHT(Table15[[#This Row],[Min]],LEN(Table15[[#This Row],[Min]])-FIND("-",Table15[[#This Row],[Min]])))&gt;INDIRECT(ADDRESS(11+MATCH(LEFT(Table15[[#This Row],[Min]],FIND("-",Table15[[#This Row],[Min]])-1),Table1[Content Sku],0),16,1,1,"Entities")),"review","ok"),"ok")</f>
        <v>ok</v>
      </c>
      <c r="AK530" t="s">
        <v>258</v>
      </c>
      <c r="AL530">
        <v>34000</v>
      </c>
      <c r="AM530">
        <v>0</v>
      </c>
      <c r="AN530" t="s">
        <v>205</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91</v>
      </c>
      <c r="F531">
        <v>0</v>
      </c>
      <c r="G531">
        <v>0</v>
      </c>
      <c r="H531" t="s">
        <v>8</v>
      </c>
      <c r="I531" s="75" t="str">
        <f ca="1">IF(Table7[[#This Row],[Type]]="KILL",IF(_xlfn.NUMBERVALUE(RIGHT(Table7[[#This Row],[Min]],LEN(Table7[[#This Row],[Min]])-FIND("-",Table7[[#This Row],[Min]])))&gt;INDIRECT(ADDRESS(11+MATCH(LEFT(Table7[[#This Row],[Min]],FIND("-",Table7[[#This Row],[Min]])-1),Table1[Content Sku],0),14,1,1,"Entities")),"review","ok"),"ok")</f>
        <v>ok</v>
      </c>
      <c r="U531" t="s">
        <v>401</v>
      </c>
      <c r="V531">
        <v>10000</v>
      </c>
      <c r="W531">
        <v>0</v>
      </c>
      <c r="X531" t="s">
        <v>205</v>
      </c>
      <c r="Y531" s="75" t="str">
        <f ca="1">IF(Table15[[#This Row],[Type]]="KILL",IF(_xlfn.NUMBERVALUE(RIGHT(Table15[[#This Row],[Min]],LEN(Table15[[#This Row],[Min]])-FIND("-",Table15[[#This Row],[Min]])))&gt;INDIRECT(ADDRESS(11+MATCH(LEFT(Table15[[#This Row],[Min]],FIND("-",Table15[[#This Row],[Min]])-1),Table1[Content Sku],0),16,1,1,"Entities")),"review","ok"),"ok")</f>
        <v>ok</v>
      </c>
      <c r="AK531" t="s">
        <v>258</v>
      </c>
      <c r="AL531">
        <v>46000</v>
      </c>
      <c r="AM531">
        <v>0</v>
      </c>
      <c r="AN531" t="s">
        <v>205</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91</v>
      </c>
      <c r="F532">
        <v>0</v>
      </c>
      <c r="G532">
        <v>25000</v>
      </c>
      <c r="H532" t="s">
        <v>205</v>
      </c>
      <c r="I532" s="75" t="str">
        <f ca="1">IF(Table7[[#This Row],[Type]]="KILL",IF(_xlfn.NUMBERVALUE(RIGHT(Table7[[#This Row],[Min]],LEN(Table7[[#This Row],[Min]])-FIND("-",Table7[[#This Row],[Min]])))&gt;INDIRECT(ADDRESS(11+MATCH(LEFT(Table7[[#This Row],[Min]],FIND("-",Table7[[#This Row],[Min]])-1),Table1[Content Sku],0),14,1,1,"Entities")),"review","ok"),"ok")</f>
        <v>ok</v>
      </c>
      <c r="U532" t="s">
        <v>401</v>
      </c>
      <c r="V532">
        <v>0</v>
      </c>
      <c r="W532">
        <v>0</v>
      </c>
      <c r="X532" t="s">
        <v>8</v>
      </c>
      <c r="Y532" s="75" t="str">
        <f ca="1">IF(Table15[[#This Row],[Type]]="KILL",IF(_xlfn.NUMBERVALUE(RIGHT(Table15[[#This Row],[Min]],LEN(Table15[[#This Row],[Min]])-FIND("-",Table15[[#This Row],[Min]])))&gt;INDIRECT(ADDRESS(11+MATCH(LEFT(Table15[[#This Row],[Min]],FIND("-",Table15[[#This Row],[Min]])-1),Table1[Content Sku],0),16,1,1,"Entities")),"review","ok"),"ok")</f>
        <v>ok</v>
      </c>
      <c r="AK532" t="s">
        <v>258</v>
      </c>
      <c r="AL532">
        <v>41000</v>
      </c>
      <c r="AM532">
        <v>0</v>
      </c>
      <c r="AN532" t="s">
        <v>205</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91</v>
      </c>
      <c r="F533">
        <v>0</v>
      </c>
      <c r="G533">
        <v>20000</v>
      </c>
      <c r="H533" t="s">
        <v>205</v>
      </c>
      <c r="I533" s="75" t="str">
        <f ca="1">IF(Table7[[#This Row],[Type]]="KILL",IF(_xlfn.NUMBERVALUE(RIGHT(Table7[[#This Row],[Min]],LEN(Table7[[#This Row],[Min]])-FIND("-",Table7[[#This Row],[Min]])))&gt;INDIRECT(ADDRESS(11+MATCH(LEFT(Table7[[#This Row],[Min]],FIND("-",Table7[[#This Row],[Min]])-1),Table1[Content Sku],0),14,1,1,"Entities")),"review","ok"),"ok")</f>
        <v>ok</v>
      </c>
      <c r="U533" t="s">
        <v>401</v>
      </c>
      <c r="V533">
        <v>10000</v>
      </c>
      <c r="W533">
        <v>0</v>
      </c>
      <c r="X533" t="s">
        <v>205</v>
      </c>
      <c r="Y533" s="75" t="str">
        <f ca="1">IF(Table15[[#This Row],[Type]]="KILL",IF(_xlfn.NUMBERVALUE(RIGHT(Table15[[#This Row],[Min]],LEN(Table15[[#This Row],[Min]])-FIND("-",Table15[[#This Row],[Min]])))&gt;INDIRECT(ADDRESS(11+MATCH(LEFT(Table15[[#This Row],[Min]],FIND("-",Table15[[#This Row],[Min]])-1),Table1[Content Sku],0),16,1,1,"Entities")),"review","ok"),"ok")</f>
        <v>ok</v>
      </c>
      <c r="AK533" t="s">
        <v>2773</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91</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401</v>
      </c>
      <c r="V534">
        <v>18000</v>
      </c>
      <c r="W534">
        <v>0</v>
      </c>
      <c r="X534" t="s">
        <v>205</v>
      </c>
      <c r="Y534" s="75" t="str">
        <f ca="1">IF(Table15[[#This Row],[Type]]="KILL",IF(_xlfn.NUMBERVALUE(RIGHT(Table15[[#This Row],[Min]],LEN(Table15[[#This Row],[Min]])-FIND("-",Table15[[#This Row],[Min]])))&gt;INDIRECT(ADDRESS(11+MATCH(LEFT(Table15[[#This Row],[Min]],FIND("-",Table15[[#This Row],[Min]])-1),Table1[Content Sku],0),16,1,1,"Entities")),"review","ok"),"ok")</f>
        <v>ok</v>
      </c>
      <c r="AK534" t="s">
        <v>2773</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91</v>
      </c>
      <c r="F535">
        <v>7000</v>
      </c>
      <c r="G535">
        <v>0</v>
      </c>
      <c r="H535" t="s">
        <v>205</v>
      </c>
      <c r="I535" s="75" t="str">
        <f ca="1">IF(Table7[[#This Row],[Type]]="KILL",IF(_xlfn.NUMBERVALUE(RIGHT(Table7[[#This Row],[Min]],LEN(Table7[[#This Row],[Min]])-FIND("-",Table7[[#This Row],[Min]])))&gt;INDIRECT(ADDRESS(11+MATCH(LEFT(Table7[[#This Row],[Min]],FIND("-",Table7[[#This Row],[Min]])-1),Table1[Content Sku],0),14,1,1,"Entities")),"review","ok"),"ok")</f>
        <v>ok</v>
      </c>
      <c r="U535" t="s">
        <v>401</v>
      </c>
      <c r="V535">
        <v>0</v>
      </c>
      <c r="W535">
        <v>0</v>
      </c>
      <c r="X535" t="s">
        <v>8</v>
      </c>
      <c r="Y535" s="75" t="str">
        <f ca="1">IF(Table15[[#This Row],[Type]]="KILL",IF(_xlfn.NUMBERVALUE(RIGHT(Table15[[#This Row],[Min]],LEN(Table15[[#This Row],[Min]])-FIND("-",Table15[[#This Row],[Min]])))&gt;INDIRECT(ADDRESS(11+MATCH(LEFT(Table15[[#This Row],[Min]],FIND("-",Table15[[#This Row],[Min]])-1),Table1[Content Sku],0),16,1,1,"Entities")),"review","ok"),"ok")</f>
        <v>ok</v>
      </c>
      <c r="AK535" t="s">
        <v>2730</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91</v>
      </c>
      <c r="F536">
        <v>0</v>
      </c>
      <c r="G536">
        <v>27000</v>
      </c>
      <c r="H536" t="s">
        <v>205</v>
      </c>
      <c r="I536" s="75" t="str">
        <f ca="1">IF(Table7[[#This Row],[Type]]="KILL",IF(_xlfn.NUMBERVALUE(RIGHT(Table7[[#This Row],[Min]],LEN(Table7[[#This Row],[Min]])-FIND("-",Table7[[#This Row],[Min]])))&gt;INDIRECT(ADDRESS(11+MATCH(LEFT(Table7[[#This Row],[Min]],FIND("-",Table7[[#This Row],[Min]])-1),Table1[Content Sku],0),14,1,1,"Entities")),"review","ok"),"ok")</f>
        <v>ok</v>
      </c>
      <c r="U536" t="s">
        <v>401</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2730</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91</v>
      </c>
      <c r="F537">
        <v>35000</v>
      </c>
      <c r="G537">
        <v>0</v>
      </c>
      <c r="H537" t="s">
        <v>205</v>
      </c>
      <c r="I537" s="75" t="str">
        <f ca="1">IF(Table7[[#This Row],[Type]]="KILL",IF(_xlfn.NUMBERVALUE(RIGHT(Table7[[#This Row],[Min]],LEN(Table7[[#This Row],[Min]])-FIND("-",Table7[[#This Row],[Min]])))&gt;INDIRECT(ADDRESS(11+MATCH(LEFT(Table7[[#This Row],[Min]],FIND("-",Table7[[#This Row],[Min]])-1),Table1[Content Sku],0),14,1,1,"Entities")),"review","ok"),"ok")</f>
        <v>ok</v>
      </c>
      <c r="U537" t="s">
        <v>401</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122</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91</v>
      </c>
      <c r="F538">
        <v>0</v>
      </c>
      <c r="G538">
        <v>0</v>
      </c>
      <c r="H538" t="s">
        <v>8</v>
      </c>
      <c r="I538" s="75" t="str">
        <f ca="1">IF(Table7[[#This Row],[Type]]="KILL",IF(_xlfn.NUMBERVALUE(RIGHT(Table7[[#This Row],[Min]],LEN(Table7[[#This Row],[Min]])-FIND("-",Table7[[#This Row],[Min]])))&gt;INDIRECT(ADDRESS(11+MATCH(LEFT(Table7[[#This Row],[Min]],FIND("-",Table7[[#This Row],[Min]])-1),Table1[Content Sku],0),14,1,1,"Entities")),"review","ok"),"ok")</f>
        <v>ok</v>
      </c>
      <c r="U538" t="s">
        <v>401</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122</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91</v>
      </c>
      <c r="F539">
        <v>0</v>
      </c>
      <c r="G539">
        <v>0</v>
      </c>
      <c r="H539" t="s">
        <v>8</v>
      </c>
      <c r="I539" s="75" t="str">
        <f ca="1">IF(Table7[[#This Row],[Type]]="KILL",IF(_xlfn.NUMBERVALUE(RIGHT(Table7[[#This Row],[Min]],LEN(Table7[[#This Row],[Min]])-FIND("-",Table7[[#This Row],[Min]])))&gt;INDIRECT(ADDRESS(11+MATCH(LEFT(Table7[[#This Row],[Min]],FIND("-",Table7[[#This Row],[Min]])-1),Table1[Content Sku],0),14,1,1,"Entities")),"review","ok"),"ok")</f>
        <v>ok</v>
      </c>
      <c r="U539" t="s">
        <v>401</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122</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91</v>
      </c>
      <c r="F540">
        <v>0</v>
      </c>
      <c r="G540">
        <v>6000</v>
      </c>
      <c r="H540" t="s">
        <v>205</v>
      </c>
      <c r="I540" s="75" t="str">
        <f ca="1">IF(Table7[[#This Row],[Type]]="KILL",IF(_xlfn.NUMBERVALUE(RIGHT(Table7[[#This Row],[Min]],LEN(Table7[[#This Row],[Min]])-FIND("-",Table7[[#This Row],[Min]])))&gt;INDIRECT(ADDRESS(11+MATCH(LEFT(Table7[[#This Row],[Min]],FIND("-",Table7[[#This Row],[Min]])-1),Table1[Content Sku],0),14,1,1,"Entities")),"review","ok"),"ok")</f>
        <v>ok</v>
      </c>
      <c r="U540" t="s">
        <v>401</v>
      </c>
      <c r="V540">
        <v>0</v>
      </c>
      <c r="W540">
        <v>0</v>
      </c>
      <c r="X540" t="s">
        <v>8</v>
      </c>
      <c r="Y540" s="75" t="str">
        <f ca="1">IF(Table15[[#This Row],[Type]]="KILL",IF(_xlfn.NUMBERVALUE(RIGHT(Table15[[#This Row],[Min]],LEN(Table15[[#This Row],[Min]])-FIND("-",Table15[[#This Row],[Min]])))&gt;INDIRECT(ADDRESS(11+MATCH(LEFT(Table15[[#This Row],[Min]],FIND("-",Table15[[#This Row],[Min]])-1),Table1[Content Sku],0),16,1,1,"Entities")),"review","ok"),"ok")</f>
        <v>ok</v>
      </c>
      <c r="AK540" t="s">
        <v>122</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91</v>
      </c>
      <c r="F541">
        <v>900</v>
      </c>
      <c r="G541">
        <v>0</v>
      </c>
      <c r="H541" t="s">
        <v>205</v>
      </c>
      <c r="I541" s="75" t="str">
        <f ca="1">IF(Table7[[#This Row],[Type]]="KILL",IF(_xlfn.NUMBERVALUE(RIGHT(Table7[[#This Row],[Min]],LEN(Table7[[#This Row],[Min]])-FIND("-",Table7[[#This Row],[Min]])))&gt;INDIRECT(ADDRESS(11+MATCH(LEFT(Table7[[#This Row],[Min]],FIND("-",Table7[[#This Row],[Min]])-1),Table1[Content Sku],0),14,1,1,"Entities")),"review","ok"),"ok")</f>
        <v>ok</v>
      </c>
      <c r="U541" t="s">
        <v>401</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122</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91</v>
      </c>
      <c r="F542">
        <v>3600</v>
      </c>
      <c r="G542">
        <v>0</v>
      </c>
      <c r="H542" t="s">
        <v>205</v>
      </c>
      <c r="I542" s="75" t="str">
        <f ca="1">IF(Table7[[#This Row],[Type]]="KILL",IF(_xlfn.NUMBERVALUE(RIGHT(Table7[[#This Row],[Min]],LEN(Table7[[#This Row],[Min]])-FIND("-",Table7[[#This Row],[Min]])))&gt;INDIRECT(ADDRESS(11+MATCH(LEFT(Table7[[#This Row],[Min]],FIND("-",Table7[[#This Row],[Min]])-1),Table1[Content Sku],0),14,1,1,"Entities")),"review","ok"),"ok")</f>
        <v>ok</v>
      </c>
      <c r="U542" t="s">
        <v>401</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122</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91</v>
      </c>
      <c r="F543">
        <v>0</v>
      </c>
      <c r="G543">
        <v>16000</v>
      </c>
      <c r="H543" t="s">
        <v>205</v>
      </c>
      <c r="I543" s="75" t="str">
        <f ca="1">IF(Table7[[#This Row],[Type]]="KILL",IF(_xlfn.NUMBERVALUE(RIGHT(Table7[[#This Row],[Min]],LEN(Table7[[#This Row],[Min]])-FIND("-",Table7[[#This Row],[Min]])))&gt;INDIRECT(ADDRESS(11+MATCH(LEFT(Table7[[#This Row],[Min]],FIND("-",Table7[[#This Row],[Min]])-1),Table1[Content Sku],0),14,1,1,"Entities")),"review","ok"),"ok")</f>
        <v>ok</v>
      </c>
      <c r="U543" t="s">
        <v>401</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122</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91</v>
      </c>
      <c r="F544">
        <v>8000</v>
      </c>
      <c r="G544">
        <v>0</v>
      </c>
      <c r="H544" t="s">
        <v>205</v>
      </c>
      <c r="I544" s="75" t="str">
        <f ca="1">IF(Table7[[#This Row],[Type]]="KILL",IF(_xlfn.NUMBERVALUE(RIGHT(Table7[[#This Row],[Min]],LEN(Table7[[#This Row],[Min]])-FIND("-",Table7[[#This Row],[Min]])))&gt;INDIRECT(ADDRESS(11+MATCH(LEFT(Table7[[#This Row],[Min]],FIND("-",Table7[[#This Row],[Min]])-1),Table1[Content Sku],0),14,1,1,"Entities")),"review","ok"),"ok")</f>
        <v>ok</v>
      </c>
      <c r="U544" t="s">
        <v>401</v>
      </c>
      <c r="V544">
        <v>0</v>
      </c>
      <c r="W544">
        <v>0</v>
      </c>
      <c r="X544" t="s">
        <v>8</v>
      </c>
      <c r="Y544" s="75" t="str">
        <f ca="1">IF(Table15[[#This Row],[Type]]="KILL",IF(_xlfn.NUMBERVALUE(RIGHT(Table15[[#This Row],[Min]],LEN(Table15[[#This Row],[Min]])-FIND("-",Table15[[#This Row],[Min]])))&gt;INDIRECT(ADDRESS(11+MATCH(LEFT(Table15[[#This Row],[Min]],FIND("-",Table15[[#This Row],[Min]])-1),Table1[Content Sku],0),16,1,1,"Entities")),"review","ok"),"ok")</f>
        <v>ok</v>
      </c>
      <c r="AK544" t="s">
        <v>122</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91</v>
      </c>
      <c r="F545">
        <v>29000</v>
      </c>
      <c r="G545">
        <v>39000</v>
      </c>
      <c r="H545" t="s">
        <v>205</v>
      </c>
      <c r="I545" s="75" t="str">
        <f ca="1">IF(Table7[[#This Row],[Type]]="KILL",IF(_xlfn.NUMBERVALUE(RIGHT(Table7[[#This Row],[Min]],LEN(Table7[[#This Row],[Min]])-FIND("-",Table7[[#This Row],[Min]])))&gt;INDIRECT(ADDRESS(11+MATCH(LEFT(Table7[[#This Row],[Min]],FIND("-",Table7[[#This Row],[Min]])-1),Table1[Content Sku],0),14,1,1,"Entities")),"review","ok"),"ok")</f>
        <v>ok</v>
      </c>
      <c r="U545" t="s">
        <v>401</v>
      </c>
      <c r="V545">
        <v>0</v>
      </c>
      <c r="W545">
        <v>0</v>
      </c>
      <c r="X545" t="s">
        <v>8</v>
      </c>
      <c r="Y545" s="75" t="str">
        <f ca="1">IF(Table15[[#This Row],[Type]]="KILL",IF(_xlfn.NUMBERVALUE(RIGHT(Table15[[#This Row],[Min]],LEN(Table15[[#This Row],[Min]])-FIND("-",Table15[[#This Row],[Min]])))&gt;INDIRECT(ADDRESS(11+MATCH(LEFT(Table15[[#This Row],[Min]],FIND("-",Table15[[#This Row],[Min]])-1),Table1[Content Sku],0),16,1,1,"Entities")),"review","ok"),"ok")</f>
        <v>ok</v>
      </c>
      <c r="AK545" t="s">
        <v>122</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91</v>
      </c>
      <c r="F546">
        <v>7000</v>
      </c>
      <c r="G546">
        <v>0</v>
      </c>
      <c r="H546" t="s">
        <v>205</v>
      </c>
      <c r="I546" s="75" t="str">
        <f ca="1">IF(Table7[[#This Row],[Type]]="KILL",IF(_xlfn.NUMBERVALUE(RIGHT(Table7[[#This Row],[Min]],LEN(Table7[[#This Row],[Min]])-FIND("-",Table7[[#This Row],[Min]])))&gt;INDIRECT(ADDRESS(11+MATCH(LEFT(Table7[[#This Row],[Min]],FIND("-",Table7[[#This Row],[Min]])-1),Table1[Content Sku],0),14,1,1,"Entities")),"review","ok"),"ok")</f>
        <v>ok</v>
      </c>
      <c r="U546" t="s">
        <v>401</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122</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91</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401</v>
      </c>
      <c r="V547">
        <v>0</v>
      </c>
      <c r="W547">
        <v>0</v>
      </c>
      <c r="X547" t="s">
        <v>8</v>
      </c>
      <c r="Y547" s="75" t="str">
        <f ca="1">IF(Table15[[#This Row],[Type]]="KILL",IF(_xlfn.NUMBERVALUE(RIGHT(Table15[[#This Row],[Min]],LEN(Table15[[#This Row],[Min]])-FIND("-",Table15[[#This Row],[Min]])))&gt;INDIRECT(ADDRESS(11+MATCH(LEFT(Table15[[#This Row],[Min]],FIND("-",Table15[[#This Row],[Min]])-1),Table1[Content Sku],0),16,1,1,"Entities")),"review","ok"),"ok")</f>
        <v>ok</v>
      </c>
      <c r="AK547" t="s">
        <v>122</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91</v>
      </c>
      <c r="F548">
        <v>4000</v>
      </c>
      <c r="G548">
        <v>0</v>
      </c>
      <c r="H548" t="s">
        <v>205</v>
      </c>
      <c r="I548" s="75" t="str">
        <f ca="1">IF(Table7[[#This Row],[Type]]="KILL",IF(_xlfn.NUMBERVALUE(RIGHT(Table7[[#This Row],[Min]],LEN(Table7[[#This Row],[Min]])-FIND("-",Table7[[#This Row],[Min]])))&gt;INDIRECT(ADDRESS(11+MATCH(LEFT(Table7[[#This Row],[Min]],FIND("-",Table7[[#This Row],[Min]])-1),Table1[Content Sku],0),14,1,1,"Entities")),"review","ok"),"ok")</f>
        <v>ok</v>
      </c>
      <c r="U548" t="s">
        <v>392</v>
      </c>
      <c r="V548">
        <v>0</v>
      </c>
      <c r="W548">
        <v>0</v>
      </c>
      <c r="X548" t="s">
        <v>8</v>
      </c>
      <c r="Y548" s="75" t="str">
        <f ca="1">IF(Table15[[#This Row],[Type]]="KILL",IF(_xlfn.NUMBERVALUE(RIGHT(Table15[[#This Row],[Min]],LEN(Table15[[#This Row],[Min]])-FIND("-",Table15[[#This Row],[Min]])))&gt;INDIRECT(ADDRESS(11+MATCH(LEFT(Table15[[#This Row],[Min]],FIND("-",Table15[[#This Row],[Min]])-1),Table1[Content Sku],0),16,1,1,"Entities")),"review","ok"),"ok")</f>
        <v>ok</v>
      </c>
      <c r="AK548" t="s">
        <v>122</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91</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392</v>
      </c>
      <c r="V549">
        <v>0</v>
      </c>
      <c r="W549">
        <v>0</v>
      </c>
      <c r="X549" t="s">
        <v>8</v>
      </c>
      <c r="Y549" s="75" t="str">
        <f ca="1">IF(Table15[[#This Row],[Type]]="KILL",IF(_xlfn.NUMBERVALUE(RIGHT(Table15[[#This Row],[Min]],LEN(Table15[[#This Row],[Min]])-FIND("-",Table15[[#This Row],[Min]])))&gt;INDIRECT(ADDRESS(11+MATCH(LEFT(Table15[[#This Row],[Min]],FIND("-",Table15[[#This Row],[Min]])-1),Table1[Content Sku],0),16,1,1,"Entities")),"review","ok"),"ok")</f>
        <v>ok</v>
      </c>
      <c r="AK549" t="s">
        <v>122</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91</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392</v>
      </c>
      <c r="V550">
        <v>24000</v>
      </c>
      <c r="W550">
        <v>0</v>
      </c>
      <c r="X550" t="s">
        <v>205</v>
      </c>
      <c r="Y550" s="75" t="str">
        <f ca="1">IF(Table15[[#This Row],[Type]]="KILL",IF(_xlfn.NUMBERVALUE(RIGHT(Table15[[#This Row],[Min]],LEN(Table15[[#This Row],[Min]])-FIND("-",Table15[[#This Row],[Min]])))&gt;INDIRECT(ADDRESS(11+MATCH(LEFT(Table15[[#This Row],[Min]],FIND("-",Table15[[#This Row],[Min]])-1),Table1[Content Sku],0),16,1,1,"Entities")),"review","ok"),"ok")</f>
        <v>ok</v>
      </c>
      <c r="AK550" t="s">
        <v>122</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91</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392</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122</v>
      </c>
      <c r="AL551">
        <v>40000</v>
      </c>
      <c r="AM551">
        <v>0</v>
      </c>
      <c r="AN551" t="s">
        <v>205</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91</v>
      </c>
      <c r="F552">
        <v>0</v>
      </c>
      <c r="G552">
        <v>15000</v>
      </c>
      <c r="H552" t="s">
        <v>205</v>
      </c>
      <c r="I552" s="75" t="str">
        <f ca="1">IF(Table7[[#This Row],[Type]]="KILL",IF(_xlfn.NUMBERVALUE(RIGHT(Table7[[#This Row],[Min]],LEN(Table7[[#This Row],[Min]])-FIND("-",Table7[[#This Row],[Min]])))&gt;INDIRECT(ADDRESS(11+MATCH(LEFT(Table7[[#This Row],[Min]],FIND("-",Table7[[#This Row],[Min]])-1),Table1[Content Sku],0),14,1,1,"Entities")),"review","ok"),"ok")</f>
        <v>ok</v>
      </c>
      <c r="U552" t="s">
        <v>392</v>
      </c>
      <c r="V552">
        <v>0</v>
      </c>
      <c r="W552">
        <v>0</v>
      </c>
      <c r="X552" t="s">
        <v>8</v>
      </c>
      <c r="Y552" s="75" t="str">
        <f ca="1">IF(Table15[[#This Row],[Type]]="KILL",IF(_xlfn.NUMBERVALUE(RIGHT(Table15[[#This Row],[Min]],LEN(Table15[[#This Row],[Min]])-FIND("-",Table15[[#This Row],[Min]])))&gt;INDIRECT(ADDRESS(11+MATCH(LEFT(Table15[[#This Row],[Min]],FIND("-",Table15[[#This Row],[Min]])-1),Table1[Content Sku],0),16,1,1,"Entities")),"review","ok"),"ok")</f>
        <v>ok</v>
      </c>
      <c r="AK552" t="s">
        <v>122</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91</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392</v>
      </c>
      <c r="V553">
        <v>26000</v>
      </c>
      <c r="W553">
        <v>0</v>
      </c>
      <c r="X553" t="s">
        <v>205</v>
      </c>
      <c r="Y553" s="75" t="str">
        <f ca="1">IF(Table15[[#This Row],[Type]]="KILL",IF(_xlfn.NUMBERVALUE(RIGHT(Table15[[#This Row],[Min]],LEN(Table15[[#This Row],[Min]])-FIND("-",Table15[[#This Row],[Min]])))&gt;INDIRECT(ADDRESS(11+MATCH(LEFT(Table15[[#This Row],[Min]],FIND("-",Table15[[#This Row],[Min]])-1),Table1[Content Sku],0),16,1,1,"Entities")),"review","ok"),"ok")</f>
        <v>ok</v>
      </c>
      <c r="AK553" t="s">
        <v>122</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91</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392</v>
      </c>
      <c r="V554">
        <v>0</v>
      </c>
      <c r="W554">
        <v>0</v>
      </c>
      <c r="X554" t="s">
        <v>8</v>
      </c>
      <c r="Y554" s="75" t="str">
        <f ca="1">IF(Table15[[#This Row],[Type]]="KILL",IF(_xlfn.NUMBERVALUE(RIGHT(Table15[[#This Row],[Min]],LEN(Table15[[#This Row],[Min]])-FIND("-",Table15[[#This Row],[Min]])))&gt;INDIRECT(ADDRESS(11+MATCH(LEFT(Table15[[#This Row],[Min]],FIND("-",Table15[[#This Row],[Min]])-1),Table1[Content Sku],0),16,1,1,"Entities")),"review","ok"),"ok")</f>
        <v>ok</v>
      </c>
      <c r="AK554" t="s">
        <v>122</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91</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392</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122</v>
      </c>
      <c r="AL555">
        <v>35000</v>
      </c>
      <c r="AM555">
        <v>0</v>
      </c>
      <c r="AN555" t="s">
        <v>205</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91</v>
      </c>
      <c r="F556">
        <v>0</v>
      </c>
      <c r="G556">
        <v>25000</v>
      </c>
      <c r="H556" t="s">
        <v>205</v>
      </c>
      <c r="I556" s="75" t="str">
        <f ca="1">IF(Table7[[#This Row],[Type]]="KILL",IF(_xlfn.NUMBERVALUE(RIGHT(Table7[[#This Row],[Min]],LEN(Table7[[#This Row],[Min]])-FIND("-",Table7[[#This Row],[Min]])))&gt;INDIRECT(ADDRESS(11+MATCH(LEFT(Table7[[#This Row],[Min]],FIND("-",Table7[[#This Row],[Min]])-1),Table1[Content Sku],0),14,1,1,"Entities")),"review","ok"),"ok")</f>
        <v>ok</v>
      </c>
      <c r="U556" t="s">
        <v>392</v>
      </c>
      <c r="V556">
        <v>0</v>
      </c>
      <c r="W556">
        <v>0</v>
      </c>
      <c r="X556" t="s">
        <v>8</v>
      </c>
      <c r="Y556" s="75" t="str">
        <f ca="1">IF(Table15[[#This Row],[Type]]="KILL",IF(_xlfn.NUMBERVALUE(RIGHT(Table15[[#This Row],[Min]],LEN(Table15[[#This Row],[Min]])-FIND("-",Table15[[#This Row],[Min]])))&gt;INDIRECT(ADDRESS(11+MATCH(LEFT(Table15[[#This Row],[Min]],FIND("-",Table15[[#This Row],[Min]])-1),Table1[Content Sku],0),16,1,1,"Entities")),"review","ok"),"ok")</f>
        <v>ok</v>
      </c>
      <c r="AK556" t="s">
        <v>122</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92</v>
      </c>
      <c r="F557">
        <v>0</v>
      </c>
      <c r="G557">
        <v>0</v>
      </c>
      <c r="H557" t="s">
        <v>8</v>
      </c>
      <c r="I557" s="75" t="str">
        <f ca="1">IF(Table7[[#This Row],[Type]]="KILL",IF(_xlfn.NUMBERVALUE(RIGHT(Table7[[#This Row],[Min]],LEN(Table7[[#This Row],[Min]])-FIND("-",Table7[[#This Row],[Min]])))&gt;INDIRECT(ADDRESS(11+MATCH(LEFT(Table7[[#This Row],[Min]],FIND("-",Table7[[#This Row],[Min]])-1),Table1[Content Sku],0),14,1,1,"Entities")),"review","ok"),"ok")</f>
        <v>ok</v>
      </c>
      <c r="U557" t="s">
        <v>392</v>
      </c>
      <c r="V557">
        <v>0</v>
      </c>
      <c r="W557">
        <v>0</v>
      </c>
      <c r="X557" t="s">
        <v>8</v>
      </c>
      <c r="Y557" s="75" t="str">
        <f ca="1">IF(Table15[[#This Row],[Type]]="KILL",IF(_xlfn.NUMBERVALUE(RIGHT(Table15[[#This Row],[Min]],LEN(Table15[[#This Row],[Min]])-FIND("-",Table15[[#This Row],[Min]])))&gt;INDIRECT(ADDRESS(11+MATCH(LEFT(Table15[[#This Row],[Min]],FIND("-",Table15[[#This Row],[Min]])-1),Table1[Content Sku],0),16,1,1,"Entities")),"review","ok"),"ok")</f>
        <v>ok</v>
      </c>
      <c r="AK557" t="s">
        <v>122</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92</v>
      </c>
      <c r="F558">
        <v>0</v>
      </c>
      <c r="G558">
        <v>0</v>
      </c>
      <c r="H558" t="s">
        <v>8</v>
      </c>
      <c r="I558" s="75" t="str">
        <f ca="1">IF(Table7[[#This Row],[Type]]="KILL",IF(_xlfn.NUMBERVALUE(RIGHT(Table7[[#This Row],[Min]],LEN(Table7[[#This Row],[Min]])-FIND("-",Table7[[#This Row],[Min]])))&gt;INDIRECT(ADDRESS(11+MATCH(LEFT(Table7[[#This Row],[Min]],FIND("-",Table7[[#This Row],[Min]])-1),Table1[Content Sku],0),14,1,1,"Entities")),"review","ok"),"ok")</f>
        <v>ok</v>
      </c>
      <c r="U558" t="s">
        <v>392</v>
      </c>
      <c r="V558">
        <v>0</v>
      </c>
      <c r="W558">
        <v>0</v>
      </c>
      <c r="X558" t="s">
        <v>8</v>
      </c>
      <c r="Y558" s="75" t="str">
        <f ca="1">IF(Table15[[#This Row],[Type]]="KILL",IF(_xlfn.NUMBERVALUE(RIGHT(Table15[[#This Row],[Min]],LEN(Table15[[#This Row],[Min]])-FIND("-",Table15[[#This Row],[Min]])))&gt;INDIRECT(ADDRESS(11+MATCH(LEFT(Table15[[#This Row],[Min]],FIND("-",Table15[[#This Row],[Min]])-1),Table1[Content Sku],0),16,1,1,"Entities")),"review","ok"),"ok")</f>
        <v>ok</v>
      </c>
      <c r="AK558" t="s">
        <v>122</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92</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392</v>
      </c>
      <c r="V559">
        <v>0</v>
      </c>
      <c r="W559">
        <v>0</v>
      </c>
      <c r="X559" t="s">
        <v>8</v>
      </c>
      <c r="Y559" s="75" t="str">
        <f ca="1">IF(Table15[[#This Row],[Type]]="KILL",IF(_xlfn.NUMBERVALUE(RIGHT(Table15[[#This Row],[Min]],LEN(Table15[[#This Row],[Min]])-FIND("-",Table15[[#This Row],[Min]])))&gt;INDIRECT(ADDRESS(11+MATCH(LEFT(Table15[[#This Row],[Min]],FIND("-",Table15[[#This Row],[Min]])-1),Table1[Content Sku],0),16,1,1,"Entities")),"review","ok"),"ok")</f>
        <v>ok</v>
      </c>
      <c r="AK559" t="s">
        <v>122</v>
      </c>
      <c r="AL559">
        <v>35000</v>
      </c>
      <c r="AM559">
        <v>0</v>
      </c>
      <c r="AN559" t="s">
        <v>205</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92</v>
      </c>
      <c r="F560">
        <v>0</v>
      </c>
      <c r="G560">
        <v>4000</v>
      </c>
      <c r="H560" t="s">
        <v>205</v>
      </c>
      <c r="I560" s="75" t="str">
        <f ca="1">IF(Table7[[#This Row],[Type]]="KILL",IF(_xlfn.NUMBERVALUE(RIGHT(Table7[[#This Row],[Min]],LEN(Table7[[#This Row],[Min]])-FIND("-",Table7[[#This Row],[Min]])))&gt;INDIRECT(ADDRESS(11+MATCH(LEFT(Table7[[#This Row],[Min]],FIND("-",Table7[[#This Row],[Min]])-1),Table1[Content Sku],0),14,1,1,"Entities")),"review","ok"),"ok")</f>
        <v>ok</v>
      </c>
      <c r="U560" t="s">
        <v>392</v>
      </c>
      <c r="V560">
        <v>17000</v>
      </c>
      <c r="W560">
        <v>0</v>
      </c>
      <c r="X560" t="s">
        <v>205</v>
      </c>
      <c r="Y560" s="75" t="str">
        <f ca="1">IF(Table15[[#This Row],[Type]]="KILL",IF(_xlfn.NUMBERVALUE(RIGHT(Table15[[#This Row],[Min]],LEN(Table15[[#This Row],[Min]])-FIND("-",Table15[[#This Row],[Min]])))&gt;INDIRECT(ADDRESS(11+MATCH(LEFT(Table15[[#This Row],[Min]],FIND("-",Table15[[#This Row],[Min]])-1),Table1[Content Sku],0),16,1,1,"Entities")),"review","ok"),"ok")</f>
        <v>ok</v>
      </c>
      <c r="AK560" t="s">
        <v>122</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92</v>
      </c>
      <c r="F561">
        <v>0</v>
      </c>
      <c r="G561">
        <v>5000</v>
      </c>
      <c r="H561" t="s">
        <v>205</v>
      </c>
      <c r="I561" s="75" t="str">
        <f ca="1">IF(Table7[[#This Row],[Type]]="KILL",IF(_xlfn.NUMBERVALUE(RIGHT(Table7[[#This Row],[Min]],LEN(Table7[[#This Row],[Min]])-FIND("-",Table7[[#This Row],[Min]])))&gt;INDIRECT(ADDRESS(11+MATCH(LEFT(Table7[[#This Row],[Min]],FIND("-",Table7[[#This Row],[Min]])-1),Table1[Content Sku],0),14,1,1,"Entities")),"review","ok"),"ok")</f>
        <v>ok</v>
      </c>
      <c r="U561" t="s">
        <v>392</v>
      </c>
      <c r="V561">
        <v>0</v>
      </c>
      <c r="W561">
        <v>0</v>
      </c>
      <c r="X561" t="s">
        <v>8</v>
      </c>
      <c r="Y561" s="75" t="str">
        <f ca="1">IF(Table15[[#This Row],[Type]]="KILL",IF(_xlfn.NUMBERVALUE(RIGHT(Table15[[#This Row],[Min]],LEN(Table15[[#This Row],[Min]])-FIND("-",Table15[[#This Row],[Min]])))&gt;INDIRECT(ADDRESS(11+MATCH(LEFT(Table15[[#This Row],[Min]],FIND("-",Table15[[#This Row],[Min]])-1),Table1[Content Sku],0),16,1,1,"Entities")),"review","ok"),"ok")</f>
        <v>ok</v>
      </c>
      <c r="AK561" t="s">
        <v>2733</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92</v>
      </c>
      <c r="F562">
        <v>0</v>
      </c>
      <c r="G562">
        <v>27000</v>
      </c>
      <c r="H562" t="s">
        <v>205</v>
      </c>
      <c r="I562" s="75" t="str">
        <f ca="1">IF(Table7[[#This Row],[Type]]="KILL",IF(_xlfn.NUMBERVALUE(RIGHT(Table7[[#This Row],[Min]],LEN(Table7[[#This Row],[Min]])-FIND("-",Table7[[#This Row],[Min]])))&gt;INDIRECT(ADDRESS(11+MATCH(LEFT(Table7[[#This Row],[Min]],FIND("-",Table7[[#This Row],[Min]])-1),Table1[Content Sku],0),14,1,1,"Entities")),"review","ok"),"ok")</f>
        <v>ok</v>
      </c>
      <c r="U562" t="s">
        <v>392</v>
      </c>
      <c r="V562">
        <v>18000</v>
      </c>
      <c r="W562">
        <v>0</v>
      </c>
      <c r="X562" t="s">
        <v>205</v>
      </c>
      <c r="Y562" s="75" t="str">
        <f ca="1">IF(Table15[[#This Row],[Type]]="KILL",IF(_xlfn.NUMBERVALUE(RIGHT(Table15[[#This Row],[Min]],LEN(Table15[[#This Row],[Min]])-FIND("-",Table15[[#This Row],[Min]])))&gt;INDIRECT(ADDRESS(11+MATCH(LEFT(Table15[[#This Row],[Min]],FIND("-",Table15[[#This Row],[Min]])-1),Table1[Content Sku],0),16,1,1,"Entities")),"review","ok"),"ok")</f>
        <v>ok</v>
      </c>
      <c r="AK562" t="s">
        <v>2733</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92</v>
      </c>
      <c r="F563">
        <v>28000</v>
      </c>
      <c r="G563">
        <v>0</v>
      </c>
      <c r="H563" t="s">
        <v>205</v>
      </c>
      <c r="I563" s="75" t="str">
        <f ca="1">IF(Table7[[#This Row],[Type]]="KILL",IF(_xlfn.NUMBERVALUE(RIGHT(Table7[[#This Row],[Min]],LEN(Table7[[#This Row],[Min]])-FIND("-",Table7[[#This Row],[Min]])))&gt;INDIRECT(ADDRESS(11+MATCH(LEFT(Table7[[#This Row],[Min]],FIND("-",Table7[[#This Row],[Min]])-1),Table1[Content Sku],0),14,1,1,"Entities")),"review","ok"),"ok")</f>
        <v>ok</v>
      </c>
      <c r="U563" t="s">
        <v>392</v>
      </c>
      <c r="V563">
        <v>0</v>
      </c>
      <c r="W563">
        <v>0</v>
      </c>
      <c r="X563" t="s">
        <v>8</v>
      </c>
      <c r="Y563" s="75" t="str">
        <f ca="1">IF(Table15[[#This Row],[Type]]="KILL",IF(_xlfn.NUMBERVALUE(RIGHT(Table15[[#This Row],[Min]],LEN(Table15[[#This Row],[Min]])-FIND("-",Table15[[#This Row],[Min]])))&gt;INDIRECT(ADDRESS(11+MATCH(LEFT(Table15[[#This Row],[Min]],FIND("-",Table15[[#This Row],[Min]])-1),Table1[Content Sku],0),16,1,1,"Entities")),"review","ok"),"ok")</f>
        <v>ok</v>
      </c>
      <c r="AK563" t="s">
        <v>2733</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92</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392</v>
      </c>
      <c r="V564">
        <v>0</v>
      </c>
      <c r="W564">
        <v>0</v>
      </c>
      <c r="X564" t="s">
        <v>8</v>
      </c>
      <c r="Y564" s="75" t="str">
        <f ca="1">IF(Table15[[#This Row],[Type]]="KILL",IF(_xlfn.NUMBERVALUE(RIGHT(Table15[[#This Row],[Min]],LEN(Table15[[#This Row],[Min]])-FIND("-",Table15[[#This Row],[Min]])))&gt;INDIRECT(ADDRESS(11+MATCH(LEFT(Table15[[#This Row],[Min]],FIND("-",Table15[[#This Row],[Min]])-1),Table1[Content Sku],0),16,1,1,"Entities")),"review","ok"),"ok")</f>
        <v>ok</v>
      </c>
      <c r="AK564" t="s">
        <v>2733</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92</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392</v>
      </c>
      <c r="V565">
        <v>0</v>
      </c>
      <c r="W565">
        <v>0</v>
      </c>
      <c r="X565" t="s">
        <v>8</v>
      </c>
      <c r="Y565" s="75" t="str">
        <f ca="1">IF(Table15[[#This Row],[Type]]="KILL",IF(_xlfn.NUMBERVALUE(RIGHT(Table15[[#This Row],[Min]],LEN(Table15[[#This Row],[Min]])-FIND("-",Table15[[#This Row],[Min]])))&gt;INDIRECT(ADDRESS(11+MATCH(LEFT(Table15[[#This Row],[Min]],FIND("-",Table15[[#This Row],[Min]])-1),Table1[Content Sku],0),16,1,1,"Entities")),"review","ok"),"ok")</f>
        <v>ok</v>
      </c>
      <c r="AK565" t="s">
        <v>2733</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92</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392</v>
      </c>
      <c r="V566">
        <v>0</v>
      </c>
      <c r="W566">
        <v>0</v>
      </c>
      <c r="X566" t="s">
        <v>8</v>
      </c>
      <c r="Y566" s="75" t="str">
        <f ca="1">IF(Table15[[#This Row],[Type]]="KILL",IF(_xlfn.NUMBERVALUE(RIGHT(Table15[[#This Row],[Min]],LEN(Table15[[#This Row],[Min]])-FIND("-",Table15[[#This Row],[Min]])))&gt;INDIRECT(ADDRESS(11+MATCH(LEFT(Table15[[#This Row],[Min]],FIND("-",Table15[[#This Row],[Min]])-1),Table1[Content Sku],0),16,1,1,"Entities")),"review","ok"),"ok")</f>
        <v>ok</v>
      </c>
      <c r="AK566" t="s">
        <v>2739</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92</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392</v>
      </c>
      <c r="V567">
        <v>22000</v>
      </c>
      <c r="W567">
        <v>0</v>
      </c>
      <c r="X567" t="s">
        <v>205</v>
      </c>
      <c r="Y567" s="75" t="str">
        <f ca="1">IF(Table15[[#This Row],[Type]]="KILL",IF(_xlfn.NUMBERVALUE(RIGHT(Table15[[#This Row],[Min]],LEN(Table15[[#This Row],[Min]])-FIND("-",Table15[[#This Row],[Min]])))&gt;INDIRECT(ADDRESS(11+MATCH(LEFT(Table15[[#This Row],[Min]],FIND("-",Table15[[#This Row],[Min]])-1),Table1[Content Sku],0),16,1,1,"Entities")),"review","ok"),"ok")</f>
        <v>ok</v>
      </c>
      <c r="AK567" t="s">
        <v>2741</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92</v>
      </c>
      <c r="F568">
        <v>0</v>
      </c>
      <c r="G568">
        <v>7000</v>
      </c>
      <c r="H568" t="s">
        <v>205</v>
      </c>
      <c r="I568" s="75" t="str">
        <f ca="1">IF(Table7[[#This Row],[Type]]="KILL",IF(_xlfn.NUMBERVALUE(RIGHT(Table7[[#This Row],[Min]],LEN(Table7[[#This Row],[Min]])-FIND("-",Table7[[#This Row],[Min]])))&gt;INDIRECT(ADDRESS(11+MATCH(LEFT(Table7[[#This Row],[Min]],FIND("-",Table7[[#This Row],[Min]])-1),Table1[Content Sku],0),14,1,1,"Entities")),"review","ok"),"ok")</f>
        <v>ok</v>
      </c>
      <c r="U568" t="s">
        <v>392</v>
      </c>
      <c r="V568">
        <v>0</v>
      </c>
      <c r="W568">
        <v>0</v>
      </c>
      <c r="X568" t="s">
        <v>8</v>
      </c>
      <c r="Y568" s="75" t="str">
        <f ca="1">IF(Table15[[#This Row],[Type]]="KILL",IF(_xlfn.NUMBERVALUE(RIGHT(Table15[[#This Row],[Min]],LEN(Table15[[#This Row],[Min]])-FIND("-",Table15[[#This Row],[Min]])))&gt;INDIRECT(ADDRESS(11+MATCH(LEFT(Table15[[#This Row],[Min]],FIND("-",Table15[[#This Row],[Min]])-1),Table1[Content Sku],0),16,1,1,"Entities")),"review","ok"),"ok")</f>
        <v>ok</v>
      </c>
      <c r="AK568" t="s">
        <v>2743</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92</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392</v>
      </c>
      <c r="V569">
        <v>0</v>
      </c>
      <c r="W569">
        <v>0</v>
      </c>
      <c r="X569" t="s">
        <v>8</v>
      </c>
      <c r="Y569" s="75" t="str">
        <f ca="1">IF(Table15[[#This Row],[Type]]="KILL",IF(_xlfn.NUMBERVALUE(RIGHT(Table15[[#This Row],[Min]],LEN(Table15[[#This Row],[Min]])-FIND("-",Table15[[#This Row],[Min]])))&gt;INDIRECT(ADDRESS(11+MATCH(LEFT(Table15[[#This Row],[Min]],FIND("-",Table15[[#This Row],[Min]])-1),Table1[Content Sku],0),16,1,1,"Entities")),"review","ok"),"ok")</f>
        <v>ok</v>
      </c>
      <c r="AK569" t="s">
        <v>2743</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92</v>
      </c>
      <c r="F570">
        <v>0</v>
      </c>
      <c r="G570">
        <v>15000</v>
      </c>
      <c r="H570" t="s">
        <v>205</v>
      </c>
      <c r="I570" s="75" t="str">
        <f ca="1">IF(Table7[[#This Row],[Type]]="KILL",IF(_xlfn.NUMBERVALUE(RIGHT(Table7[[#This Row],[Min]],LEN(Table7[[#This Row],[Min]])-FIND("-",Table7[[#This Row],[Min]])))&gt;INDIRECT(ADDRESS(11+MATCH(LEFT(Table7[[#This Row],[Min]],FIND("-",Table7[[#This Row],[Min]])-1),Table1[Content Sku],0),14,1,1,"Entities")),"review","ok"),"ok")</f>
        <v>ok</v>
      </c>
      <c r="U570" t="s">
        <v>392</v>
      </c>
      <c r="V570">
        <v>0</v>
      </c>
      <c r="W570">
        <v>0</v>
      </c>
      <c r="X570" t="s">
        <v>8</v>
      </c>
      <c r="Y570" s="75" t="str">
        <f ca="1">IF(Table15[[#This Row],[Type]]="KILL",IF(_xlfn.NUMBERVALUE(RIGHT(Table15[[#This Row],[Min]],LEN(Table15[[#This Row],[Min]])-FIND("-",Table15[[#This Row],[Min]])))&gt;INDIRECT(ADDRESS(11+MATCH(LEFT(Table15[[#This Row],[Min]],FIND("-",Table15[[#This Row],[Min]])-1),Table1[Content Sku],0),16,1,1,"Entities")),"review","ok"),"ok")</f>
        <v>ok</v>
      </c>
      <c r="AK570" t="s">
        <v>2743</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92</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392</v>
      </c>
      <c r="V571">
        <v>0</v>
      </c>
      <c r="W571">
        <v>0</v>
      </c>
      <c r="X571" t="s">
        <v>8</v>
      </c>
      <c r="Y571" s="75" t="str">
        <f ca="1">IF(Table15[[#This Row],[Type]]="KILL",IF(_xlfn.NUMBERVALUE(RIGHT(Table15[[#This Row],[Min]],LEN(Table15[[#This Row],[Min]])-FIND("-",Table15[[#This Row],[Min]])))&gt;INDIRECT(ADDRESS(11+MATCH(LEFT(Table15[[#This Row],[Min]],FIND("-",Table15[[#This Row],[Min]])-1),Table1[Content Sku],0),16,1,1,"Entities")),"review","ok"),"ok")</f>
        <v>ok</v>
      </c>
      <c r="AK571" t="s">
        <v>2743</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92</v>
      </c>
      <c r="F572">
        <v>0</v>
      </c>
      <c r="G572">
        <v>0</v>
      </c>
      <c r="H572" t="s">
        <v>8</v>
      </c>
      <c r="I572" s="75" t="str">
        <f ca="1">IF(Table7[[#This Row],[Type]]="KILL",IF(_xlfn.NUMBERVALUE(RIGHT(Table7[[#This Row],[Min]],LEN(Table7[[#This Row],[Min]])-FIND("-",Table7[[#This Row],[Min]])))&gt;INDIRECT(ADDRESS(11+MATCH(LEFT(Table7[[#This Row],[Min]],FIND("-",Table7[[#This Row],[Min]])-1),Table1[Content Sku],0),14,1,1,"Entities")),"review","ok"),"ok")</f>
        <v>ok</v>
      </c>
      <c r="U572" t="s">
        <v>392</v>
      </c>
      <c r="V572">
        <v>0</v>
      </c>
      <c r="W572">
        <v>0</v>
      </c>
      <c r="X572" t="s">
        <v>8</v>
      </c>
      <c r="Y572" s="75" t="str">
        <f ca="1">IF(Table15[[#This Row],[Type]]="KILL",IF(_xlfn.NUMBERVALUE(RIGHT(Table15[[#This Row],[Min]],LEN(Table15[[#This Row],[Min]])-FIND("-",Table15[[#This Row],[Min]])))&gt;INDIRECT(ADDRESS(11+MATCH(LEFT(Table15[[#This Row],[Min]],FIND("-",Table15[[#This Row],[Min]])-1),Table1[Content Sku],0),16,1,1,"Entities")),"review","ok"),"ok")</f>
        <v>ok</v>
      </c>
      <c r="AK572" t="s">
        <v>2743</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92</v>
      </c>
      <c r="F573">
        <v>0</v>
      </c>
      <c r="G573">
        <v>0</v>
      </c>
      <c r="H573" t="s">
        <v>8</v>
      </c>
      <c r="I573" s="75" t="str">
        <f ca="1">IF(Table7[[#This Row],[Type]]="KILL",IF(_xlfn.NUMBERVALUE(RIGHT(Table7[[#This Row],[Min]],LEN(Table7[[#This Row],[Min]])-FIND("-",Table7[[#This Row],[Min]])))&gt;INDIRECT(ADDRESS(11+MATCH(LEFT(Table7[[#This Row],[Min]],FIND("-",Table7[[#This Row],[Min]])-1),Table1[Content Sku],0),14,1,1,"Entities")),"review","ok"),"ok")</f>
        <v>ok</v>
      </c>
      <c r="U573" t="s">
        <v>392</v>
      </c>
      <c r="V573">
        <v>0</v>
      </c>
      <c r="W573">
        <v>0</v>
      </c>
      <c r="X573" t="s">
        <v>8</v>
      </c>
      <c r="Y573" s="75" t="str">
        <f ca="1">IF(Table15[[#This Row],[Type]]="KILL",IF(_xlfn.NUMBERVALUE(RIGHT(Table15[[#This Row],[Min]],LEN(Table15[[#This Row],[Min]])-FIND("-",Table15[[#This Row],[Min]])))&gt;INDIRECT(ADDRESS(11+MATCH(LEFT(Table15[[#This Row],[Min]],FIND("-",Table15[[#This Row],[Min]])-1),Table1[Content Sku],0),16,1,1,"Entities")),"review","ok"),"ok")</f>
        <v>ok</v>
      </c>
      <c r="AK573" t="s">
        <v>2743</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92</v>
      </c>
      <c r="F574">
        <v>0</v>
      </c>
      <c r="G574">
        <v>0</v>
      </c>
      <c r="H574" t="s">
        <v>8</v>
      </c>
      <c r="I574" s="75" t="str">
        <f ca="1">IF(Table7[[#This Row],[Type]]="KILL",IF(_xlfn.NUMBERVALUE(RIGHT(Table7[[#This Row],[Min]],LEN(Table7[[#This Row],[Min]])-FIND("-",Table7[[#This Row],[Min]])))&gt;INDIRECT(ADDRESS(11+MATCH(LEFT(Table7[[#This Row],[Min]],FIND("-",Table7[[#This Row],[Min]])-1),Table1[Content Sku],0),14,1,1,"Entities")),"review","ok"),"ok")</f>
        <v>ok</v>
      </c>
      <c r="U574" t="s">
        <v>392</v>
      </c>
      <c r="V574">
        <v>0</v>
      </c>
      <c r="W574">
        <v>45000</v>
      </c>
      <c r="X574" t="s">
        <v>205</v>
      </c>
      <c r="Y574" s="75" t="str">
        <f ca="1">IF(Table15[[#This Row],[Type]]="KILL",IF(_xlfn.NUMBERVALUE(RIGHT(Table15[[#This Row],[Min]],LEN(Table15[[#This Row],[Min]])-FIND("-",Table15[[#This Row],[Min]])))&gt;INDIRECT(ADDRESS(11+MATCH(LEFT(Table15[[#This Row],[Min]],FIND("-",Table15[[#This Row],[Min]])-1),Table1[Content Sku],0),16,1,1,"Entities")),"review","ok"),"ok")</f>
        <v>ok</v>
      </c>
      <c r="AK574" t="s">
        <v>2743</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93</v>
      </c>
      <c r="F575">
        <v>0</v>
      </c>
      <c r="G575">
        <v>0</v>
      </c>
      <c r="H575" t="s">
        <v>8</v>
      </c>
      <c r="I575" s="75" t="str">
        <f ca="1">IF(Table7[[#This Row],[Type]]="KILL",IF(_xlfn.NUMBERVALUE(RIGHT(Table7[[#This Row],[Min]],LEN(Table7[[#This Row],[Min]])-FIND("-",Table7[[#This Row],[Min]])))&gt;INDIRECT(ADDRESS(11+MATCH(LEFT(Table7[[#This Row],[Min]],FIND("-",Table7[[#This Row],[Min]])-1),Table1[Content Sku],0),14,1,1,"Entities")),"review","ok"),"ok")</f>
        <v>ok</v>
      </c>
      <c r="U575" t="s">
        <v>392</v>
      </c>
      <c r="V575">
        <v>20000</v>
      </c>
      <c r="W575">
        <v>0</v>
      </c>
      <c r="X575" t="s">
        <v>205</v>
      </c>
      <c r="Y575" s="75" t="str">
        <f ca="1">IF(Table15[[#This Row],[Type]]="KILL",IF(_xlfn.NUMBERVALUE(RIGHT(Table15[[#This Row],[Min]],LEN(Table15[[#This Row],[Min]])-FIND("-",Table15[[#This Row],[Min]])))&gt;INDIRECT(ADDRESS(11+MATCH(LEFT(Table15[[#This Row],[Min]],FIND("-",Table15[[#This Row],[Min]])-1),Table1[Content Sku],0),16,1,1,"Entities")),"review","ok"),"ok")</f>
        <v>ok</v>
      </c>
      <c r="AK575" t="s">
        <v>2743</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93</v>
      </c>
      <c r="F576">
        <v>0</v>
      </c>
      <c r="G576">
        <v>27000</v>
      </c>
      <c r="H576" t="s">
        <v>205</v>
      </c>
      <c r="I576" s="75" t="str">
        <f ca="1">IF(Table7[[#This Row],[Type]]="KILL",IF(_xlfn.NUMBERVALUE(RIGHT(Table7[[#This Row],[Min]],LEN(Table7[[#This Row],[Min]])-FIND("-",Table7[[#This Row],[Min]])))&gt;INDIRECT(ADDRESS(11+MATCH(LEFT(Table7[[#This Row],[Min]],FIND("-",Table7[[#This Row],[Min]])-1),Table1[Content Sku],0),14,1,1,"Entities")),"review","ok"),"ok")</f>
        <v>ok</v>
      </c>
      <c r="U576" t="s">
        <v>392</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2743</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392</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2743</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20000</v>
      </c>
      <c r="G578">
        <v>30000</v>
      </c>
      <c r="H578" t="s">
        <v>205</v>
      </c>
      <c r="I578" s="75" t="str">
        <f ca="1">IF(Table7[[#This Row],[Type]]="KILL",IF(_xlfn.NUMBERVALUE(RIGHT(Table7[[#This Row],[Min]],LEN(Table7[[#This Row],[Min]])-FIND("-",Table7[[#This Row],[Min]])))&gt;INDIRECT(ADDRESS(11+MATCH(LEFT(Table7[[#This Row],[Min]],FIND("-",Table7[[#This Row],[Min]])-1),Table1[Content Sku],0),14,1,1,"Entities")),"review","ok"),"ok")</f>
        <v>ok</v>
      </c>
      <c r="U578" t="s">
        <v>392</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2745</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2200</v>
      </c>
      <c r="G579">
        <v>0</v>
      </c>
      <c r="H579" t="s">
        <v>205</v>
      </c>
      <c r="I579" s="75" t="str">
        <f ca="1">IF(Table7[[#This Row],[Type]]="KILL",IF(_xlfn.NUMBERVALUE(RIGHT(Table7[[#This Row],[Min]],LEN(Table7[[#This Row],[Min]])-FIND("-",Table7[[#This Row],[Min]])))&gt;INDIRECT(ADDRESS(11+MATCH(LEFT(Table7[[#This Row],[Min]],FIND("-",Table7[[#This Row],[Min]])-1),Table1[Content Sku],0),14,1,1,"Entities")),"review","ok"),"ok")</f>
        <v>ok</v>
      </c>
      <c r="U579" t="s">
        <v>392</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2745</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0</v>
      </c>
      <c r="H580" t="s">
        <v>8</v>
      </c>
      <c r="I580" s="75" t="str">
        <f ca="1">IF(Table7[[#This Row],[Type]]="KILL",IF(_xlfn.NUMBERVALUE(RIGHT(Table7[[#This Row],[Min]],LEN(Table7[[#This Row],[Min]])-FIND("-",Table7[[#This Row],[Min]])))&gt;INDIRECT(ADDRESS(11+MATCH(LEFT(Table7[[#This Row],[Min]],FIND("-",Table7[[#This Row],[Min]])-1),Table1[Content Sku],0),14,1,1,"Entities")),"review","ok"),"ok")</f>
        <v>ok</v>
      </c>
      <c r="U580" t="s">
        <v>392</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2745</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3800</v>
      </c>
      <c r="G581">
        <v>0</v>
      </c>
      <c r="H581" t="s">
        <v>205</v>
      </c>
      <c r="I581" s="75" t="str">
        <f ca="1">IF(Table7[[#This Row],[Type]]="KILL",IF(_xlfn.NUMBERVALUE(RIGHT(Table7[[#This Row],[Min]],LEN(Table7[[#This Row],[Min]])-FIND("-",Table7[[#This Row],[Min]])))&gt;INDIRECT(ADDRESS(11+MATCH(LEFT(Table7[[#This Row],[Min]],FIND("-",Table7[[#This Row],[Min]])-1),Table1[Content Sku],0),14,1,1,"Entities")),"review","ok"),"ok")</f>
        <v>ok</v>
      </c>
      <c r="U581" t="s">
        <v>392</v>
      </c>
      <c r="V581">
        <v>32000</v>
      </c>
      <c r="W581">
        <v>0</v>
      </c>
      <c r="X581" t="s">
        <v>205</v>
      </c>
      <c r="Y581" s="75" t="str">
        <f ca="1">IF(Table15[[#This Row],[Type]]="KILL",IF(_xlfn.NUMBERVALUE(RIGHT(Table15[[#This Row],[Min]],LEN(Table15[[#This Row],[Min]])-FIND("-",Table15[[#This Row],[Min]])))&gt;INDIRECT(ADDRESS(11+MATCH(LEFT(Table15[[#This Row],[Min]],FIND("-",Table15[[#This Row],[Min]])-1),Table1[Content Sku],0),16,1,1,"Entities")),"review","ok"),"ok")</f>
        <v>ok</v>
      </c>
      <c r="AK581" t="s">
        <v>2745</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14</v>
      </c>
      <c r="F582">
        <v>25000</v>
      </c>
      <c r="G582">
        <v>0</v>
      </c>
      <c r="H582" t="s">
        <v>205</v>
      </c>
      <c r="I582" s="75" t="str">
        <f ca="1">IF(Table7[[#This Row],[Type]]="KILL",IF(_xlfn.NUMBERVALUE(RIGHT(Table7[[#This Row],[Min]],LEN(Table7[[#This Row],[Min]])-FIND("-",Table7[[#This Row],[Min]])))&gt;INDIRECT(ADDRESS(11+MATCH(LEFT(Table7[[#This Row],[Min]],FIND("-",Table7[[#This Row],[Min]])-1),Table1[Content Sku],0),14,1,1,"Entities")),"review","ok"),"ok")</f>
        <v>ok</v>
      </c>
      <c r="U582" t="s">
        <v>392</v>
      </c>
      <c r="V582">
        <v>0</v>
      </c>
      <c r="W582">
        <v>0</v>
      </c>
      <c r="X582" t="s">
        <v>8</v>
      </c>
      <c r="Y582" s="75" t="str">
        <f ca="1">IF(Table15[[#This Row],[Type]]="KILL",IF(_xlfn.NUMBERVALUE(RIGHT(Table15[[#This Row],[Min]],LEN(Table15[[#This Row],[Min]])-FIND("-",Table15[[#This Row],[Min]])))&gt;INDIRECT(ADDRESS(11+MATCH(LEFT(Table15[[#This Row],[Min]],FIND("-",Table15[[#This Row],[Min]])-1),Table1[Content Sku],0),16,1,1,"Entities")),"review","ok"),"ok")</f>
        <v>ok</v>
      </c>
      <c r="AK582" t="s">
        <v>2745</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14</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392</v>
      </c>
      <c r="V583">
        <v>0</v>
      </c>
      <c r="W583">
        <v>0</v>
      </c>
      <c r="X583" t="s">
        <v>8</v>
      </c>
      <c r="Y583" s="75" t="str">
        <f ca="1">IF(Table15[[#This Row],[Type]]="KILL",IF(_xlfn.NUMBERVALUE(RIGHT(Table15[[#This Row],[Min]],LEN(Table15[[#This Row],[Min]])-FIND("-",Table15[[#This Row],[Min]])))&gt;INDIRECT(ADDRESS(11+MATCH(LEFT(Table15[[#This Row],[Min]],FIND("-",Table15[[#This Row],[Min]])-1),Table1[Content Sku],0),16,1,1,"Entities")),"review","ok"),"ok")</f>
        <v>ok</v>
      </c>
      <c r="AK583" t="s">
        <v>2745</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14</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392</v>
      </c>
      <c r="V584">
        <v>19000</v>
      </c>
      <c r="W584">
        <v>0</v>
      </c>
      <c r="X584" t="s">
        <v>205</v>
      </c>
      <c r="Y584" s="75" t="str">
        <f ca="1">IF(Table15[[#This Row],[Type]]="KILL",IF(_xlfn.NUMBERVALUE(RIGHT(Table15[[#This Row],[Min]],LEN(Table15[[#This Row],[Min]])-FIND("-",Table15[[#This Row],[Min]])))&gt;INDIRECT(ADDRESS(11+MATCH(LEFT(Table15[[#This Row],[Min]],FIND("-",Table15[[#This Row],[Min]])-1),Table1[Content Sku],0),16,1,1,"Entities")),"review","ok"),"ok")</f>
        <v>ok</v>
      </c>
      <c r="AK584" t="s">
        <v>2745</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14</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392</v>
      </c>
      <c r="V585">
        <v>0</v>
      </c>
      <c r="W585">
        <v>0</v>
      </c>
      <c r="X585" t="s">
        <v>8</v>
      </c>
      <c r="Y585" s="75" t="str">
        <f ca="1">IF(Table15[[#This Row],[Type]]="KILL",IF(_xlfn.NUMBERVALUE(RIGHT(Table15[[#This Row],[Min]],LEN(Table15[[#This Row],[Min]])-FIND("-",Table15[[#This Row],[Min]])))&gt;INDIRECT(ADDRESS(11+MATCH(LEFT(Table15[[#This Row],[Min]],FIND("-",Table15[[#This Row],[Min]])-1),Table1[Content Sku],0),16,1,1,"Entities")),"review","ok"),"ok")</f>
        <v>ok</v>
      </c>
      <c r="AK585" t="s">
        <v>551</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14</v>
      </c>
      <c r="F586">
        <v>0</v>
      </c>
      <c r="G586">
        <v>18000</v>
      </c>
      <c r="H586" t="s">
        <v>205</v>
      </c>
      <c r="I586" s="75" t="str">
        <f ca="1">IF(Table7[[#This Row],[Type]]="KILL",IF(_xlfn.NUMBERVALUE(RIGHT(Table7[[#This Row],[Min]],LEN(Table7[[#This Row],[Min]])-FIND("-",Table7[[#This Row],[Min]])))&gt;INDIRECT(ADDRESS(11+MATCH(LEFT(Table7[[#This Row],[Min]],FIND("-",Table7[[#This Row],[Min]])-1),Table1[Content Sku],0),14,1,1,"Entities")),"review","ok"),"ok")</f>
        <v>ok</v>
      </c>
      <c r="U586" t="s">
        <v>392</v>
      </c>
      <c r="V586">
        <v>15000</v>
      </c>
      <c r="W586">
        <v>0</v>
      </c>
      <c r="X586" t="s">
        <v>205</v>
      </c>
      <c r="Y586" s="75" t="str">
        <f ca="1">IF(Table15[[#This Row],[Type]]="KILL",IF(_xlfn.NUMBERVALUE(RIGHT(Table15[[#This Row],[Min]],LEN(Table15[[#This Row],[Min]])-FIND("-",Table15[[#This Row],[Min]])))&gt;INDIRECT(ADDRESS(11+MATCH(LEFT(Table15[[#This Row],[Min]],FIND("-",Table15[[#This Row],[Min]])-1),Table1[Content Sku],0),16,1,1,"Entities")),"review","ok"),"ok")</f>
        <v>ok</v>
      </c>
      <c r="AK586" t="s">
        <v>551</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14</v>
      </c>
      <c r="F587">
        <v>2800</v>
      </c>
      <c r="G587">
        <v>0</v>
      </c>
      <c r="H587" t="s">
        <v>205</v>
      </c>
      <c r="I587" s="75" t="str">
        <f ca="1">IF(Table7[[#This Row],[Type]]="KILL",IF(_xlfn.NUMBERVALUE(RIGHT(Table7[[#This Row],[Min]],LEN(Table7[[#This Row],[Min]])-FIND("-",Table7[[#This Row],[Min]])))&gt;INDIRECT(ADDRESS(11+MATCH(LEFT(Table7[[#This Row],[Min]],FIND("-",Table7[[#This Row],[Min]])-1),Table1[Content Sku],0),14,1,1,"Entities")),"review","ok"),"ok")</f>
        <v>ok</v>
      </c>
      <c r="U587" t="s">
        <v>392</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551</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95</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392</v>
      </c>
      <c r="V588">
        <v>0</v>
      </c>
      <c r="W588">
        <v>0</v>
      </c>
      <c r="X588" t="s">
        <v>8</v>
      </c>
      <c r="Y588" s="75" t="str">
        <f ca="1">IF(Table15[[#This Row],[Type]]="KILL",IF(_xlfn.NUMBERVALUE(RIGHT(Table15[[#This Row],[Min]],LEN(Table15[[#This Row],[Min]])-FIND("-",Table15[[#This Row],[Min]])))&gt;INDIRECT(ADDRESS(11+MATCH(LEFT(Table15[[#This Row],[Min]],FIND("-",Table15[[#This Row],[Min]])-1),Table1[Content Sku],0),16,1,1,"Entities")),"review","ok"),"ok")</f>
        <v>ok</v>
      </c>
      <c r="AK588" t="s">
        <v>551</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95</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392</v>
      </c>
      <c r="V589">
        <v>0</v>
      </c>
      <c r="W589">
        <v>0</v>
      </c>
      <c r="X589" t="s">
        <v>8</v>
      </c>
      <c r="Y589" s="75" t="str">
        <f ca="1">IF(Table15[[#This Row],[Type]]="KILL",IF(_xlfn.NUMBERVALUE(RIGHT(Table15[[#This Row],[Min]],LEN(Table15[[#This Row],[Min]])-FIND("-",Table15[[#This Row],[Min]])))&gt;INDIRECT(ADDRESS(11+MATCH(LEFT(Table15[[#This Row],[Min]],FIND("-",Table15[[#This Row],[Min]])-1),Table1[Content Sku],0),16,1,1,"Entities")),"review","ok"),"ok")</f>
        <v>ok</v>
      </c>
      <c r="AK589" t="s">
        <v>551</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95</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392</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551</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95</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392</v>
      </c>
      <c r="V591">
        <v>14000</v>
      </c>
      <c r="W591">
        <v>0</v>
      </c>
      <c r="X591" t="s">
        <v>205</v>
      </c>
      <c r="Y591" s="75" t="str">
        <f ca="1">IF(Table15[[#This Row],[Type]]="KILL",IF(_xlfn.NUMBERVALUE(RIGHT(Table15[[#This Row],[Min]],LEN(Table15[[#This Row],[Min]])-FIND("-",Table15[[#This Row],[Min]])))&gt;INDIRECT(ADDRESS(11+MATCH(LEFT(Table15[[#This Row],[Min]],FIND("-",Table15[[#This Row],[Min]])-1),Table1[Content Sku],0),16,1,1,"Entities")),"review","ok"),"ok")</f>
        <v>ok</v>
      </c>
      <c r="AK591" t="s">
        <v>551</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95</v>
      </c>
      <c r="F592">
        <v>34000</v>
      </c>
      <c r="G592">
        <v>0</v>
      </c>
      <c r="H592" t="s">
        <v>205</v>
      </c>
      <c r="I592" s="75" t="str">
        <f ca="1">IF(Table7[[#This Row],[Type]]="KILL",IF(_xlfn.NUMBERVALUE(RIGHT(Table7[[#This Row],[Min]],LEN(Table7[[#This Row],[Min]])-FIND("-",Table7[[#This Row],[Min]])))&gt;INDIRECT(ADDRESS(11+MATCH(LEFT(Table7[[#This Row],[Min]],FIND("-",Table7[[#This Row],[Min]])-1),Table1[Content Sku],0),14,1,1,"Entities")),"review","ok"),"ok")</f>
        <v>ok</v>
      </c>
      <c r="U592" t="s">
        <v>392</v>
      </c>
      <c r="V592">
        <v>0</v>
      </c>
      <c r="W592">
        <v>0</v>
      </c>
      <c r="X592" t="s">
        <v>8</v>
      </c>
      <c r="Y592" s="75" t="str">
        <f ca="1">IF(Table15[[#This Row],[Type]]="KILL",IF(_xlfn.NUMBERVALUE(RIGHT(Table15[[#This Row],[Min]],LEN(Table15[[#This Row],[Min]])-FIND("-",Table15[[#This Row],[Min]])))&gt;INDIRECT(ADDRESS(11+MATCH(LEFT(Table15[[#This Row],[Min]],FIND("-",Table15[[#This Row],[Min]])-1),Table1[Content Sku],0),16,1,1,"Entities")),"review","ok"),"ok")</f>
        <v>ok</v>
      </c>
      <c r="AK592" t="s">
        <v>551</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95</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392</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551</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95</v>
      </c>
      <c r="F594">
        <v>0</v>
      </c>
      <c r="G594">
        <v>26000</v>
      </c>
      <c r="H594" t="s">
        <v>205</v>
      </c>
      <c r="I594" s="75" t="str">
        <f ca="1">IF(Table7[[#This Row],[Type]]="KILL",IF(_xlfn.NUMBERVALUE(RIGHT(Table7[[#This Row],[Min]],LEN(Table7[[#This Row],[Min]])-FIND("-",Table7[[#This Row],[Min]])))&gt;INDIRECT(ADDRESS(11+MATCH(LEFT(Table7[[#This Row],[Min]],FIND("-",Table7[[#This Row],[Min]])-1),Table1[Content Sku],0),14,1,1,"Entities")),"review","ok"),"ok")</f>
        <v>ok</v>
      </c>
      <c r="U594" t="s">
        <v>392</v>
      </c>
      <c r="V594">
        <v>0</v>
      </c>
      <c r="W594">
        <v>0</v>
      </c>
      <c r="X594" t="s">
        <v>8</v>
      </c>
      <c r="Y594" s="75" t="str">
        <f ca="1">IF(Table15[[#This Row],[Type]]="KILL",IF(_xlfn.NUMBERVALUE(RIGHT(Table15[[#This Row],[Min]],LEN(Table15[[#This Row],[Min]])-FIND("-",Table15[[#This Row],[Min]])))&gt;INDIRECT(ADDRESS(11+MATCH(LEFT(Table15[[#This Row],[Min]],FIND("-",Table15[[#This Row],[Min]])-1),Table1[Content Sku],0),16,1,1,"Entities")),"review","ok"),"ok")</f>
        <v>ok</v>
      </c>
      <c r="AK594" t="s">
        <v>551</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95</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392</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551</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95</v>
      </c>
      <c r="F596">
        <v>0</v>
      </c>
      <c r="G596">
        <v>7000</v>
      </c>
      <c r="H596" t="s">
        <v>205</v>
      </c>
      <c r="I596" s="75" t="str">
        <f ca="1">IF(Table7[[#This Row],[Type]]="KILL",IF(_xlfn.NUMBERVALUE(RIGHT(Table7[[#This Row],[Min]],LEN(Table7[[#This Row],[Min]])-FIND("-",Table7[[#This Row],[Min]])))&gt;INDIRECT(ADDRESS(11+MATCH(LEFT(Table7[[#This Row],[Min]],FIND("-",Table7[[#This Row],[Min]])-1),Table1[Content Sku],0),14,1,1,"Entities")),"review","ok"),"ok")</f>
        <v>ok</v>
      </c>
      <c r="U596" t="s">
        <v>392</v>
      </c>
      <c r="V596">
        <v>30000</v>
      </c>
      <c r="W596">
        <v>0</v>
      </c>
      <c r="X596" t="s">
        <v>205</v>
      </c>
      <c r="Y596" s="75" t="str">
        <f ca="1">IF(Table15[[#This Row],[Type]]="KILL",IF(_xlfn.NUMBERVALUE(RIGHT(Table15[[#This Row],[Min]],LEN(Table15[[#This Row],[Min]])-FIND("-",Table15[[#This Row],[Min]])))&gt;INDIRECT(ADDRESS(11+MATCH(LEFT(Table15[[#This Row],[Min]],FIND("-",Table15[[#This Row],[Min]])-1),Table1[Content Sku],0),16,1,1,"Entities")),"review","ok"),"ok")</f>
        <v>ok</v>
      </c>
      <c r="AK596" t="s">
        <v>551</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95</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392</v>
      </c>
      <c r="V597">
        <v>0</v>
      </c>
      <c r="W597">
        <v>0</v>
      </c>
      <c r="X597" t="s">
        <v>8</v>
      </c>
      <c r="Y597" s="75" t="str">
        <f ca="1">IF(Table15[[#This Row],[Type]]="KILL",IF(_xlfn.NUMBERVALUE(RIGHT(Table15[[#This Row],[Min]],LEN(Table15[[#This Row],[Min]])-FIND("-",Table15[[#This Row],[Min]])))&gt;INDIRECT(ADDRESS(11+MATCH(LEFT(Table15[[#This Row],[Min]],FIND("-",Table15[[#This Row],[Min]])-1),Table1[Content Sku],0),16,1,1,"Entities")),"review","ok"),"ok")</f>
        <v>ok</v>
      </c>
      <c r="AK597" t="s">
        <v>551</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95</v>
      </c>
      <c r="F598">
        <v>12000</v>
      </c>
      <c r="G598">
        <v>0</v>
      </c>
      <c r="H598" t="s">
        <v>205</v>
      </c>
      <c r="I598" s="75" t="str">
        <f ca="1">IF(Table7[[#This Row],[Type]]="KILL",IF(_xlfn.NUMBERVALUE(RIGHT(Table7[[#This Row],[Min]],LEN(Table7[[#This Row],[Min]])-FIND("-",Table7[[#This Row],[Min]])))&gt;INDIRECT(ADDRESS(11+MATCH(LEFT(Table7[[#This Row],[Min]],FIND("-",Table7[[#This Row],[Min]])-1),Table1[Content Sku],0),14,1,1,"Entities")),"review","ok"),"ok")</f>
        <v>ok</v>
      </c>
      <c r="U598" t="s">
        <v>392</v>
      </c>
      <c r="V598">
        <v>28000</v>
      </c>
      <c r="W598">
        <v>0</v>
      </c>
      <c r="X598" t="s">
        <v>205</v>
      </c>
      <c r="Y598" s="75" t="str">
        <f ca="1">IF(Table15[[#This Row],[Type]]="KILL",IF(_xlfn.NUMBERVALUE(RIGHT(Table15[[#This Row],[Min]],LEN(Table15[[#This Row],[Min]])-FIND("-",Table15[[#This Row],[Min]])))&gt;INDIRECT(ADDRESS(11+MATCH(LEFT(Table15[[#This Row],[Min]],FIND("-",Table15[[#This Row],[Min]])-1),Table1[Content Sku],0),16,1,1,"Entities")),"review","ok"),"ok")</f>
        <v>ok</v>
      </c>
      <c r="AK598" t="s">
        <v>551</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95</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392</v>
      </c>
      <c r="V599">
        <v>0</v>
      </c>
      <c r="W599">
        <v>0</v>
      </c>
      <c r="X599" t="s">
        <v>8</v>
      </c>
      <c r="Y599" s="75" t="str">
        <f ca="1">IF(Table15[[#This Row],[Type]]="KILL",IF(_xlfn.NUMBERVALUE(RIGHT(Table15[[#This Row],[Min]],LEN(Table15[[#This Row],[Min]])-FIND("-",Table15[[#This Row],[Min]])))&gt;INDIRECT(ADDRESS(11+MATCH(LEFT(Table15[[#This Row],[Min]],FIND("-",Table15[[#This Row],[Min]])-1),Table1[Content Sku],0),16,1,1,"Entities")),"review","ok"),"ok")</f>
        <v>ok</v>
      </c>
      <c r="AK599" t="s">
        <v>551</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95</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392</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551</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95</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392</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551</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95</v>
      </c>
      <c r="F602">
        <v>0</v>
      </c>
      <c r="G602">
        <v>0</v>
      </c>
      <c r="H602" t="s">
        <v>8</v>
      </c>
      <c r="I602" s="75" t="str">
        <f ca="1">IF(Table7[[#This Row],[Type]]="KILL",IF(_xlfn.NUMBERVALUE(RIGHT(Table7[[#This Row],[Min]],LEN(Table7[[#This Row],[Min]])-FIND("-",Table7[[#This Row],[Min]])))&gt;INDIRECT(ADDRESS(11+MATCH(LEFT(Table7[[#This Row],[Min]],FIND("-",Table7[[#This Row],[Min]])-1),Table1[Content Sku],0),14,1,1,"Entities")),"review","ok"),"ok")</f>
        <v>ok</v>
      </c>
      <c r="U602" t="s">
        <v>392</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551</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95</v>
      </c>
      <c r="F603">
        <v>0</v>
      </c>
      <c r="G603">
        <v>0</v>
      </c>
      <c r="H603" t="s">
        <v>8</v>
      </c>
      <c r="I603" s="75" t="str">
        <f ca="1">IF(Table7[[#This Row],[Type]]="KILL",IF(_xlfn.NUMBERVALUE(RIGHT(Table7[[#This Row],[Min]],LEN(Table7[[#This Row],[Min]])-FIND("-",Table7[[#This Row],[Min]])))&gt;INDIRECT(ADDRESS(11+MATCH(LEFT(Table7[[#This Row],[Min]],FIND("-",Table7[[#This Row],[Min]])-1),Table1[Content Sku],0),14,1,1,"Entities")),"review","ok"),"ok")</f>
        <v>ok</v>
      </c>
      <c r="U603" t="s">
        <v>392</v>
      </c>
      <c r="V603">
        <v>0</v>
      </c>
      <c r="W603">
        <v>0</v>
      </c>
      <c r="X603" t="s">
        <v>8</v>
      </c>
      <c r="Y603" s="75" t="str">
        <f ca="1">IF(Table15[[#This Row],[Type]]="KILL",IF(_xlfn.NUMBERVALUE(RIGHT(Table15[[#This Row],[Min]],LEN(Table15[[#This Row],[Min]])-FIND("-",Table15[[#This Row],[Min]])))&gt;INDIRECT(ADDRESS(11+MATCH(LEFT(Table15[[#This Row],[Min]],FIND("-",Table15[[#This Row],[Min]])-1),Table1[Content Sku],0),16,1,1,"Entities")),"review","ok"),"ok")</f>
        <v>ok</v>
      </c>
      <c r="AK603" t="s">
        <v>551</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95</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392</v>
      </c>
      <c r="V604">
        <v>0</v>
      </c>
      <c r="W604">
        <v>0</v>
      </c>
      <c r="X604" t="s">
        <v>8</v>
      </c>
      <c r="Y604" s="75" t="str">
        <f ca="1">IF(Table15[[#This Row],[Type]]="KILL",IF(_xlfn.NUMBERVALUE(RIGHT(Table15[[#This Row],[Min]],LEN(Table15[[#This Row],[Min]])-FIND("-",Table15[[#This Row],[Min]])))&gt;INDIRECT(ADDRESS(11+MATCH(LEFT(Table15[[#This Row],[Min]],FIND("-",Table15[[#This Row],[Min]])-1),Table1[Content Sku],0),16,1,1,"Entities")),"review","ok"),"ok")</f>
        <v>ok</v>
      </c>
      <c r="AK604" t="s">
        <v>551</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95</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392</v>
      </c>
      <c r="V605">
        <v>0</v>
      </c>
      <c r="W605">
        <v>0</v>
      </c>
      <c r="X605" t="s">
        <v>8</v>
      </c>
      <c r="Y605" s="75" t="str">
        <f ca="1">IF(Table15[[#This Row],[Type]]="KILL",IF(_xlfn.NUMBERVALUE(RIGHT(Table15[[#This Row],[Min]],LEN(Table15[[#This Row],[Min]])-FIND("-",Table15[[#This Row],[Min]])))&gt;INDIRECT(ADDRESS(11+MATCH(LEFT(Table15[[#This Row],[Min]],FIND("-",Table15[[#This Row],[Min]])-1),Table1[Content Sku],0),16,1,1,"Entities")),"review","ok"),"ok")</f>
        <v>ok</v>
      </c>
      <c r="AK605" t="s">
        <v>551</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95</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392</v>
      </c>
      <c r="V606">
        <v>13000</v>
      </c>
      <c r="W606">
        <v>35000</v>
      </c>
      <c r="X606" t="s">
        <v>205</v>
      </c>
      <c r="Y606" s="75" t="str">
        <f ca="1">IF(Table15[[#This Row],[Type]]="KILL",IF(_xlfn.NUMBERVALUE(RIGHT(Table15[[#This Row],[Min]],LEN(Table15[[#This Row],[Min]])-FIND("-",Table15[[#This Row],[Min]])))&gt;INDIRECT(ADDRESS(11+MATCH(LEFT(Table15[[#This Row],[Min]],FIND("-",Table15[[#This Row],[Min]])-1),Table1[Content Sku],0),16,1,1,"Entities")),"review","ok"),"ok")</f>
        <v>ok</v>
      </c>
      <c r="AK606" t="s">
        <v>551</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95</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392</v>
      </c>
      <c r="V607">
        <v>16000</v>
      </c>
      <c r="W607">
        <v>0</v>
      </c>
      <c r="X607" t="s">
        <v>205</v>
      </c>
      <c r="Y607" s="75" t="str">
        <f ca="1">IF(Table15[[#This Row],[Type]]="KILL",IF(_xlfn.NUMBERVALUE(RIGHT(Table15[[#This Row],[Min]],LEN(Table15[[#This Row],[Min]])-FIND("-",Table15[[#This Row],[Min]])))&gt;INDIRECT(ADDRESS(11+MATCH(LEFT(Table15[[#This Row],[Min]],FIND("-",Table15[[#This Row],[Min]])-1),Table1[Content Sku],0),16,1,1,"Entities")),"review","ok"),"ok")</f>
        <v>ok</v>
      </c>
      <c r="AK607" t="s">
        <v>551</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95</v>
      </c>
      <c r="F608">
        <v>36000</v>
      </c>
      <c r="G608">
        <v>0</v>
      </c>
      <c r="H608" t="s">
        <v>205</v>
      </c>
      <c r="I608" s="75" t="str">
        <f ca="1">IF(Table7[[#This Row],[Type]]="KILL",IF(_xlfn.NUMBERVALUE(RIGHT(Table7[[#This Row],[Min]],LEN(Table7[[#This Row],[Min]])-FIND("-",Table7[[#This Row],[Min]])))&gt;INDIRECT(ADDRESS(11+MATCH(LEFT(Table7[[#This Row],[Min]],FIND("-",Table7[[#This Row],[Min]])-1),Table1[Content Sku],0),14,1,1,"Entities")),"review","ok"),"ok")</f>
        <v>ok</v>
      </c>
      <c r="U608" t="s">
        <v>392</v>
      </c>
      <c r="V608">
        <v>0</v>
      </c>
      <c r="W608">
        <v>0</v>
      </c>
      <c r="X608" t="s">
        <v>8</v>
      </c>
      <c r="Y608" s="75" t="str">
        <f ca="1">IF(Table15[[#This Row],[Type]]="KILL",IF(_xlfn.NUMBERVALUE(RIGHT(Table15[[#This Row],[Min]],LEN(Table15[[#This Row],[Min]])-FIND("-",Table15[[#This Row],[Min]])))&gt;INDIRECT(ADDRESS(11+MATCH(LEFT(Table15[[#This Row],[Min]],FIND("-",Table15[[#This Row],[Min]])-1),Table1[Content Sku],0),16,1,1,"Entities")),"review","ok"),"ok")</f>
        <v>ok</v>
      </c>
      <c r="AK608" t="s">
        <v>551</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95</v>
      </c>
      <c r="F609">
        <v>36000</v>
      </c>
      <c r="G609">
        <v>0</v>
      </c>
      <c r="H609" t="s">
        <v>205</v>
      </c>
      <c r="I609" s="75" t="str">
        <f ca="1">IF(Table7[[#This Row],[Type]]="KILL",IF(_xlfn.NUMBERVALUE(RIGHT(Table7[[#This Row],[Min]],LEN(Table7[[#This Row],[Min]])-FIND("-",Table7[[#This Row],[Min]])))&gt;INDIRECT(ADDRESS(11+MATCH(LEFT(Table7[[#This Row],[Min]],FIND("-",Table7[[#This Row],[Min]])-1),Table1[Content Sku],0),14,1,1,"Entities")),"review","ok"),"ok")</f>
        <v>ok</v>
      </c>
      <c r="U609" t="s">
        <v>392</v>
      </c>
      <c r="V609">
        <v>0</v>
      </c>
      <c r="W609">
        <v>0</v>
      </c>
      <c r="X609" t="s">
        <v>8</v>
      </c>
      <c r="Y609" s="75" t="str">
        <f ca="1">IF(Table15[[#This Row],[Type]]="KILL",IF(_xlfn.NUMBERVALUE(RIGHT(Table15[[#This Row],[Min]],LEN(Table15[[#This Row],[Min]])-FIND("-",Table15[[#This Row],[Min]])))&gt;INDIRECT(ADDRESS(11+MATCH(LEFT(Table15[[#This Row],[Min]],FIND("-",Table15[[#This Row],[Min]])-1),Table1[Content Sku],0),16,1,1,"Entities")),"review","ok"),"ok")</f>
        <v>ok</v>
      </c>
      <c r="AK609" t="s">
        <v>551</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95</v>
      </c>
      <c r="F610">
        <v>36000</v>
      </c>
      <c r="G610">
        <v>0</v>
      </c>
      <c r="H610" t="s">
        <v>205</v>
      </c>
      <c r="I610" s="75" t="str">
        <f ca="1">IF(Table7[[#This Row],[Type]]="KILL",IF(_xlfn.NUMBERVALUE(RIGHT(Table7[[#This Row],[Min]],LEN(Table7[[#This Row],[Min]])-FIND("-",Table7[[#This Row],[Min]])))&gt;INDIRECT(ADDRESS(11+MATCH(LEFT(Table7[[#This Row],[Min]],FIND("-",Table7[[#This Row],[Min]])-1),Table1[Content Sku],0),14,1,1,"Entities")),"review","ok"),"ok")</f>
        <v>ok</v>
      </c>
      <c r="U610" t="s">
        <v>392</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551</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95</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392</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551</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95</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392</v>
      </c>
      <c r="V612">
        <v>0</v>
      </c>
      <c r="W612">
        <v>0</v>
      </c>
      <c r="X612" t="s">
        <v>8</v>
      </c>
      <c r="Y612" s="75" t="str">
        <f ca="1">IF(Table15[[#This Row],[Type]]="KILL",IF(_xlfn.NUMBERVALUE(RIGHT(Table15[[#This Row],[Min]],LEN(Table15[[#This Row],[Min]])-FIND("-",Table15[[#This Row],[Min]])))&gt;INDIRECT(ADDRESS(11+MATCH(LEFT(Table15[[#This Row],[Min]],FIND("-",Table15[[#This Row],[Min]])-1),Table1[Content Sku],0),16,1,1,"Entities")),"review","ok"),"ok")</f>
        <v>ok</v>
      </c>
      <c r="AK612" t="s">
        <v>2748</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95</v>
      </c>
      <c r="F613">
        <v>15000</v>
      </c>
      <c r="G613">
        <v>0</v>
      </c>
      <c r="H613" t="s">
        <v>205</v>
      </c>
      <c r="I613" s="75" t="str">
        <f ca="1">IF(Table7[[#This Row],[Type]]="KILL",IF(_xlfn.NUMBERVALUE(RIGHT(Table7[[#This Row],[Min]],LEN(Table7[[#This Row],[Min]])-FIND("-",Table7[[#This Row],[Min]])))&gt;INDIRECT(ADDRESS(11+MATCH(LEFT(Table7[[#This Row],[Min]],FIND("-",Table7[[#This Row],[Min]])-1),Table1[Content Sku],0),14,1,1,"Entities")),"review","ok"),"ok")</f>
        <v>ok</v>
      </c>
      <c r="U613" t="s">
        <v>392</v>
      </c>
      <c r="V613">
        <v>0</v>
      </c>
      <c r="W613">
        <v>45000</v>
      </c>
      <c r="X613" t="s">
        <v>205</v>
      </c>
      <c r="Y613" s="75" t="str">
        <f ca="1">IF(Table15[[#This Row],[Type]]="KILL",IF(_xlfn.NUMBERVALUE(RIGHT(Table15[[#This Row],[Min]],LEN(Table15[[#This Row],[Min]])-FIND("-",Table15[[#This Row],[Min]])))&gt;INDIRECT(ADDRESS(11+MATCH(LEFT(Table15[[#This Row],[Min]],FIND("-",Table15[[#This Row],[Min]])-1),Table1[Content Sku],0),16,1,1,"Entities")),"review","ok"),"ok")</f>
        <v>ok</v>
      </c>
      <c r="AK613" t="s">
        <v>2748</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95</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392</v>
      </c>
      <c r="V614">
        <v>22000</v>
      </c>
      <c r="W614">
        <v>0</v>
      </c>
      <c r="X614" t="s">
        <v>205</v>
      </c>
      <c r="Y614" s="75" t="str">
        <f ca="1">IF(Table15[[#This Row],[Type]]="KILL",IF(_xlfn.NUMBERVALUE(RIGHT(Table15[[#This Row],[Min]],LEN(Table15[[#This Row],[Min]])-FIND("-",Table15[[#This Row],[Min]])))&gt;INDIRECT(ADDRESS(11+MATCH(LEFT(Table15[[#This Row],[Min]],FIND("-",Table15[[#This Row],[Min]])-1),Table1[Content Sku],0),16,1,1,"Entities")),"review","ok"),"ok")</f>
        <v>ok</v>
      </c>
      <c r="AK614" t="s">
        <v>2748</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95</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392</v>
      </c>
      <c r="V615">
        <v>21000</v>
      </c>
      <c r="W615">
        <v>0</v>
      </c>
      <c r="X615" t="s">
        <v>205</v>
      </c>
      <c r="Y615" s="75" t="str">
        <f ca="1">IF(Table15[[#This Row],[Type]]="KILL",IF(_xlfn.NUMBERVALUE(RIGHT(Table15[[#This Row],[Min]],LEN(Table15[[#This Row],[Min]])-FIND("-",Table15[[#This Row],[Min]])))&gt;INDIRECT(ADDRESS(11+MATCH(LEFT(Table15[[#This Row],[Min]],FIND("-",Table15[[#This Row],[Min]])-1),Table1[Content Sku],0),16,1,1,"Entities")),"review","ok"),"ok")</f>
        <v>ok</v>
      </c>
      <c r="AK615" t="s">
        <v>2748</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95</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392</v>
      </c>
      <c r="V616">
        <v>0</v>
      </c>
      <c r="W616">
        <v>0</v>
      </c>
      <c r="X616" t="s">
        <v>8</v>
      </c>
      <c r="Y616" s="75" t="str">
        <f ca="1">IF(Table15[[#This Row],[Type]]="KILL",IF(_xlfn.NUMBERVALUE(RIGHT(Table15[[#This Row],[Min]],LEN(Table15[[#This Row],[Min]])-FIND("-",Table15[[#This Row],[Min]])))&gt;INDIRECT(ADDRESS(11+MATCH(LEFT(Table15[[#This Row],[Min]],FIND("-",Table15[[#This Row],[Min]])-1),Table1[Content Sku],0),16,1,1,"Entities")),"review","ok"),"ok")</f>
        <v>ok</v>
      </c>
      <c r="AK616" t="s">
        <v>2748</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95</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392</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2748</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95</v>
      </c>
      <c r="F618">
        <v>28000</v>
      </c>
      <c r="G618">
        <v>0</v>
      </c>
      <c r="H618" t="s">
        <v>205</v>
      </c>
      <c r="I618" s="75" t="str">
        <f ca="1">IF(Table7[[#This Row],[Type]]="KILL",IF(_xlfn.NUMBERVALUE(RIGHT(Table7[[#This Row],[Min]],LEN(Table7[[#This Row],[Min]])-FIND("-",Table7[[#This Row],[Min]])))&gt;INDIRECT(ADDRESS(11+MATCH(LEFT(Table7[[#This Row],[Min]],FIND("-",Table7[[#This Row],[Min]])-1),Table1[Content Sku],0),14,1,1,"Entities")),"review","ok"),"ok")</f>
        <v>ok</v>
      </c>
      <c r="U618" t="s">
        <v>392</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2748</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95</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392</v>
      </c>
      <c r="V619">
        <v>0</v>
      </c>
      <c r="W619">
        <v>0</v>
      </c>
      <c r="X619" t="s">
        <v>8</v>
      </c>
      <c r="Y619" s="75" t="str">
        <f ca="1">IF(Table15[[#This Row],[Type]]="KILL",IF(_xlfn.NUMBERVALUE(RIGHT(Table15[[#This Row],[Min]],LEN(Table15[[#This Row],[Min]])-FIND("-",Table15[[#This Row],[Min]])))&gt;INDIRECT(ADDRESS(11+MATCH(LEFT(Table15[[#This Row],[Min]],FIND("-",Table15[[#This Row],[Min]])-1),Table1[Content Sku],0),16,1,1,"Entities")),"review","ok"),"ok")</f>
        <v>ok</v>
      </c>
      <c r="AK619" t="s">
        <v>2748</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95</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392</v>
      </c>
      <c r="V620">
        <v>0</v>
      </c>
      <c r="W620">
        <v>0</v>
      </c>
      <c r="X620" t="s">
        <v>8</v>
      </c>
      <c r="Y620" s="75" t="str">
        <f ca="1">IF(Table15[[#This Row],[Type]]="KILL",IF(_xlfn.NUMBERVALUE(RIGHT(Table15[[#This Row],[Min]],LEN(Table15[[#This Row],[Min]])-FIND("-",Table15[[#This Row],[Min]])))&gt;INDIRECT(ADDRESS(11+MATCH(LEFT(Table15[[#This Row],[Min]],FIND("-",Table15[[#This Row],[Min]])-1),Table1[Content Sku],0),16,1,1,"Entities")),"review","ok"),"ok")</f>
        <v>ok</v>
      </c>
      <c r="AK620" t="s">
        <v>2748</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95</v>
      </c>
      <c r="F621">
        <v>0</v>
      </c>
      <c r="G621">
        <v>0</v>
      </c>
      <c r="H621" t="s">
        <v>8</v>
      </c>
      <c r="I621" s="75" t="str">
        <f ca="1">IF(Table7[[#This Row],[Type]]="KILL",IF(_xlfn.NUMBERVALUE(RIGHT(Table7[[#This Row],[Min]],LEN(Table7[[#This Row],[Min]])-FIND("-",Table7[[#This Row],[Min]])))&gt;INDIRECT(ADDRESS(11+MATCH(LEFT(Table7[[#This Row],[Min]],FIND("-",Table7[[#This Row],[Min]])-1),Table1[Content Sku],0),14,1,1,"Entities")),"review","ok"),"ok")</f>
        <v>ok</v>
      </c>
      <c r="U621" t="s">
        <v>392</v>
      </c>
      <c r="V621">
        <v>0</v>
      </c>
      <c r="W621">
        <v>0</v>
      </c>
      <c r="X621" t="s">
        <v>8</v>
      </c>
      <c r="Y621" s="75" t="str">
        <f ca="1">IF(Table15[[#This Row],[Type]]="KILL",IF(_xlfn.NUMBERVALUE(RIGHT(Table15[[#This Row],[Min]],LEN(Table15[[#This Row],[Min]])-FIND("-",Table15[[#This Row],[Min]])))&gt;INDIRECT(ADDRESS(11+MATCH(LEFT(Table15[[#This Row],[Min]],FIND("-",Table15[[#This Row],[Min]])-1),Table1[Content Sku],0),16,1,1,"Entities")),"review","ok"),"ok")</f>
        <v>ok</v>
      </c>
      <c r="AK621" t="s">
        <v>2748</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95</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392</v>
      </c>
      <c r="V622">
        <v>0</v>
      </c>
      <c r="W622">
        <v>0</v>
      </c>
      <c r="X622" t="s">
        <v>8</v>
      </c>
      <c r="Y622" s="75" t="str">
        <f ca="1">IF(Table15[[#This Row],[Type]]="KILL",IF(_xlfn.NUMBERVALUE(RIGHT(Table15[[#This Row],[Min]],LEN(Table15[[#This Row],[Min]])-FIND("-",Table15[[#This Row],[Min]])))&gt;INDIRECT(ADDRESS(11+MATCH(LEFT(Table15[[#This Row],[Min]],FIND("-",Table15[[#This Row],[Min]])-1),Table1[Content Sku],0),16,1,1,"Entities")),"review","ok"),"ok")</f>
        <v>ok</v>
      </c>
      <c r="AK622" t="s">
        <v>2748</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95</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392</v>
      </c>
      <c r="V623">
        <v>0</v>
      </c>
      <c r="W623">
        <v>0</v>
      </c>
      <c r="X623" t="s">
        <v>8</v>
      </c>
      <c r="Y623" s="75" t="str">
        <f ca="1">IF(Table15[[#This Row],[Type]]="KILL",IF(_xlfn.NUMBERVALUE(RIGHT(Table15[[#This Row],[Min]],LEN(Table15[[#This Row],[Min]])-FIND("-",Table15[[#This Row],[Min]])))&gt;INDIRECT(ADDRESS(11+MATCH(LEFT(Table15[[#This Row],[Min]],FIND("-",Table15[[#This Row],[Min]])-1),Table1[Content Sku],0),16,1,1,"Entities")),"review","ok"),"ok")</f>
        <v>ok</v>
      </c>
      <c r="AK623" t="s">
        <v>2748</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95</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392</v>
      </c>
      <c r="V624">
        <v>0</v>
      </c>
      <c r="W624">
        <v>0</v>
      </c>
      <c r="X624" t="s">
        <v>8</v>
      </c>
      <c r="Y624" s="75" t="str">
        <f ca="1">IF(Table15[[#This Row],[Type]]="KILL",IF(_xlfn.NUMBERVALUE(RIGHT(Table15[[#This Row],[Min]],LEN(Table15[[#This Row],[Min]])-FIND("-",Table15[[#This Row],[Min]])))&gt;INDIRECT(ADDRESS(11+MATCH(LEFT(Table15[[#This Row],[Min]],FIND("-",Table15[[#This Row],[Min]])-1),Table1[Content Sku],0),16,1,1,"Entities")),"review","ok"),"ok")</f>
        <v>ok</v>
      </c>
      <c r="AK624" t="s">
        <v>2748</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95</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392</v>
      </c>
      <c r="V625">
        <v>0</v>
      </c>
      <c r="W625">
        <v>0</v>
      </c>
      <c r="X625" t="s">
        <v>8</v>
      </c>
      <c r="Y625" s="75" t="str">
        <f ca="1">IF(Table15[[#This Row],[Type]]="KILL",IF(_xlfn.NUMBERVALUE(RIGHT(Table15[[#This Row],[Min]],LEN(Table15[[#This Row],[Min]])-FIND("-",Table15[[#This Row],[Min]])))&gt;INDIRECT(ADDRESS(11+MATCH(LEFT(Table15[[#This Row],[Min]],FIND("-",Table15[[#This Row],[Min]])-1),Table1[Content Sku],0),16,1,1,"Entities")),"review","ok"),"ok")</f>
        <v>ok</v>
      </c>
      <c r="AK625" t="s">
        <v>2748</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95</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392</v>
      </c>
      <c r="V626">
        <v>0</v>
      </c>
      <c r="W626">
        <v>0</v>
      </c>
      <c r="X626" t="s">
        <v>8</v>
      </c>
      <c r="Y626" s="75" t="str">
        <f ca="1">IF(Table15[[#This Row],[Type]]="KILL",IF(_xlfn.NUMBERVALUE(RIGHT(Table15[[#This Row],[Min]],LEN(Table15[[#This Row],[Min]])-FIND("-",Table15[[#This Row],[Min]])))&gt;INDIRECT(ADDRESS(11+MATCH(LEFT(Table15[[#This Row],[Min]],FIND("-",Table15[[#This Row],[Min]])-1),Table1[Content Sku],0),16,1,1,"Entities")),"review","ok"),"ok")</f>
        <v>ok</v>
      </c>
      <c r="AK626" t="s">
        <v>2748</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95</v>
      </c>
      <c r="F627">
        <v>0</v>
      </c>
      <c r="G627">
        <v>23000</v>
      </c>
      <c r="H627" t="s">
        <v>205</v>
      </c>
      <c r="I627" s="75" t="str">
        <f ca="1">IF(Table7[[#This Row],[Type]]="KILL",IF(_xlfn.NUMBERVALUE(RIGHT(Table7[[#This Row],[Min]],LEN(Table7[[#This Row],[Min]])-FIND("-",Table7[[#This Row],[Min]])))&gt;INDIRECT(ADDRESS(11+MATCH(LEFT(Table7[[#This Row],[Min]],FIND("-",Table7[[#This Row],[Min]])-1),Table1[Content Sku],0),14,1,1,"Entities")),"review","ok"),"ok")</f>
        <v>ok</v>
      </c>
      <c r="U627" t="s">
        <v>392</v>
      </c>
      <c r="V627">
        <v>20000</v>
      </c>
      <c r="W627">
        <v>0</v>
      </c>
      <c r="X627" t="s">
        <v>205</v>
      </c>
      <c r="Y627" s="75" t="str">
        <f ca="1">IF(Table15[[#This Row],[Type]]="KILL",IF(_xlfn.NUMBERVALUE(RIGHT(Table15[[#This Row],[Min]],LEN(Table15[[#This Row],[Min]])-FIND("-",Table15[[#This Row],[Min]])))&gt;INDIRECT(ADDRESS(11+MATCH(LEFT(Table15[[#This Row],[Min]],FIND("-",Table15[[#This Row],[Min]])-1),Table1[Content Sku],0),16,1,1,"Entities")),"review","ok"),"ok")</f>
        <v>ok</v>
      </c>
      <c r="AK627" t="s">
        <v>2748</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95</v>
      </c>
      <c r="F628">
        <v>36000</v>
      </c>
      <c r="G628">
        <v>0</v>
      </c>
      <c r="H628" t="s">
        <v>205</v>
      </c>
      <c r="I628" s="75" t="str">
        <f ca="1">IF(Table7[[#This Row],[Type]]="KILL",IF(_xlfn.NUMBERVALUE(RIGHT(Table7[[#This Row],[Min]],LEN(Table7[[#This Row],[Min]])-FIND("-",Table7[[#This Row],[Min]])))&gt;INDIRECT(ADDRESS(11+MATCH(LEFT(Table7[[#This Row],[Min]],FIND("-",Table7[[#This Row],[Min]])-1),Table1[Content Sku],0),14,1,1,"Entities")),"review","ok"),"ok")</f>
        <v>ok</v>
      </c>
      <c r="U628" t="s">
        <v>392</v>
      </c>
      <c r="V628">
        <v>0</v>
      </c>
      <c r="W628">
        <v>0</v>
      </c>
      <c r="X628" t="s">
        <v>8</v>
      </c>
      <c r="Y628" s="75" t="str">
        <f ca="1">IF(Table15[[#This Row],[Type]]="KILL",IF(_xlfn.NUMBERVALUE(RIGHT(Table15[[#This Row],[Min]],LEN(Table15[[#This Row],[Min]])-FIND("-",Table15[[#This Row],[Min]])))&gt;INDIRECT(ADDRESS(11+MATCH(LEFT(Table15[[#This Row],[Min]],FIND("-",Table15[[#This Row],[Min]])-1),Table1[Content Sku],0),16,1,1,"Entities")),"review","ok"),"ok")</f>
        <v>ok</v>
      </c>
      <c r="AK628" t="s">
        <v>2748</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95</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392</v>
      </c>
      <c r="V629">
        <v>12000</v>
      </c>
      <c r="W629">
        <v>0</v>
      </c>
      <c r="X629" t="s">
        <v>205</v>
      </c>
      <c r="Y629" s="75" t="str">
        <f ca="1">IF(Table15[[#This Row],[Type]]="KILL",IF(_xlfn.NUMBERVALUE(RIGHT(Table15[[#This Row],[Min]],LEN(Table15[[#This Row],[Min]])-FIND("-",Table15[[#This Row],[Min]])))&gt;INDIRECT(ADDRESS(11+MATCH(LEFT(Table15[[#This Row],[Min]],FIND("-",Table15[[#This Row],[Min]])-1),Table1[Content Sku],0),16,1,1,"Entities")),"review","ok"),"ok")</f>
        <v>ok</v>
      </c>
      <c r="AK629" t="s">
        <v>2748</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95</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392</v>
      </c>
      <c r="V630">
        <v>0</v>
      </c>
      <c r="W630">
        <v>0</v>
      </c>
      <c r="X630" t="s">
        <v>8</v>
      </c>
      <c r="Y630" s="75" t="str">
        <f ca="1">IF(Table15[[#This Row],[Type]]="KILL",IF(_xlfn.NUMBERVALUE(RIGHT(Table15[[#This Row],[Min]],LEN(Table15[[#This Row],[Min]])-FIND("-",Table15[[#This Row],[Min]])))&gt;INDIRECT(ADDRESS(11+MATCH(LEFT(Table15[[#This Row],[Min]],FIND("-",Table15[[#This Row],[Min]])-1),Table1[Content Sku],0),16,1,1,"Entities")),"review","ok"),"ok")</f>
        <v>ok</v>
      </c>
      <c r="AK630" t="s">
        <v>2748</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95</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392</v>
      </c>
      <c r="V631">
        <v>0</v>
      </c>
      <c r="W631">
        <v>0</v>
      </c>
      <c r="X631" t="s">
        <v>8</v>
      </c>
      <c r="Y631" s="75" t="str">
        <f ca="1">IF(Table15[[#This Row],[Type]]="KILL",IF(_xlfn.NUMBERVALUE(RIGHT(Table15[[#This Row],[Min]],LEN(Table15[[#This Row],[Min]])-FIND("-",Table15[[#This Row],[Min]])))&gt;INDIRECT(ADDRESS(11+MATCH(LEFT(Table15[[#This Row],[Min]],FIND("-",Table15[[#This Row],[Min]])-1),Table1[Content Sku],0),16,1,1,"Entities")),"review","ok"),"ok")</f>
        <v>ok</v>
      </c>
      <c r="AK631" t="s">
        <v>2748</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95</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63</v>
      </c>
      <c r="V632">
        <v>0</v>
      </c>
      <c r="W632">
        <v>0</v>
      </c>
      <c r="X632" t="s">
        <v>8</v>
      </c>
      <c r="Y632" s="75" t="str">
        <f ca="1">IF(Table15[[#This Row],[Type]]="KILL",IF(_xlfn.NUMBERVALUE(RIGHT(Table15[[#This Row],[Min]],LEN(Table15[[#This Row],[Min]])-FIND("-",Table15[[#This Row],[Min]])))&gt;INDIRECT(ADDRESS(11+MATCH(LEFT(Table15[[#This Row],[Min]],FIND("-",Table15[[#This Row],[Min]])-1),Table1[Content Sku],0),16,1,1,"Entities")),"review","ok"),"ok")</f>
        <v>ok</v>
      </c>
      <c r="AK632" t="s">
        <v>2748</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95</v>
      </c>
      <c r="F633">
        <v>0</v>
      </c>
      <c r="G633">
        <v>29000</v>
      </c>
      <c r="H633" t="s">
        <v>205</v>
      </c>
      <c r="I633" s="75" t="str">
        <f ca="1">IF(Table7[[#This Row],[Type]]="KILL",IF(_xlfn.NUMBERVALUE(RIGHT(Table7[[#This Row],[Min]],LEN(Table7[[#This Row],[Min]])-FIND("-",Table7[[#This Row],[Min]])))&gt;INDIRECT(ADDRESS(11+MATCH(LEFT(Table7[[#This Row],[Min]],FIND("-",Table7[[#This Row],[Min]])-1),Table1[Content Sku],0),14,1,1,"Entities")),"review","ok"),"ok")</f>
        <v>ok</v>
      </c>
      <c r="U633" t="s">
        <v>63</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2748</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95</v>
      </c>
      <c r="F634">
        <v>36000</v>
      </c>
      <c r="G634">
        <v>0</v>
      </c>
      <c r="H634" t="s">
        <v>205</v>
      </c>
      <c r="I634" s="75" t="str">
        <f ca="1">IF(Table7[[#This Row],[Type]]="KILL",IF(_xlfn.NUMBERVALUE(RIGHT(Table7[[#This Row],[Min]],LEN(Table7[[#This Row],[Min]])-FIND("-",Table7[[#This Row],[Min]])))&gt;INDIRECT(ADDRESS(11+MATCH(LEFT(Table7[[#This Row],[Min]],FIND("-",Table7[[#This Row],[Min]])-1),Table1[Content Sku],0),14,1,1,"Entities")),"review","ok"),"ok")</f>
        <v>ok</v>
      </c>
      <c r="U634" t="s">
        <v>63</v>
      </c>
      <c r="V634">
        <v>0</v>
      </c>
      <c r="W634">
        <v>0</v>
      </c>
      <c r="X634" t="s">
        <v>8</v>
      </c>
      <c r="Y634" s="75" t="str">
        <f ca="1">IF(Table15[[#This Row],[Type]]="KILL",IF(_xlfn.NUMBERVALUE(RIGHT(Table15[[#This Row],[Min]],LEN(Table15[[#This Row],[Min]])-FIND("-",Table15[[#This Row],[Min]])))&gt;INDIRECT(ADDRESS(11+MATCH(LEFT(Table15[[#This Row],[Min]],FIND("-",Table15[[#This Row],[Min]])-1),Table1[Content Sku],0),16,1,1,"Entities")),"review","ok"),"ok")</f>
        <v>ok</v>
      </c>
      <c r="AK634" t="s">
        <v>2748</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95</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63</v>
      </c>
      <c r="V635">
        <v>0</v>
      </c>
      <c r="W635">
        <v>0</v>
      </c>
      <c r="X635" t="s">
        <v>8</v>
      </c>
      <c r="Y635" s="75" t="str">
        <f ca="1">IF(Table15[[#This Row],[Type]]="KILL",IF(_xlfn.NUMBERVALUE(RIGHT(Table15[[#This Row],[Min]],LEN(Table15[[#This Row],[Min]])-FIND("-",Table15[[#This Row],[Min]])))&gt;INDIRECT(ADDRESS(11+MATCH(LEFT(Table15[[#This Row],[Min]],FIND("-",Table15[[#This Row],[Min]])-1),Table1[Content Sku],0),16,1,1,"Entities")),"review","ok"),"ok")</f>
        <v>ok</v>
      </c>
      <c r="AK635" t="s">
        <v>2748</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95</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64</v>
      </c>
      <c r="V636">
        <v>0</v>
      </c>
      <c r="W636">
        <v>0</v>
      </c>
      <c r="X636" t="s">
        <v>8</v>
      </c>
      <c r="Y636" s="75" t="str">
        <f ca="1">IF(Table15[[#This Row],[Type]]="KILL",IF(_xlfn.NUMBERVALUE(RIGHT(Table15[[#This Row],[Min]],LEN(Table15[[#This Row],[Min]])-FIND("-",Table15[[#This Row],[Min]])))&gt;INDIRECT(ADDRESS(11+MATCH(LEFT(Table15[[#This Row],[Min]],FIND("-",Table15[[#This Row],[Min]])-1),Table1[Content Sku],0),16,1,1,"Entities")),"review","ok"),"ok")</f>
        <v>ok</v>
      </c>
      <c r="AK636" t="s">
        <v>2748</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95</v>
      </c>
      <c r="F637">
        <v>0</v>
      </c>
      <c r="G637">
        <v>20000</v>
      </c>
      <c r="H637" t="s">
        <v>205</v>
      </c>
      <c r="I637" s="75" t="str">
        <f ca="1">IF(Table7[[#This Row],[Type]]="KILL",IF(_xlfn.NUMBERVALUE(RIGHT(Table7[[#This Row],[Min]],LEN(Table7[[#This Row],[Min]])-FIND("-",Table7[[#This Row],[Min]])))&gt;INDIRECT(ADDRESS(11+MATCH(LEFT(Table7[[#This Row],[Min]],FIND("-",Table7[[#This Row],[Min]])-1),Table1[Content Sku],0),14,1,1,"Entities")),"review","ok"),"ok")</f>
        <v>ok</v>
      </c>
      <c r="U637" t="s">
        <v>64</v>
      </c>
      <c r="V637">
        <v>0</v>
      </c>
      <c r="W637">
        <v>0</v>
      </c>
      <c r="X637" t="s">
        <v>8</v>
      </c>
      <c r="Y637" s="75" t="str">
        <f ca="1">IF(Table15[[#This Row],[Type]]="KILL",IF(_xlfn.NUMBERVALUE(RIGHT(Table15[[#This Row],[Min]],LEN(Table15[[#This Row],[Min]])-FIND("-",Table15[[#This Row],[Min]])))&gt;INDIRECT(ADDRESS(11+MATCH(LEFT(Table15[[#This Row],[Min]],FIND("-",Table15[[#This Row],[Min]])-1),Table1[Content Sku],0),16,1,1,"Entities")),"review","ok"),"ok")</f>
        <v>ok</v>
      </c>
      <c r="AK637" t="s">
        <v>2748</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95</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65</v>
      </c>
      <c r="V638">
        <v>0</v>
      </c>
      <c r="W638">
        <v>0</v>
      </c>
      <c r="X638" t="s">
        <v>8</v>
      </c>
      <c r="Y638" s="75" t="str">
        <f ca="1">IF(Table15[[#This Row],[Type]]="KILL",IF(_xlfn.NUMBERVALUE(RIGHT(Table15[[#This Row],[Min]],LEN(Table15[[#This Row],[Min]])-FIND("-",Table15[[#This Row],[Min]])))&gt;INDIRECT(ADDRESS(11+MATCH(LEFT(Table15[[#This Row],[Min]],FIND("-",Table15[[#This Row],[Min]])-1),Table1[Content Sku],0),16,1,1,"Entities")),"review","ok"),"ok")</f>
        <v>ok</v>
      </c>
      <c r="AK638" t="s">
        <v>2748</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95</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404</v>
      </c>
      <c r="V639">
        <v>0</v>
      </c>
      <c r="W639">
        <v>0</v>
      </c>
      <c r="X639" t="s">
        <v>8</v>
      </c>
      <c r="Y639" s="75" t="str">
        <f ca="1">IF(Table15[[#This Row],[Type]]="KILL",IF(_xlfn.NUMBERVALUE(RIGHT(Table15[[#This Row],[Min]],LEN(Table15[[#This Row],[Min]])-FIND("-",Table15[[#This Row],[Min]])))&gt;INDIRECT(ADDRESS(11+MATCH(LEFT(Table15[[#This Row],[Min]],FIND("-",Table15[[#This Row],[Min]])-1),Table1[Content Sku],0),16,1,1,"Entities")),"review","ok"),"ok")</f>
        <v>ok</v>
      </c>
      <c r="AK639" t="s">
        <v>2748</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95</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404</v>
      </c>
      <c r="V640">
        <v>0</v>
      </c>
      <c r="W640">
        <v>0</v>
      </c>
      <c r="X640" t="s">
        <v>8</v>
      </c>
      <c r="Y640" s="75" t="str">
        <f ca="1">IF(Table15[[#This Row],[Type]]="KILL",IF(_xlfn.NUMBERVALUE(RIGHT(Table15[[#This Row],[Min]],LEN(Table15[[#This Row],[Min]])-FIND("-",Table15[[#This Row],[Min]])))&gt;INDIRECT(ADDRESS(11+MATCH(LEFT(Table15[[#This Row],[Min]],FIND("-",Table15[[#This Row],[Min]])-1),Table1[Content Sku],0),16,1,1,"Entities")),"review","ok"),"ok")</f>
        <v>ok</v>
      </c>
      <c r="AK640" t="s">
        <v>2748</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95</v>
      </c>
      <c r="F641">
        <v>9000</v>
      </c>
      <c r="G641">
        <v>0</v>
      </c>
      <c r="H641" t="s">
        <v>205</v>
      </c>
      <c r="I641" s="75" t="str">
        <f ca="1">IF(Table7[[#This Row],[Type]]="KILL",IF(_xlfn.NUMBERVALUE(RIGHT(Table7[[#This Row],[Min]],LEN(Table7[[#This Row],[Min]])-FIND("-",Table7[[#This Row],[Min]])))&gt;INDIRECT(ADDRESS(11+MATCH(LEFT(Table7[[#This Row],[Min]],FIND("-",Table7[[#This Row],[Min]])-1),Table1[Content Sku],0),14,1,1,"Entities")),"review","ok"),"ok")</f>
        <v>ok</v>
      </c>
      <c r="U641" t="s">
        <v>404</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2748</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95</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404</v>
      </c>
      <c r="V642">
        <v>0</v>
      </c>
      <c r="W642">
        <v>0</v>
      </c>
      <c r="X642" t="s">
        <v>8</v>
      </c>
      <c r="Y642" s="75" t="str">
        <f ca="1">IF(Table15[[#This Row],[Type]]="KILL",IF(_xlfn.NUMBERVALUE(RIGHT(Table15[[#This Row],[Min]],LEN(Table15[[#This Row],[Min]])-FIND("-",Table15[[#This Row],[Min]])))&gt;INDIRECT(ADDRESS(11+MATCH(LEFT(Table15[[#This Row],[Min]],FIND("-",Table15[[#This Row],[Min]])-1),Table1[Content Sku],0),16,1,1,"Entities")),"review","ok"),"ok")</f>
        <v>ok</v>
      </c>
      <c r="AK642" t="s">
        <v>2748</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95</v>
      </c>
      <c r="F643">
        <v>0</v>
      </c>
      <c r="G643">
        <v>21000</v>
      </c>
      <c r="H643" t="s">
        <v>205</v>
      </c>
      <c r="I643" s="75" t="str">
        <f ca="1">IF(Table7[[#This Row],[Type]]="KILL",IF(_xlfn.NUMBERVALUE(RIGHT(Table7[[#This Row],[Min]],LEN(Table7[[#This Row],[Min]])-FIND("-",Table7[[#This Row],[Min]])))&gt;INDIRECT(ADDRESS(11+MATCH(LEFT(Table7[[#This Row],[Min]],FIND("-",Table7[[#This Row],[Min]])-1),Table1[Content Sku],0),14,1,1,"Entities")),"review","ok"),"ok")</f>
        <v>ok</v>
      </c>
      <c r="U643" t="s">
        <v>404</v>
      </c>
      <c r="V643">
        <v>0</v>
      </c>
      <c r="W643">
        <v>0</v>
      </c>
      <c r="X643" t="s">
        <v>8</v>
      </c>
      <c r="Y643" s="75" t="str">
        <f ca="1">IF(Table15[[#This Row],[Type]]="KILL",IF(_xlfn.NUMBERVALUE(RIGHT(Table15[[#This Row],[Min]],LEN(Table15[[#This Row],[Min]])-FIND("-",Table15[[#This Row],[Min]])))&gt;INDIRECT(ADDRESS(11+MATCH(LEFT(Table15[[#This Row],[Min]],FIND("-",Table15[[#This Row],[Min]])-1),Table1[Content Sku],0),16,1,1,"Entities")),"review","ok"),"ok")</f>
        <v>ok</v>
      </c>
      <c r="AK643" t="s">
        <v>2748</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95</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404</v>
      </c>
      <c r="V644">
        <v>0</v>
      </c>
      <c r="W644">
        <v>0</v>
      </c>
      <c r="X644" t="s">
        <v>8</v>
      </c>
      <c r="Y644" s="75" t="str">
        <f ca="1">IF(Table15[[#This Row],[Type]]="KILL",IF(_xlfn.NUMBERVALUE(RIGHT(Table15[[#This Row],[Min]],LEN(Table15[[#This Row],[Min]])-FIND("-",Table15[[#This Row],[Min]])))&gt;INDIRECT(ADDRESS(11+MATCH(LEFT(Table15[[#This Row],[Min]],FIND("-",Table15[[#This Row],[Min]])-1),Table1[Content Sku],0),16,1,1,"Entities")),"review","ok"),"ok")</f>
        <v>ok</v>
      </c>
      <c r="AK644" t="s">
        <v>2748</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95</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404</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2748</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95</v>
      </c>
      <c r="F646">
        <v>0</v>
      </c>
      <c r="G646">
        <v>32000</v>
      </c>
      <c r="H646" t="s">
        <v>205</v>
      </c>
      <c r="I646" s="75" t="str">
        <f ca="1">IF(Table7[[#This Row],[Type]]="KILL",IF(_xlfn.NUMBERVALUE(RIGHT(Table7[[#This Row],[Min]],LEN(Table7[[#This Row],[Min]])-FIND("-",Table7[[#This Row],[Min]])))&gt;INDIRECT(ADDRESS(11+MATCH(LEFT(Table7[[#This Row],[Min]],FIND("-",Table7[[#This Row],[Min]])-1),Table1[Content Sku],0),14,1,1,"Entities")),"review","ok"),"ok")</f>
        <v>ok</v>
      </c>
      <c r="U646" t="s">
        <v>404</v>
      </c>
      <c r="V646">
        <v>0</v>
      </c>
      <c r="W646">
        <v>0</v>
      </c>
      <c r="X646" t="s">
        <v>8</v>
      </c>
      <c r="Y646" s="75" t="str">
        <f ca="1">IF(Table15[[#This Row],[Type]]="KILL",IF(_xlfn.NUMBERVALUE(RIGHT(Table15[[#This Row],[Min]],LEN(Table15[[#This Row],[Min]])-FIND("-",Table15[[#This Row],[Min]])))&gt;INDIRECT(ADDRESS(11+MATCH(LEFT(Table15[[#This Row],[Min]],FIND("-",Table15[[#This Row],[Min]])-1),Table1[Content Sku],0),16,1,1,"Entities")),"review","ok"),"ok")</f>
        <v>ok</v>
      </c>
      <c r="AK646" t="s">
        <v>2748</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95</v>
      </c>
      <c r="F647">
        <v>0</v>
      </c>
      <c r="G647">
        <v>0</v>
      </c>
      <c r="H647" t="s">
        <v>8</v>
      </c>
      <c r="I647" s="75" t="str">
        <f ca="1">IF(Table7[[#This Row],[Type]]="KILL",IF(_xlfn.NUMBERVALUE(RIGHT(Table7[[#This Row],[Min]],LEN(Table7[[#This Row],[Min]])-FIND("-",Table7[[#This Row],[Min]])))&gt;INDIRECT(ADDRESS(11+MATCH(LEFT(Table7[[#This Row],[Min]],FIND("-",Table7[[#This Row],[Min]])-1),Table1[Content Sku],0),14,1,1,"Entities")),"review","ok"),"ok")</f>
        <v>ok</v>
      </c>
      <c r="U647" t="s">
        <v>404</v>
      </c>
      <c r="V647">
        <v>0</v>
      </c>
      <c r="W647">
        <v>0</v>
      </c>
      <c r="X647" t="s">
        <v>8</v>
      </c>
      <c r="Y647" s="75" t="str">
        <f ca="1">IF(Table15[[#This Row],[Type]]="KILL",IF(_xlfn.NUMBERVALUE(RIGHT(Table15[[#This Row],[Min]],LEN(Table15[[#This Row],[Min]])-FIND("-",Table15[[#This Row],[Min]])))&gt;INDIRECT(ADDRESS(11+MATCH(LEFT(Table15[[#This Row],[Min]],FIND("-",Table15[[#This Row],[Min]])-1),Table1[Content Sku],0),16,1,1,"Entities")),"review","ok"),"ok")</f>
        <v>ok</v>
      </c>
      <c r="AK647" t="s">
        <v>2748</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47</v>
      </c>
      <c r="F648">
        <v>0</v>
      </c>
      <c r="G648">
        <v>0</v>
      </c>
      <c r="H648" t="s">
        <v>8</v>
      </c>
      <c r="I648" s="75" t="str">
        <f ca="1">IF(Table7[[#This Row],[Type]]="KILL",IF(_xlfn.NUMBERVALUE(RIGHT(Table7[[#This Row],[Min]],LEN(Table7[[#This Row],[Min]])-FIND("-",Table7[[#This Row],[Min]])))&gt;INDIRECT(ADDRESS(11+MATCH(LEFT(Table7[[#This Row],[Min]],FIND("-",Table7[[#This Row],[Min]])-1),Table1[Content Sku],0),14,1,1,"Entities")),"review","ok"),"ok")</f>
        <v>ok</v>
      </c>
      <c r="U648" t="s">
        <v>404</v>
      </c>
      <c r="V648">
        <v>0</v>
      </c>
      <c r="W648">
        <v>0</v>
      </c>
      <c r="X648" t="s">
        <v>8</v>
      </c>
      <c r="Y648" s="75" t="str">
        <f ca="1">IF(Table15[[#This Row],[Type]]="KILL",IF(_xlfn.NUMBERVALUE(RIGHT(Table15[[#This Row],[Min]],LEN(Table15[[#This Row],[Min]])-FIND("-",Table15[[#This Row],[Min]])))&gt;INDIRECT(ADDRESS(11+MATCH(LEFT(Table15[[#This Row],[Min]],FIND("-",Table15[[#This Row],[Min]])-1),Table1[Content Sku],0),16,1,1,"Entities")),"review","ok"),"ok")</f>
        <v>ok</v>
      </c>
      <c r="AK648" t="s">
        <v>2748</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47</v>
      </c>
      <c r="F649">
        <v>3000</v>
      </c>
      <c r="G649">
        <v>0</v>
      </c>
      <c r="H649" t="s">
        <v>205</v>
      </c>
      <c r="I649" s="75" t="str">
        <f ca="1">IF(Table7[[#This Row],[Type]]="KILL",IF(_xlfn.NUMBERVALUE(RIGHT(Table7[[#This Row],[Min]],LEN(Table7[[#This Row],[Min]])-FIND("-",Table7[[#This Row],[Min]])))&gt;INDIRECT(ADDRESS(11+MATCH(LEFT(Table7[[#This Row],[Min]],FIND("-",Table7[[#This Row],[Min]])-1),Table1[Content Sku],0),14,1,1,"Entities")),"review","ok"),"ok")</f>
        <v>ok</v>
      </c>
      <c r="U649" t="s">
        <v>404</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2748</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11000</v>
      </c>
      <c r="G650">
        <v>0</v>
      </c>
      <c r="H650" t="s">
        <v>205</v>
      </c>
      <c r="I650" s="75" t="str">
        <f ca="1">IF(Table7[[#This Row],[Type]]="KILL",IF(_xlfn.NUMBERVALUE(RIGHT(Table7[[#This Row],[Min]],LEN(Table7[[#This Row],[Min]])-FIND("-",Table7[[#This Row],[Min]])))&gt;INDIRECT(ADDRESS(11+MATCH(LEFT(Table7[[#This Row],[Min]],FIND("-",Table7[[#This Row],[Min]])-1),Table1[Content Sku],0),14,1,1,"Entities")),"review","ok"),"ok")</f>
        <v>ok</v>
      </c>
      <c r="U650" t="s">
        <v>404</v>
      </c>
      <c r="V650">
        <v>0</v>
      </c>
      <c r="W650">
        <v>0</v>
      </c>
      <c r="X650" t="s">
        <v>8</v>
      </c>
      <c r="Y650" s="75" t="str">
        <f ca="1">IF(Table15[[#This Row],[Type]]="KILL",IF(_xlfn.NUMBERVALUE(RIGHT(Table15[[#This Row],[Min]],LEN(Table15[[#This Row],[Min]])-FIND("-",Table15[[#This Row],[Min]])))&gt;INDIRECT(ADDRESS(11+MATCH(LEFT(Table15[[#This Row],[Min]],FIND("-",Table15[[#This Row],[Min]])-1),Table1[Content Sku],0),16,1,1,"Entities")),"review","ok"),"ok")</f>
        <v>ok</v>
      </c>
      <c r="AK650" t="s">
        <v>2748</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404</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2748</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0</v>
      </c>
      <c r="G652">
        <v>0</v>
      </c>
      <c r="H652" t="s">
        <v>8</v>
      </c>
      <c r="I652" s="75" t="str">
        <f ca="1">IF(Table7[[#This Row],[Type]]="KILL",IF(_xlfn.NUMBERVALUE(RIGHT(Table7[[#This Row],[Min]],LEN(Table7[[#This Row],[Min]])-FIND("-",Table7[[#This Row],[Min]])))&gt;INDIRECT(ADDRESS(11+MATCH(LEFT(Table7[[#This Row],[Min]],FIND("-",Table7[[#This Row],[Min]])-1),Table1[Content Sku],0),14,1,1,"Entities")),"review","ok"),"ok")</f>
        <v>ok</v>
      </c>
      <c r="U652" t="s">
        <v>404</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2748</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X653" t="s">
        <v>8</v>
      </c>
      <c r="Y653" s="75" t="str">
        <f ca="1">IF(Table15[[#This Row],[Type]]="KILL",IF(_xlfn.NUMBERVALUE(RIGHT(Table15[[#This Row],[Min]],LEN(Table15[[#This Row],[Min]])-FIND("-",Table15[[#This Row],[Min]])))&gt;INDIRECT(ADDRESS(11+MATCH(LEFT(Table15[[#This Row],[Min]],FIND("-",Table15[[#This Row],[Min]])-1),Table1[Content Sku],0),16,1,1,"Entities")),"review","ok"),"ok")</f>
        <v>ok</v>
      </c>
      <c r="AK653" t="s">
        <v>2748</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3500</v>
      </c>
      <c r="G654">
        <v>0</v>
      </c>
      <c r="H654" t="s">
        <v>205</v>
      </c>
      <c r="I654" s="75" t="str">
        <f ca="1">IF(Table7[[#This Row],[Type]]="KILL",IF(_xlfn.NUMBERVALUE(RIGHT(Table7[[#This Row],[Min]],LEN(Table7[[#This Row],[Min]])-FIND("-",Table7[[#This Row],[Min]])))&gt;INDIRECT(ADDRESS(11+MATCH(LEFT(Table7[[#This Row],[Min]],FIND("-",Table7[[#This Row],[Min]])-1),Table1[Content Sku],0),14,1,1,"Entities")),"review","ok"),"ok")</f>
        <v>ok</v>
      </c>
      <c r="U654" t="s">
        <v>46</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2748</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46</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2748</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46</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2748</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8000</v>
      </c>
      <c r="G657">
        <v>14000</v>
      </c>
      <c r="H657" t="s">
        <v>205</v>
      </c>
      <c r="I657" s="75" t="str">
        <f ca="1">IF(Table7[[#This Row],[Type]]="KILL",IF(_xlfn.NUMBERVALUE(RIGHT(Table7[[#This Row],[Min]],LEN(Table7[[#This Row],[Min]])-FIND("-",Table7[[#This Row],[Min]])))&gt;INDIRECT(ADDRESS(11+MATCH(LEFT(Table7[[#This Row],[Min]],FIND("-",Table7[[#This Row],[Min]])-1),Table1[Content Sku],0),14,1,1,"Entities")),"review","ok"),"ok")</f>
        <v>ok</v>
      </c>
      <c r="U657" t="s">
        <v>46</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2748</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3600</v>
      </c>
      <c r="G658">
        <v>0</v>
      </c>
      <c r="H658" t="s">
        <v>205</v>
      </c>
      <c r="I658" s="75" t="str">
        <f ca="1">IF(Table7[[#This Row],[Type]]="KILL",IF(_xlfn.NUMBERVALUE(RIGHT(Table7[[#This Row],[Min]],LEN(Table7[[#This Row],[Min]])-FIND("-",Table7[[#This Row],[Min]])))&gt;INDIRECT(ADDRESS(11+MATCH(LEFT(Table7[[#This Row],[Min]],FIND("-",Table7[[#This Row],[Min]])-1),Table1[Content Sku],0),14,1,1,"Entities")),"review","ok"),"ok")</f>
        <v>ok</v>
      </c>
      <c r="U658" t="s">
        <v>46</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2748</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45</v>
      </c>
      <c r="G659">
        <v>0</v>
      </c>
      <c r="H659" t="s">
        <v>4439</v>
      </c>
      <c r="I659" s="75" t="str">
        <f ca="1">IF(Table7[[#This Row],[Type]]="KILL",IF(_xlfn.NUMBERVALUE(RIGHT(Table7[[#This Row],[Min]],LEN(Table7[[#This Row],[Min]])-FIND("-",Table7[[#This Row],[Min]])))&gt;INDIRECT(ADDRESS(11+MATCH(LEFT(Table7[[#This Row],[Min]],FIND("-",Table7[[#This Row],[Min]])-1),Table1[Content Sku],0),14,1,1,"Entities")),"review","ok"),"ok")</f>
        <v>ok</v>
      </c>
      <c r="U659" t="s">
        <v>46</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2748</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6000</v>
      </c>
      <c r="G660">
        <v>12000</v>
      </c>
      <c r="H660" t="s">
        <v>205</v>
      </c>
      <c r="I660" s="75" t="str">
        <f ca="1">IF(Table7[[#This Row],[Type]]="KILL",IF(_xlfn.NUMBERVALUE(RIGHT(Table7[[#This Row],[Min]],LEN(Table7[[#This Row],[Min]])-FIND("-",Table7[[#This Row],[Min]])))&gt;INDIRECT(ADDRESS(11+MATCH(LEFT(Table7[[#This Row],[Min]],FIND("-",Table7[[#This Row],[Min]])-1),Table1[Content Sku],0),14,1,1,"Entities")),"review","ok"),"ok")</f>
        <v>ok</v>
      </c>
      <c r="U660" t="s">
        <v>46</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2748</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0</v>
      </c>
      <c r="G661">
        <v>0</v>
      </c>
      <c r="H661" t="s">
        <v>8</v>
      </c>
      <c r="I661" s="75" t="str">
        <f ca="1">IF(Table7[[#This Row],[Type]]="KILL",IF(_xlfn.NUMBERVALUE(RIGHT(Table7[[#This Row],[Min]],LEN(Table7[[#This Row],[Min]])-FIND("-",Table7[[#This Row],[Min]])))&gt;INDIRECT(ADDRESS(11+MATCH(LEFT(Table7[[#This Row],[Min]],FIND("-",Table7[[#This Row],[Min]])-1),Table1[Content Sku],0),14,1,1,"Entities")),"review","ok"),"ok")</f>
        <v>ok</v>
      </c>
      <c r="U661" t="s">
        <v>46</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2748</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3500</v>
      </c>
      <c r="G662">
        <v>0</v>
      </c>
      <c r="H662" t="s">
        <v>205</v>
      </c>
      <c r="I662" s="75" t="str">
        <f ca="1">IF(Table7[[#This Row],[Type]]="KILL",IF(_xlfn.NUMBERVALUE(RIGHT(Table7[[#This Row],[Min]],LEN(Table7[[#This Row],[Min]])-FIND("-",Table7[[#This Row],[Min]])))&gt;INDIRECT(ADDRESS(11+MATCH(LEFT(Table7[[#This Row],[Min]],FIND("-",Table7[[#This Row],[Min]])-1),Table1[Content Sku],0),14,1,1,"Entities")),"review","ok"),"ok")</f>
        <v>ok</v>
      </c>
      <c r="U662" t="s">
        <v>46</v>
      </c>
      <c r="V662">
        <v>0</v>
      </c>
      <c r="W662">
        <v>0</v>
      </c>
      <c r="X662" t="s">
        <v>8</v>
      </c>
      <c r="Y662" s="75" t="str">
        <f ca="1">IF(Table15[[#This Row],[Type]]="KILL",IF(_xlfn.NUMBERVALUE(RIGHT(Table15[[#This Row],[Min]],LEN(Table15[[#This Row],[Min]])-FIND("-",Table15[[#This Row],[Min]])))&gt;INDIRECT(ADDRESS(11+MATCH(LEFT(Table15[[#This Row],[Min]],FIND("-",Table15[[#This Row],[Min]])-1),Table1[Content Sku],0),16,1,1,"Entities")),"review","ok"),"ok")</f>
        <v>ok</v>
      </c>
      <c r="AK662" t="s">
        <v>2748</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46</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2748</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4000</v>
      </c>
      <c r="G664">
        <v>0</v>
      </c>
      <c r="H664" t="s">
        <v>205</v>
      </c>
      <c r="I664" s="75" t="str">
        <f ca="1">IF(Table7[[#This Row],[Type]]="KILL",IF(_xlfn.NUMBERVALUE(RIGHT(Table7[[#This Row],[Min]],LEN(Table7[[#This Row],[Min]])-FIND("-",Table7[[#This Row],[Min]])))&gt;INDIRECT(ADDRESS(11+MATCH(LEFT(Table7[[#This Row],[Min]],FIND("-",Table7[[#This Row],[Min]])-1),Table1[Content Sku],0),14,1,1,"Entities")),"review","ok"),"ok")</f>
        <v>ok</v>
      </c>
      <c r="U664" t="s">
        <v>46</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2748</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7000</v>
      </c>
      <c r="G665">
        <v>0</v>
      </c>
      <c r="H665" t="s">
        <v>205</v>
      </c>
      <c r="I665" s="75" t="str">
        <f ca="1">IF(Table7[[#This Row],[Type]]="KILL",IF(_xlfn.NUMBERVALUE(RIGHT(Table7[[#This Row],[Min]],LEN(Table7[[#This Row],[Min]])-FIND("-",Table7[[#This Row],[Min]])))&gt;INDIRECT(ADDRESS(11+MATCH(LEFT(Table7[[#This Row],[Min]],FIND("-",Table7[[#This Row],[Min]])-1),Table1[Content Sku],0),14,1,1,"Entities")),"review","ok"),"ok")</f>
        <v>ok</v>
      </c>
      <c r="U665" t="s">
        <v>46</v>
      </c>
      <c r="V665">
        <v>0</v>
      </c>
      <c r="W665">
        <v>0</v>
      </c>
      <c r="X665" t="s">
        <v>8</v>
      </c>
      <c r="Y665" s="75" t="str">
        <f ca="1">IF(Table15[[#This Row],[Type]]="KILL",IF(_xlfn.NUMBERVALUE(RIGHT(Table15[[#This Row],[Min]],LEN(Table15[[#This Row],[Min]])-FIND("-",Table15[[#This Row],[Min]])))&gt;INDIRECT(ADDRESS(11+MATCH(LEFT(Table15[[#This Row],[Min]],FIND("-",Table15[[#This Row],[Min]])-1),Table1[Content Sku],0),16,1,1,"Entities")),"review","ok"),"ok")</f>
        <v>ok</v>
      </c>
      <c r="AK665" t="s">
        <v>2748</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46</v>
      </c>
      <c r="V666">
        <v>0</v>
      </c>
      <c r="W666">
        <v>0</v>
      </c>
      <c r="X666" t="s">
        <v>8</v>
      </c>
      <c r="Y666" s="75" t="str">
        <f ca="1">IF(Table15[[#This Row],[Type]]="KILL",IF(_xlfn.NUMBERVALUE(RIGHT(Table15[[#This Row],[Min]],LEN(Table15[[#This Row],[Min]])-FIND("-",Table15[[#This Row],[Min]])))&gt;INDIRECT(ADDRESS(11+MATCH(LEFT(Table15[[#This Row],[Min]],FIND("-",Table15[[#This Row],[Min]])-1),Table1[Content Sku],0),16,1,1,"Entities")),"review","ok"),"ok")</f>
        <v>ok</v>
      </c>
      <c r="AK666" t="s">
        <v>2748</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4500</v>
      </c>
      <c r="G667">
        <v>0</v>
      </c>
      <c r="H667" t="s">
        <v>205</v>
      </c>
      <c r="I667" s="75" t="str">
        <f ca="1">IF(Table7[[#This Row],[Type]]="KILL",IF(_xlfn.NUMBERVALUE(RIGHT(Table7[[#This Row],[Min]],LEN(Table7[[#This Row],[Min]])-FIND("-",Table7[[#This Row],[Min]])))&gt;INDIRECT(ADDRESS(11+MATCH(LEFT(Table7[[#This Row],[Min]],FIND("-",Table7[[#This Row],[Min]])-1),Table1[Content Sku],0),14,1,1,"Entities")),"review","ok"),"ok")</f>
        <v>ok</v>
      </c>
      <c r="U667" t="s">
        <v>46</v>
      </c>
      <c r="V667">
        <v>0</v>
      </c>
      <c r="W667">
        <v>0</v>
      </c>
      <c r="X667" t="s">
        <v>8</v>
      </c>
      <c r="Y667" s="75" t="str">
        <f ca="1">IF(Table15[[#This Row],[Type]]="KILL",IF(_xlfn.NUMBERVALUE(RIGHT(Table15[[#This Row],[Min]],LEN(Table15[[#This Row],[Min]])-FIND("-",Table15[[#This Row],[Min]])))&gt;INDIRECT(ADDRESS(11+MATCH(LEFT(Table15[[#This Row],[Min]],FIND("-",Table15[[#This Row],[Min]])-1),Table1[Content Sku],0),16,1,1,"Entities")),"review","ok"),"ok")</f>
        <v>ok</v>
      </c>
      <c r="AK667" t="s">
        <v>2748</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2200</v>
      </c>
      <c r="G668">
        <v>7900</v>
      </c>
      <c r="H668" t="s">
        <v>205</v>
      </c>
      <c r="I668" s="75" t="str">
        <f ca="1">IF(Table7[[#This Row],[Type]]="KILL",IF(_xlfn.NUMBERVALUE(RIGHT(Table7[[#This Row],[Min]],LEN(Table7[[#This Row],[Min]])-FIND("-",Table7[[#This Row],[Min]])))&gt;INDIRECT(ADDRESS(11+MATCH(LEFT(Table7[[#This Row],[Min]],FIND("-",Table7[[#This Row],[Min]])-1),Table1[Content Sku],0),14,1,1,"Entities")),"review","ok"),"ok")</f>
        <v>ok</v>
      </c>
      <c r="U668" t="s">
        <v>46</v>
      </c>
      <c r="V668">
        <v>0</v>
      </c>
      <c r="W668">
        <v>0</v>
      </c>
      <c r="X668" t="s">
        <v>8</v>
      </c>
      <c r="Y668" s="75" t="str">
        <f ca="1">IF(Table15[[#This Row],[Type]]="KILL",IF(_xlfn.NUMBERVALUE(RIGHT(Table15[[#This Row],[Min]],LEN(Table15[[#This Row],[Min]])-FIND("-",Table15[[#This Row],[Min]])))&gt;INDIRECT(ADDRESS(11+MATCH(LEFT(Table15[[#This Row],[Min]],FIND("-",Table15[[#This Row],[Min]])-1),Table1[Content Sku],0),16,1,1,"Entities")),"review","ok"),"ok")</f>
        <v>ok</v>
      </c>
      <c r="AK668" t="s">
        <v>2748</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46</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2748</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0</v>
      </c>
      <c r="G670">
        <v>6900</v>
      </c>
      <c r="H670" t="s">
        <v>205</v>
      </c>
      <c r="I670" s="75"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2748</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2900</v>
      </c>
      <c r="G671">
        <v>0</v>
      </c>
      <c r="H671" t="s">
        <v>205</v>
      </c>
      <c r="I671" s="75"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5" t="str">
        <f ca="1">IF(Table15[[#This Row],[Type]]="KILL",IF(_xlfn.NUMBERVALUE(RIGHT(Table15[[#This Row],[Min]],LEN(Table15[[#This Row],[Min]])-FIND("-",Table15[[#This Row],[Min]])))&gt;INDIRECT(ADDRESS(11+MATCH(LEFT(Table15[[#This Row],[Min]],FIND("-",Table15[[#This Row],[Min]])-1),Table1[Content Sku],0),16,1,1,"Entities")),"review","ok"),"ok")</f>
        <v>ok</v>
      </c>
      <c r="AK671" t="s">
        <v>2748</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8000</v>
      </c>
      <c r="G672">
        <v>14000</v>
      </c>
      <c r="H672" t="s">
        <v>205</v>
      </c>
      <c r="I672" s="75"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5" t="str">
        <f ca="1">IF(Table15[[#This Row],[Type]]="KILL",IF(_xlfn.NUMBERVALUE(RIGHT(Table15[[#This Row],[Min]],LEN(Table15[[#This Row],[Min]])-FIND("-",Table15[[#This Row],[Min]])))&gt;INDIRECT(ADDRESS(11+MATCH(LEFT(Table15[[#This Row],[Min]],FIND("-",Table15[[#This Row],[Min]])-1),Table1[Content Sku],0),16,1,1,"Entities")),"review","ok"),"ok")</f>
        <v>ok</v>
      </c>
      <c r="AK672" t="s">
        <v>2748</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0</v>
      </c>
      <c r="H673" t="s">
        <v>8</v>
      </c>
      <c r="I673" s="75" t="str">
        <f ca="1">IF(Table7[[#This Row],[Type]]="KILL",IF(_xlfn.NUMBERVALUE(RIGHT(Table7[[#This Row],[Min]],LEN(Table7[[#This Row],[Min]])-FIND("-",Table7[[#This Row],[Min]])))&gt;INDIRECT(ADDRESS(11+MATCH(LEFT(Table7[[#This Row],[Min]],FIND("-",Table7[[#This Row],[Min]])-1),Table1[Content Sku],0),14,1,1,"Entities")),"review","ok"),"ok")</f>
        <v>ok</v>
      </c>
      <c r="U673" t="s">
        <v>39</v>
      </c>
      <c r="V673">
        <v>15000</v>
      </c>
      <c r="W673">
        <v>28000</v>
      </c>
      <c r="X673" t="s">
        <v>205</v>
      </c>
      <c r="Y673" s="75" t="str">
        <f ca="1">IF(Table15[[#This Row],[Type]]="KILL",IF(_xlfn.NUMBERVALUE(RIGHT(Table15[[#This Row],[Min]],LEN(Table15[[#This Row],[Min]])-FIND("-",Table15[[#This Row],[Min]])))&gt;INDIRECT(ADDRESS(11+MATCH(LEFT(Table15[[#This Row],[Min]],FIND("-",Table15[[#This Row],[Min]])-1),Table1[Content Sku],0),16,1,1,"Entities")),"review","ok"),"ok")</f>
        <v>ok</v>
      </c>
      <c r="AK673" t="s">
        <v>2748</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0</v>
      </c>
      <c r="G674">
        <v>0</v>
      </c>
      <c r="H674" t="s">
        <v>8</v>
      </c>
      <c r="I674" s="75" t="str">
        <f ca="1">IF(Table7[[#This Row],[Type]]="KILL",IF(_xlfn.NUMBERVALUE(RIGHT(Table7[[#This Row],[Min]],LEN(Table7[[#This Row],[Min]])-FIND("-",Table7[[#This Row],[Min]])))&gt;INDIRECT(ADDRESS(11+MATCH(LEFT(Table7[[#This Row],[Min]],FIND("-",Table7[[#This Row],[Min]])-1),Table1[Content Sku],0),14,1,1,"Entities")),"review","ok"),"ok")</f>
        <v>ok</v>
      </c>
      <c r="U674" t="s">
        <v>39</v>
      </c>
      <c r="V674">
        <v>15000</v>
      </c>
      <c r="W674">
        <v>0</v>
      </c>
      <c r="X674" t="s">
        <v>205</v>
      </c>
      <c r="Y674" s="75" t="str">
        <f ca="1">IF(Table15[[#This Row],[Type]]="KILL",IF(_xlfn.NUMBERVALUE(RIGHT(Table15[[#This Row],[Min]],LEN(Table15[[#This Row],[Min]])-FIND("-",Table15[[#This Row],[Min]])))&gt;INDIRECT(ADDRESS(11+MATCH(LEFT(Table15[[#This Row],[Min]],FIND("-",Table15[[#This Row],[Min]])-1),Table1[Content Sku],0),16,1,1,"Entities")),"review","ok"),"ok")</f>
        <v>ok</v>
      </c>
      <c r="AK674" t="s">
        <v>2748</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90</v>
      </c>
      <c r="G675">
        <v>0</v>
      </c>
      <c r="H675" t="s">
        <v>4439</v>
      </c>
      <c r="I675" s="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X675" t="s">
        <v>8</v>
      </c>
      <c r="Y675" s="75" t="str">
        <f ca="1">IF(Table15[[#This Row],[Type]]="KILL",IF(_xlfn.NUMBERVALUE(RIGHT(Table15[[#This Row],[Min]],LEN(Table15[[#This Row],[Min]])-FIND("-",Table15[[#This Row],[Min]])))&gt;INDIRECT(ADDRESS(11+MATCH(LEFT(Table15[[#This Row],[Min]],FIND("-",Table15[[#This Row],[Min]])-1),Table1[Content Sku],0),16,1,1,"Entities")),"review","ok"),"ok")</f>
        <v>ok</v>
      </c>
      <c r="AK675" t="s">
        <v>2748</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5000</v>
      </c>
      <c r="G676">
        <v>0</v>
      </c>
      <c r="H676" t="s">
        <v>205</v>
      </c>
      <c r="I676" s="75"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2748</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48</v>
      </c>
      <c r="F677">
        <v>0</v>
      </c>
      <c r="G677">
        <v>0</v>
      </c>
      <c r="H677" t="s">
        <v>8</v>
      </c>
      <c r="I677" s="75" t="str">
        <f ca="1">IF(Table7[[#This Row],[Type]]="KILL",IF(_xlfn.NUMBERVALUE(RIGHT(Table7[[#This Row],[Min]],LEN(Table7[[#This Row],[Min]])-FIND("-",Table7[[#This Row],[Min]])))&gt;INDIRECT(ADDRESS(11+MATCH(LEFT(Table7[[#This Row],[Min]],FIND("-",Table7[[#This Row],[Min]])-1),Table1[Content Sku],0),14,1,1,"Entities")),"review","ok"),"ok")</f>
        <v>ok</v>
      </c>
      <c r="U677" t="s">
        <v>39</v>
      </c>
      <c r="V677">
        <v>0</v>
      </c>
      <c r="W677">
        <v>34000</v>
      </c>
      <c r="X677" t="s">
        <v>205</v>
      </c>
      <c r="Y677" s="75" t="str">
        <f ca="1">IF(Table15[[#This Row],[Type]]="KILL",IF(_xlfn.NUMBERVALUE(RIGHT(Table15[[#This Row],[Min]],LEN(Table15[[#This Row],[Min]])-FIND("-",Table15[[#This Row],[Min]])))&gt;INDIRECT(ADDRESS(11+MATCH(LEFT(Table15[[#This Row],[Min]],FIND("-",Table15[[#This Row],[Min]])-1),Table1[Content Sku],0),16,1,1,"Entities")),"review","ok"),"ok")</f>
        <v>ok</v>
      </c>
      <c r="AK677" t="s">
        <v>2748</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48</v>
      </c>
      <c r="F678">
        <v>6000</v>
      </c>
      <c r="G678">
        <v>0</v>
      </c>
      <c r="H678" t="s">
        <v>205</v>
      </c>
      <c r="I678" s="75" t="str">
        <f ca="1">IF(Table7[[#This Row],[Type]]="KILL",IF(_xlfn.NUMBERVALUE(RIGHT(Table7[[#This Row],[Min]],LEN(Table7[[#This Row],[Min]])-FIND("-",Table7[[#This Row],[Min]])))&gt;INDIRECT(ADDRESS(11+MATCH(LEFT(Table7[[#This Row],[Min]],FIND("-",Table7[[#This Row],[Min]])-1),Table1[Content Sku],0),14,1,1,"Entities")),"review","ok"),"ok")</f>
        <v>ok</v>
      </c>
      <c r="U678" t="s">
        <v>39</v>
      </c>
      <c r="V678">
        <v>0</v>
      </c>
      <c r="W678">
        <v>34000</v>
      </c>
      <c r="X678" t="s">
        <v>205</v>
      </c>
      <c r="Y678" s="75" t="str">
        <f ca="1">IF(Table15[[#This Row],[Type]]="KILL",IF(_xlfn.NUMBERVALUE(RIGHT(Table15[[#This Row],[Min]],LEN(Table15[[#This Row],[Min]])-FIND("-",Table15[[#This Row],[Min]])))&gt;INDIRECT(ADDRESS(11+MATCH(LEFT(Table15[[#This Row],[Min]],FIND("-",Table15[[#This Row],[Min]])-1),Table1[Content Sku],0),16,1,1,"Entities")),"review","ok"),"ok")</f>
        <v>ok</v>
      </c>
      <c r="AK678" t="s">
        <v>2748</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6500</v>
      </c>
      <c r="G679">
        <v>0</v>
      </c>
      <c r="H679" t="s">
        <v>205</v>
      </c>
      <c r="I679" s="75" t="str">
        <f ca="1">IF(Table7[[#This Row],[Type]]="KILL",IF(_xlfn.NUMBERVALUE(RIGHT(Table7[[#This Row],[Min]],LEN(Table7[[#This Row],[Min]])-FIND("-",Table7[[#This Row],[Min]])))&gt;INDIRECT(ADDRESS(11+MATCH(LEFT(Table7[[#This Row],[Min]],FIND("-",Table7[[#This Row],[Min]])-1),Table1[Content Sku],0),14,1,1,"Entities")),"review","ok"),"ok")</f>
        <v>ok</v>
      </c>
      <c r="U679" t="s">
        <v>39</v>
      </c>
      <c r="V679">
        <v>15000</v>
      </c>
      <c r="W679">
        <v>0</v>
      </c>
      <c r="X679" t="s">
        <v>205</v>
      </c>
      <c r="Y679" s="75" t="str">
        <f ca="1">IF(Table15[[#This Row],[Type]]="KILL",IF(_xlfn.NUMBERVALUE(RIGHT(Table15[[#This Row],[Min]],LEN(Table15[[#This Row],[Min]])-FIND("-",Table15[[#This Row],[Min]])))&gt;INDIRECT(ADDRESS(11+MATCH(LEFT(Table15[[#This Row],[Min]],FIND("-",Table15[[#This Row],[Min]])-1),Table1[Content Sku],0),16,1,1,"Entities")),"review","ok"),"ok")</f>
        <v>ok</v>
      </c>
      <c r="AK679" t="s">
        <v>2748</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0</v>
      </c>
      <c r="G680">
        <v>0</v>
      </c>
      <c r="H680" t="s">
        <v>8</v>
      </c>
      <c r="I680" s="75" t="str">
        <f ca="1">IF(Table7[[#This Row],[Type]]="KILL",IF(_xlfn.NUMBERVALUE(RIGHT(Table7[[#This Row],[Min]],LEN(Table7[[#This Row],[Min]])-FIND("-",Table7[[#This Row],[Min]])))&gt;INDIRECT(ADDRESS(11+MATCH(LEFT(Table7[[#This Row],[Min]],FIND("-",Table7[[#This Row],[Min]])-1),Table1[Content Sku],0),14,1,1,"Entities")),"review","ok"),"ok")</f>
        <v>ok</v>
      </c>
      <c r="U680" t="s">
        <v>39</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2748</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10000</v>
      </c>
      <c r="G681">
        <v>16000</v>
      </c>
      <c r="H681" t="s">
        <v>205</v>
      </c>
      <c r="I681" s="75" t="str">
        <f ca="1">IF(Table7[[#This Row],[Type]]="KILL",IF(_xlfn.NUMBERVALUE(RIGHT(Table7[[#This Row],[Min]],LEN(Table7[[#This Row],[Min]])-FIND("-",Table7[[#This Row],[Min]])))&gt;INDIRECT(ADDRESS(11+MATCH(LEFT(Table7[[#This Row],[Min]],FIND("-",Table7[[#This Row],[Min]])-1),Table1[Content Sku],0),14,1,1,"Entities")),"review","ok"),"ok")</f>
        <v>ok</v>
      </c>
      <c r="U681" t="s">
        <v>39</v>
      </c>
      <c r="V681">
        <v>18000</v>
      </c>
      <c r="W681">
        <v>0</v>
      </c>
      <c r="X681" t="s">
        <v>205</v>
      </c>
      <c r="Y681" s="75" t="str">
        <f ca="1">IF(Table15[[#This Row],[Type]]="KILL",IF(_xlfn.NUMBERVALUE(RIGHT(Table15[[#This Row],[Min]],LEN(Table15[[#This Row],[Min]])-FIND("-",Table15[[#This Row],[Min]])))&gt;INDIRECT(ADDRESS(11+MATCH(LEFT(Table15[[#This Row],[Min]],FIND("-",Table15[[#This Row],[Min]])-1),Table1[Content Sku],0),16,1,1,"Entities")),"review","ok"),"ok")</f>
        <v>ok</v>
      </c>
      <c r="AK681" t="s">
        <v>2748</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5000</v>
      </c>
      <c r="G682">
        <v>0</v>
      </c>
      <c r="H682" t="s">
        <v>205</v>
      </c>
      <c r="I682" s="75" t="str">
        <f ca="1">IF(Table7[[#This Row],[Type]]="KILL",IF(_xlfn.NUMBERVALUE(RIGHT(Table7[[#This Row],[Min]],LEN(Table7[[#This Row],[Min]])-FIND("-",Table7[[#This Row],[Min]])))&gt;INDIRECT(ADDRESS(11+MATCH(LEFT(Table7[[#This Row],[Min]],FIND("-",Table7[[#This Row],[Min]])-1),Table1[Content Sku],0),14,1,1,"Entities")),"review","ok"),"ok")</f>
        <v>ok</v>
      </c>
      <c r="U682" t="s">
        <v>39</v>
      </c>
      <c r="V682">
        <v>0</v>
      </c>
      <c r="W682">
        <v>200</v>
      </c>
      <c r="X682" t="s">
        <v>4439</v>
      </c>
      <c r="Y682" s="75" t="str">
        <f ca="1">IF(Table15[[#This Row],[Type]]="KILL",IF(_xlfn.NUMBERVALUE(RIGHT(Table15[[#This Row],[Min]],LEN(Table15[[#This Row],[Min]])-FIND("-",Table15[[#This Row],[Min]])))&gt;INDIRECT(ADDRESS(11+MATCH(LEFT(Table15[[#This Row],[Min]],FIND("-",Table15[[#This Row],[Min]])-1),Table1[Content Sku],0),16,1,1,"Entities")),"review","ok"),"ok")</f>
        <v>ok</v>
      </c>
      <c r="AK682" t="s">
        <v>2748</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7250</v>
      </c>
      <c r="G683">
        <v>0</v>
      </c>
      <c r="H683" t="s">
        <v>205</v>
      </c>
      <c r="I683" s="75" t="str">
        <f ca="1">IF(Table7[[#This Row],[Type]]="KILL",IF(_xlfn.NUMBERVALUE(RIGHT(Table7[[#This Row],[Min]],LEN(Table7[[#This Row],[Min]])-FIND("-",Table7[[#This Row],[Min]])))&gt;INDIRECT(ADDRESS(11+MATCH(LEFT(Table7[[#This Row],[Min]],FIND("-",Table7[[#This Row],[Min]])-1),Table1[Content Sku],0),14,1,1,"Entities")),"review","ok"),"ok")</f>
        <v>ok</v>
      </c>
      <c r="U683" t="s">
        <v>39</v>
      </c>
      <c r="V683">
        <v>0</v>
      </c>
      <c r="W683">
        <v>0</v>
      </c>
      <c r="X683" t="s">
        <v>8</v>
      </c>
      <c r="Y683" s="75" t="str">
        <f ca="1">IF(Table15[[#This Row],[Type]]="KILL",IF(_xlfn.NUMBERVALUE(RIGHT(Table15[[#This Row],[Min]],LEN(Table15[[#This Row],[Min]])-FIND("-",Table15[[#This Row],[Min]])))&gt;INDIRECT(ADDRESS(11+MATCH(LEFT(Table15[[#This Row],[Min]],FIND("-",Table15[[#This Row],[Min]])-1),Table1[Content Sku],0),16,1,1,"Entities")),"review","ok"),"ok")</f>
        <v>ok</v>
      </c>
      <c r="AK683" t="s">
        <v>2748</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7000</v>
      </c>
      <c r="G684">
        <v>0</v>
      </c>
      <c r="H684" t="s">
        <v>205</v>
      </c>
      <c r="I684" s="75" t="str">
        <f ca="1">IF(Table7[[#This Row],[Type]]="KILL",IF(_xlfn.NUMBERVALUE(RIGHT(Table7[[#This Row],[Min]],LEN(Table7[[#This Row],[Min]])-FIND("-",Table7[[#This Row],[Min]])))&gt;INDIRECT(ADDRESS(11+MATCH(LEFT(Table7[[#This Row],[Min]],FIND("-",Table7[[#This Row],[Min]])-1),Table1[Content Sku],0),14,1,1,"Entities")),"review","ok"),"ok")</f>
        <v>ok</v>
      </c>
      <c r="U684" t="s">
        <v>39</v>
      </c>
      <c r="V684">
        <v>0</v>
      </c>
      <c r="W684">
        <v>0</v>
      </c>
      <c r="X684" t="s">
        <v>8</v>
      </c>
      <c r="Y684" s="75" t="str">
        <f ca="1">IF(Table15[[#This Row],[Type]]="KILL",IF(_xlfn.NUMBERVALUE(RIGHT(Table15[[#This Row],[Min]],LEN(Table15[[#This Row],[Min]])-FIND("-",Table15[[#This Row],[Min]])))&gt;INDIRECT(ADDRESS(11+MATCH(LEFT(Table15[[#This Row],[Min]],FIND("-",Table15[[#This Row],[Min]])-1),Table1[Content Sku],0),16,1,1,"Entities")),"review","ok"),"ok")</f>
        <v>ok</v>
      </c>
      <c r="AK684" t="s">
        <v>2748</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0</v>
      </c>
      <c r="G685">
        <v>14000</v>
      </c>
      <c r="H685" t="s">
        <v>205</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X685" t="s">
        <v>8</v>
      </c>
      <c r="Y685" s="75" t="str">
        <f ca="1">IF(Table15[[#This Row],[Type]]="KILL",IF(_xlfn.NUMBERVALUE(RIGHT(Table15[[#This Row],[Min]],LEN(Table15[[#This Row],[Min]])-FIND("-",Table15[[#This Row],[Min]])))&gt;INDIRECT(ADDRESS(11+MATCH(LEFT(Table15[[#This Row],[Min]],FIND("-",Table15[[#This Row],[Min]])-1),Table1[Content Sku],0),16,1,1,"Entities")),"review","ok"),"ok")</f>
        <v>ok</v>
      </c>
      <c r="AK685" t="s">
        <v>2748</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0</v>
      </c>
      <c r="G686">
        <v>30000</v>
      </c>
      <c r="H686" t="s">
        <v>205</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X686" t="s">
        <v>8</v>
      </c>
      <c r="Y686" s="75" t="str">
        <f ca="1">IF(Table15[[#This Row],[Type]]="KILL",IF(_xlfn.NUMBERVALUE(RIGHT(Table15[[#This Row],[Min]],LEN(Table15[[#This Row],[Min]])-FIND("-",Table15[[#This Row],[Min]])))&gt;INDIRECT(ADDRESS(11+MATCH(LEFT(Table15[[#This Row],[Min]],FIND("-",Table15[[#This Row],[Min]])-1),Table1[Content Sku],0),16,1,1,"Entities")),"review","ok"),"ok")</f>
        <v>ok</v>
      </c>
      <c r="AK686" t="s">
        <v>2748</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0</v>
      </c>
      <c r="H687" t="s">
        <v>8</v>
      </c>
      <c r="I687" s="75" t="str">
        <f ca="1">IF(Table7[[#This Row],[Type]]="KILL",IF(_xlfn.NUMBERVALUE(RIGHT(Table7[[#This Row],[Min]],LEN(Table7[[#This Row],[Min]])-FIND("-",Table7[[#This Row],[Min]])))&gt;INDIRECT(ADDRESS(11+MATCH(LEFT(Table7[[#This Row],[Min]],FIND("-",Table7[[#This Row],[Min]])-1),Table1[Content Sku],0),14,1,1,"Entities")),"review","ok"),"ok")</f>
        <v>ok</v>
      </c>
      <c r="U687" t="s">
        <v>39</v>
      </c>
      <c r="V687">
        <v>20000</v>
      </c>
      <c r="W687">
        <v>0</v>
      </c>
      <c r="X687" t="s">
        <v>205</v>
      </c>
      <c r="Y687" s="75" t="str">
        <f ca="1">IF(Table15[[#This Row],[Type]]="KILL",IF(_xlfn.NUMBERVALUE(RIGHT(Table15[[#This Row],[Min]],LEN(Table15[[#This Row],[Min]])-FIND("-",Table15[[#This Row],[Min]])))&gt;INDIRECT(ADDRESS(11+MATCH(LEFT(Table15[[#This Row],[Min]],FIND("-",Table15[[#This Row],[Min]])-1),Table1[Content Sku],0),16,1,1,"Entities")),"review","ok"),"ok")</f>
        <v>ok</v>
      </c>
      <c r="AK687" t="s">
        <v>2748</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18000</v>
      </c>
      <c r="H688" t="s">
        <v>205</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X688" t="s">
        <v>8</v>
      </c>
      <c r="Y688" s="75" t="str">
        <f ca="1">IF(Table15[[#This Row],[Type]]="KILL",IF(_xlfn.NUMBERVALUE(RIGHT(Table15[[#This Row],[Min]],LEN(Table15[[#This Row],[Min]])-FIND("-",Table15[[#This Row],[Min]])))&gt;INDIRECT(ADDRESS(11+MATCH(LEFT(Table15[[#This Row],[Min]],FIND("-",Table15[[#This Row],[Min]])-1),Table1[Content Sku],0),16,1,1,"Entities")),"review","ok"),"ok")</f>
        <v>ok</v>
      </c>
      <c r="AK688" t="s">
        <v>2748</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7000</v>
      </c>
      <c r="G689">
        <v>0</v>
      </c>
      <c r="H689" t="s">
        <v>205</v>
      </c>
      <c r="I689" s="75"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X689" t="s">
        <v>8</v>
      </c>
      <c r="Y689" s="75" t="str">
        <f ca="1">IF(Table15[[#This Row],[Type]]="KILL",IF(_xlfn.NUMBERVALUE(RIGHT(Table15[[#This Row],[Min]],LEN(Table15[[#This Row],[Min]])-FIND("-",Table15[[#This Row],[Min]])))&gt;INDIRECT(ADDRESS(11+MATCH(LEFT(Table15[[#This Row],[Min]],FIND("-",Table15[[#This Row],[Min]])-1),Table1[Content Sku],0),16,1,1,"Entities")),"review","ok"),"ok")</f>
        <v>ok</v>
      </c>
      <c r="AK689" t="s">
        <v>2748</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49</v>
      </c>
      <c r="F690">
        <v>14000</v>
      </c>
      <c r="G690">
        <v>20000</v>
      </c>
      <c r="H690" t="s">
        <v>205</v>
      </c>
      <c r="I690" s="75" t="str">
        <f ca="1">IF(Table7[[#This Row],[Type]]="KILL",IF(_xlfn.NUMBERVALUE(RIGHT(Table7[[#This Row],[Min]],LEN(Table7[[#This Row],[Min]])-FIND("-",Table7[[#This Row],[Min]])))&gt;INDIRECT(ADDRESS(11+MATCH(LEFT(Table7[[#This Row],[Min]],FIND("-",Table7[[#This Row],[Min]])-1),Table1[Content Sku],0),14,1,1,"Entities")),"review","ok"),"ok")</f>
        <v>ok</v>
      </c>
      <c r="U690" t="s">
        <v>39</v>
      </c>
      <c r="V690">
        <v>25000</v>
      </c>
      <c r="W690">
        <v>0</v>
      </c>
      <c r="X690" t="s">
        <v>205</v>
      </c>
      <c r="Y690" s="75" t="str">
        <f ca="1">IF(Table15[[#This Row],[Type]]="KILL",IF(_xlfn.NUMBERVALUE(RIGHT(Table15[[#This Row],[Min]],LEN(Table15[[#This Row],[Min]])-FIND("-",Table15[[#This Row],[Min]])))&gt;INDIRECT(ADDRESS(11+MATCH(LEFT(Table15[[#This Row],[Min]],FIND("-",Table15[[#This Row],[Min]])-1),Table1[Content Sku],0),16,1,1,"Entities")),"review","ok"),"ok")</f>
        <v>ok</v>
      </c>
      <c r="AK690" t="s">
        <v>2748</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49</v>
      </c>
      <c r="F691">
        <v>14000</v>
      </c>
      <c r="G691">
        <v>0</v>
      </c>
      <c r="H691" t="s">
        <v>205</v>
      </c>
      <c r="I691" s="75" t="str">
        <f ca="1">IF(Table7[[#This Row],[Type]]="KILL",IF(_xlfn.NUMBERVALUE(RIGHT(Table7[[#This Row],[Min]],LEN(Table7[[#This Row],[Min]])-FIND("-",Table7[[#This Row],[Min]])))&gt;INDIRECT(ADDRESS(11+MATCH(LEFT(Table7[[#This Row],[Min]],FIND("-",Table7[[#This Row],[Min]])-1),Table1[Content Sku],0),14,1,1,"Entities")),"review","ok"),"ok")</f>
        <v>ok</v>
      </c>
      <c r="U691" t="s">
        <v>39</v>
      </c>
      <c r="V691">
        <v>27000</v>
      </c>
      <c r="W691">
        <v>0</v>
      </c>
      <c r="X691" t="s">
        <v>205</v>
      </c>
      <c r="Y691" s="75" t="str">
        <f ca="1">IF(Table15[[#This Row],[Type]]="KILL",IF(_xlfn.NUMBERVALUE(RIGHT(Table15[[#This Row],[Min]],LEN(Table15[[#This Row],[Min]])-FIND("-",Table15[[#This Row],[Min]])))&gt;INDIRECT(ADDRESS(11+MATCH(LEFT(Table15[[#This Row],[Min]],FIND("-",Table15[[#This Row],[Min]])-1),Table1[Content Sku],0),16,1,1,"Entities")),"review","ok"),"ok")</f>
        <v>ok</v>
      </c>
      <c r="AK691" t="s">
        <v>2748</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11500</v>
      </c>
      <c r="G692">
        <v>0</v>
      </c>
      <c r="H692" t="s">
        <v>205</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X692" t="s">
        <v>8</v>
      </c>
      <c r="Y692" s="75" t="str">
        <f ca="1">IF(Table15[[#This Row],[Type]]="KILL",IF(_xlfn.NUMBERVALUE(RIGHT(Table15[[#This Row],[Min]],LEN(Table15[[#This Row],[Min]])-FIND("-",Table15[[#This Row],[Min]])))&gt;INDIRECT(ADDRESS(11+MATCH(LEFT(Table15[[#This Row],[Min]],FIND("-",Table15[[#This Row],[Min]])-1),Table1[Content Sku],0),16,1,1,"Entities")),"review","ok"),"ok")</f>
        <v>ok</v>
      </c>
      <c r="AK692" t="s">
        <v>2748</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12500</v>
      </c>
      <c r="G693">
        <v>0</v>
      </c>
      <c r="H693" t="s">
        <v>205</v>
      </c>
      <c r="I693" s="75"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2748</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0</v>
      </c>
      <c r="G694">
        <v>0</v>
      </c>
      <c r="H694" t="s">
        <v>8</v>
      </c>
      <c r="I694" s="75"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5" t="str">
        <f ca="1">IF(Table15[[#This Row],[Type]]="KILL",IF(_xlfn.NUMBERVALUE(RIGHT(Table15[[#This Row],[Min]],LEN(Table15[[#This Row],[Min]])-FIND("-",Table15[[#This Row],[Min]])))&gt;INDIRECT(ADDRESS(11+MATCH(LEFT(Table15[[#This Row],[Min]],FIND("-",Table15[[#This Row],[Min]])-1),Table1[Content Sku],0),16,1,1,"Entities")),"review","ok"),"ok")</f>
        <v>ok</v>
      </c>
      <c r="AK694" t="s">
        <v>2748</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205</v>
      </c>
      <c r="I695" s="75" t="str">
        <f ca="1">IF(Table7[[#This Row],[Type]]="KILL",IF(_xlfn.NUMBERVALUE(RIGHT(Table7[[#This Row],[Min]],LEN(Table7[[#This Row],[Min]])-FIND("-",Table7[[#This Row],[Min]])))&gt;INDIRECT(ADDRESS(11+MATCH(LEFT(Table7[[#This Row],[Min]],FIND("-",Table7[[#This Row],[Min]])-1),Table1[Content Sku],0),14,1,1,"Entities")),"review","ok"),"ok")</f>
        <v>ok</v>
      </c>
      <c r="U695" t="s">
        <v>39</v>
      </c>
      <c r="V695">
        <v>0</v>
      </c>
      <c r="W695">
        <v>0</v>
      </c>
      <c r="X695" t="s">
        <v>8</v>
      </c>
      <c r="Y695" s="75" t="str">
        <f ca="1">IF(Table15[[#This Row],[Type]]="KILL",IF(_xlfn.NUMBERVALUE(RIGHT(Table15[[#This Row],[Min]],LEN(Table15[[#This Row],[Min]])-FIND("-",Table15[[#This Row],[Min]])))&gt;INDIRECT(ADDRESS(11+MATCH(LEFT(Table15[[#This Row],[Min]],FIND("-",Table15[[#This Row],[Min]])-1),Table1[Content Sku],0),16,1,1,"Entities")),"review","ok"),"ok")</f>
        <v>ok</v>
      </c>
      <c r="AK695" t="s">
        <v>2748</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10000</v>
      </c>
      <c r="G696">
        <v>0</v>
      </c>
      <c r="H696" t="s">
        <v>205</v>
      </c>
      <c r="I696" s="75" t="str">
        <f ca="1">IF(Table7[[#This Row],[Type]]="KILL",IF(_xlfn.NUMBERVALUE(RIGHT(Table7[[#This Row],[Min]],LEN(Table7[[#This Row],[Min]])-FIND("-",Table7[[#This Row],[Min]])))&gt;INDIRECT(ADDRESS(11+MATCH(LEFT(Table7[[#This Row],[Min]],FIND("-",Table7[[#This Row],[Min]])-1),Table1[Content Sku],0),14,1,1,"Entities")),"review","ok"),"ok")</f>
        <v>ok</v>
      </c>
      <c r="U696" t="s">
        <v>39</v>
      </c>
      <c r="V696">
        <v>0</v>
      </c>
      <c r="W696">
        <v>34000</v>
      </c>
      <c r="X696" t="s">
        <v>205</v>
      </c>
      <c r="Y696" s="75" t="str">
        <f ca="1">IF(Table15[[#This Row],[Type]]="KILL",IF(_xlfn.NUMBERVALUE(RIGHT(Table15[[#This Row],[Min]],LEN(Table15[[#This Row],[Min]])-FIND("-",Table15[[#This Row],[Min]])))&gt;INDIRECT(ADDRESS(11+MATCH(LEFT(Table15[[#This Row],[Min]],FIND("-",Table15[[#This Row],[Min]])-1),Table1[Content Sku],0),16,1,1,"Entities")),"review","ok"),"ok")</f>
        <v>ok</v>
      </c>
      <c r="AK696" t="s">
        <v>2748</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10500</v>
      </c>
      <c r="G697">
        <v>0</v>
      </c>
      <c r="H697" t="s">
        <v>205</v>
      </c>
      <c r="I697" s="75"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2748</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0</v>
      </c>
      <c r="G698">
        <v>20000</v>
      </c>
      <c r="H698" t="s">
        <v>205</v>
      </c>
      <c r="I698" s="75" t="str">
        <f ca="1">IF(Table7[[#This Row],[Type]]="KILL",IF(_xlfn.NUMBERVALUE(RIGHT(Table7[[#This Row],[Min]],LEN(Table7[[#This Row],[Min]])-FIND("-",Table7[[#This Row],[Min]])))&gt;INDIRECT(ADDRESS(11+MATCH(LEFT(Table7[[#This Row],[Min]],FIND("-",Table7[[#This Row],[Min]])-1),Table1[Content Sku],0),14,1,1,"Entities")),"review","ok"),"ok")</f>
        <v>ok</v>
      </c>
      <c r="U698" t="s">
        <v>39</v>
      </c>
      <c r="V698">
        <v>0</v>
      </c>
      <c r="W698">
        <v>34000</v>
      </c>
      <c r="X698" t="s">
        <v>205</v>
      </c>
      <c r="Y698" s="75" t="str">
        <f ca="1">IF(Table15[[#This Row],[Type]]="KILL",IF(_xlfn.NUMBERVALUE(RIGHT(Table15[[#This Row],[Min]],LEN(Table15[[#This Row],[Min]])-FIND("-",Table15[[#This Row],[Min]])))&gt;INDIRECT(ADDRESS(11+MATCH(LEFT(Table15[[#This Row],[Min]],FIND("-",Table15[[#This Row],[Min]])-1),Table1[Content Sku],0),16,1,1,"Entities")),"review","ok"),"ok")</f>
        <v>ok</v>
      </c>
      <c r="AK698" t="s">
        <v>2748</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12000</v>
      </c>
      <c r="G699">
        <v>0</v>
      </c>
      <c r="H699" t="s">
        <v>205</v>
      </c>
      <c r="I699" s="75" t="str">
        <f ca="1">IF(Table7[[#This Row],[Type]]="KILL",IF(_xlfn.NUMBERVALUE(RIGHT(Table7[[#This Row],[Min]],LEN(Table7[[#This Row],[Min]])-FIND("-",Table7[[#This Row],[Min]])))&gt;INDIRECT(ADDRESS(11+MATCH(LEFT(Table7[[#This Row],[Min]],FIND("-",Table7[[#This Row],[Min]])-1),Table1[Content Sku],0),14,1,1,"Entities")),"review","ok"),"ok")</f>
        <v>ok</v>
      </c>
      <c r="U699" t="s">
        <v>40</v>
      </c>
      <c r="V699">
        <v>150</v>
      </c>
      <c r="W699">
        <v>0</v>
      </c>
      <c r="X699" t="s">
        <v>4439</v>
      </c>
      <c r="Y699" s="75" t="str">
        <f ca="1">IF(Table15[[#This Row],[Type]]="KILL",IF(_xlfn.NUMBERVALUE(RIGHT(Table15[[#This Row],[Min]],LEN(Table15[[#This Row],[Min]])-FIND("-",Table15[[#This Row],[Min]])))&gt;INDIRECT(ADDRESS(11+MATCH(LEFT(Table15[[#This Row],[Min]],FIND("-",Table15[[#This Row],[Min]])-1),Table1[Content Sku],0),16,1,1,"Entities")),"review","ok"),"ok")</f>
        <v>ok</v>
      </c>
      <c r="AK699" t="s">
        <v>2748</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50</v>
      </c>
      <c r="F700">
        <v>0</v>
      </c>
      <c r="G700">
        <v>0</v>
      </c>
      <c r="H700" t="s">
        <v>8</v>
      </c>
      <c r="I700" s="75" t="str">
        <f ca="1">IF(Table7[[#This Row],[Type]]="KILL",IF(_xlfn.NUMBERVALUE(RIGHT(Table7[[#This Row],[Min]],LEN(Table7[[#This Row],[Min]])-FIND("-",Table7[[#This Row],[Min]])))&gt;INDIRECT(ADDRESS(11+MATCH(LEFT(Table7[[#This Row],[Min]],FIND("-",Table7[[#This Row],[Min]])-1),Table1[Content Sku],0),14,1,1,"Entities")),"review","ok"),"ok")</f>
        <v>ok</v>
      </c>
      <c r="U700" t="s">
        <v>40</v>
      </c>
      <c r="V700">
        <v>29000</v>
      </c>
      <c r="W700">
        <v>0</v>
      </c>
      <c r="X700" t="s">
        <v>205</v>
      </c>
      <c r="Y700" s="75" t="str">
        <f ca="1">IF(Table15[[#This Row],[Type]]="KILL",IF(_xlfn.NUMBERVALUE(RIGHT(Table15[[#This Row],[Min]],LEN(Table15[[#This Row],[Min]])-FIND("-",Table15[[#This Row],[Min]])))&gt;INDIRECT(ADDRESS(11+MATCH(LEFT(Table15[[#This Row],[Min]],FIND("-",Table15[[#This Row],[Min]])-1),Table1[Content Sku],0),16,1,1,"Entities")),"review","ok"),"ok")</f>
        <v>ok</v>
      </c>
      <c r="AK700" t="s">
        <v>2748</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50</v>
      </c>
      <c r="F701">
        <v>26000</v>
      </c>
      <c r="G701">
        <v>0</v>
      </c>
      <c r="H701" t="s">
        <v>205</v>
      </c>
      <c r="I701" s="75" t="str">
        <f ca="1">IF(Table7[[#This Row],[Type]]="KILL",IF(_xlfn.NUMBERVALUE(RIGHT(Table7[[#This Row],[Min]],LEN(Table7[[#This Row],[Min]])-FIND("-",Table7[[#This Row],[Min]])))&gt;INDIRECT(ADDRESS(11+MATCH(LEFT(Table7[[#This Row],[Min]],FIND("-",Table7[[#This Row],[Min]])-1),Table1[Content Sku],0),14,1,1,"Entities")),"review","ok"),"ok")</f>
        <v>ok</v>
      </c>
      <c r="U701" t="s">
        <v>40</v>
      </c>
      <c r="V701">
        <v>220</v>
      </c>
      <c r="W701">
        <v>0</v>
      </c>
      <c r="X701" t="s">
        <v>4439</v>
      </c>
      <c r="Y701" s="75" t="str">
        <f ca="1">IF(Table15[[#This Row],[Type]]="KILL",IF(_xlfn.NUMBERVALUE(RIGHT(Table15[[#This Row],[Min]],LEN(Table15[[#This Row],[Min]])-FIND("-",Table15[[#This Row],[Min]])))&gt;INDIRECT(ADDRESS(11+MATCH(LEFT(Table15[[#This Row],[Min]],FIND("-",Table15[[#This Row],[Min]])-1),Table1[Content Sku],0),16,1,1,"Entities")),"review","ok"),"ok")</f>
        <v>ok</v>
      </c>
      <c r="AK701" t="s">
        <v>2748</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20000</v>
      </c>
      <c r="G702">
        <v>0</v>
      </c>
      <c r="H702" t="s">
        <v>205</v>
      </c>
      <c r="I702" s="75" t="str">
        <f ca="1">IF(Table7[[#This Row],[Type]]="KILL",IF(_xlfn.NUMBERVALUE(RIGHT(Table7[[#This Row],[Min]],LEN(Table7[[#This Row],[Min]])-FIND("-",Table7[[#This Row],[Min]])))&gt;INDIRECT(ADDRESS(11+MATCH(LEFT(Table7[[#This Row],[Min]],FIND("-",Table7[[#This Row],[Min]])-1),Table1[Content Sku],0),14,1,1,"Entities")),"review","ok"),"ok")</f>
        <v>ok</v>
      </c>
      <c r="U702" t="s">
        <v>40</v>
      </c>
      <c r="V702">
        <v>20000</v>
      </c>
      <c r="W702">
        <v>0</v>
      </c>
      <c r="X702" t="s">
        <v>205</v>
      </c>
      <c r="Y702" s="75" t="str">
        <f ca="1">IF(Table15[[#This Row],[Type]]="KILL",IF(_xlfn.NUMBERVALUE(RIGHT(Table15[[#This Row],[Min]],LEN(Table15[[#This Row],[Min]])-FIND("-",Table15[[#This Row],[Min]])))&gt;INDIRECT(ADDRESS(11+MATCH(LEFT(Table15[[#This Row],[Min]],FIND("-",Table15[[#This Row],[Min]])-1),Table1[Content Sku],0),16,1,1,"Entities")),"review","ok"),"ok")</f>
        <v>ok</v>
      </c>
      <c r="AK702" t="s">
        <v>2748</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16000</v>
      </c>
      <c r="G703">
        <v>0</v>
      </c>
      <c r="H703" t="s">
        <v>205</v>
      </c>
      <c r="I703" s="75" t="str">
        <f ca="1">IF(Table7[[#This Row],[Type]]="KILL",IF(_xlfn.NUMBERVALUE(RIGHT(Table7[[#This Row],[Min]],LEN(Table7[[#This Row],[Min]])-FIND("-",Table7[[#This Row],[Min]])))&gt;INDIRECT(ADDRESS(11+MATCH(LEFT(Table7[[#This Row],[Min]],FIND("-",Table7[[#This Row],[Min]])-1),Table1[Content Sku],0),14,1,1,"Entities")),"review","ok"),"ok")</f>
        <v>ok</v>
      </c>
      <c r="U703" t="s">
        <v>40</v>
      </c>
      <c r="V703">
        <v>220</v>
      </c>
      <c r="W703">
        <v>0</v>
      </c>
      <c r="X703" t="s">
        <v>4439</v>
      </c>
      <c r="Y703" s="75" t="str">
        <f ca="1">IF(Table15[[#This Row],[Type]]="KILL",IF(_xlfn.NUMBERVALUE(RIGHT(Table15[[#This Row],[Min]],LEN(Table15[[#This Row],[Min]])-FIND("-",Table15[[#This Row],[Min]])))&gt;INDIRECT(ADDRESS(11+MATCH(LEFT(Table15[[#This Row],[Min]],FIND("-",Table15[[#This Row],[Min]])-1),Table1[Content Sku],0),16,1,1,"Entities")),"review","ok"),"ok")</f>
        <v>ok</v>
      </c>
      <c r="AK703" t="s">
        <v>2748</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35000</v>
      </c>
      <c r="G704">
        <v>0</v>
      </c>
      <c r="H704" t="s">
        <v>205</v>
      </c>
      <c r="I704" s="75" t="str">
        <f ca="1">IF(Table7[[#This Row],[Type]]="KILL",IF(_xlfn.NUMBERVALUE(RIGHT(Table7[[#This Row],[Min]],LEN(Table7[[#This Row],[Min]])-FIND("-",Table7[[#This Row],[Min]])))&gt;INDIRECT(ADDRESS(11+MATCH(LEFT(Table7[[#This Row],[Min]],FIND("-",Table7[[#This Row],[Min]])-1),Table1[Content Sku],0),14,1,1,"Entities")),"review","ok"),"ok")</f>
        <v>ok</v>
      </c>
      <c r="U704" t="s">
        <v>40</v>
      </c>
      <c r="V704">
        <v>30000</v>
      </c>
      <c r="W704">
        <v>0</v>
      </c>
      <c r="X704" t="s">
        <v>205</v>
      </c>
      <c r="Y704" s="75" t="str">
        <f ca="1">IF(Table15[[#This Row],[Type]]="KILL",IF(_xlfn.NUMBERVALUE(RIGHT(Table15[[#This Row],[Min]],LEN(Table15[[#This Row],[Min]])-FIND("-",Table15[[#This Row],[Min]])))&gt;INDIRECT(ADDRESS(11+MATCH(LEFT(Table15[[#This Row],[Min]],FIND("-",Table15[[#This Row],[Min]])-1),Table1[Content Sku],0),16,1,1,"Entities")),"review","ok"),"ok")</f>
        <v>ok</v>
      </c>
      <c r="AK704" t="s">
        <v>2748</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9500</v>
      </c>
      <c r="G705">
        <v>0</v>
      </c>
      <c r="H705" t="s">
        <v>205</v>
      </c>
      <c r="I705" s="75" t="str">
        <f ca="1">IF(Table7[[#This Row],[Type]]="KILL",IF(_xlfn.NUMBERVALUE(RIGHT(Table7[[#This Row],[Min]],LEN(Table7[[#This Row],[Min]])-FIND("-",Table7[[#This Row],[Min]])))&gt;INDIRECT(ADDRESS(11+MATCH(LEFT(Table7[[#This Row],[Min]],FIND("-",Table7[[#This Row],[Min]])-1),Table1[Content Sku],0),14,1,1,"Entities")),"review","ok"),"ok")</f>
        <v>ok</v>
      </c>
      <c r="U705" t="s">
        <v>41</v>
      </c>
      <c r="V705">
        <v>32000</v>
      </c>
      <c r="W705">
        <v>0</v>
      </c>
      <c r="X705" t="s">
        <v>205</v>
      </c>
      <c r="Y705" s="75" t="str">
        <f ca="1">IF(Table15[[#This Row],[Type]]="KILL",IF(_xlfn.NUMBERVALUE(RIGHT(Table15[[#This Row],[Min]],LEN(Table15[[#This Row],[Min]])-FIND("-",Table15[[#This Row],[Min]])))&gt;INDIRECT(ADDRESS(11+MATCH(LEFT(Table15[[#This Row],[Min]],FIND("-",Table15[[#This Row],[Min]])-1),Table1[Content Sku],0),16,1,1,"Entities")),"review","ok"),"ok")</f>
        <v>ok</v>
      </c>
      <c r="AK705" t="s">
        <v>2748</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20000</v>
      </c>
      <c r="G706">
        <v>0</v>
      </c>
      <c r="H706" t="s">
        <v>205</v>
      </c>
      <c r="I706" s="75" t="str">
        <f ca="1">IF(Table7[[#This Row],[Type]]="KILL",IF(_xlfn.NUMBERVALUE(RIGHT(Table7[[#This Row],[Min]],LEN(Table7[[#This Row],[Min]])-FIND("-",Table7[[#This Row],[Min]])))&gt;INDIRECT(ADDRESS(11+MATCH(LEFT(Table7[[#This Row],[Min]],FIND("-",Table7[[#This Row],[Min]])-1),Table1[Content Sku],0),14,1,1,"Entities")),"review","ok"),"ok")</f>
        <v>ok</v>
      </c>
      <c r="U706" t="s">
        <v>41</v>
      </c>
      <c r="V706">
        <v>32000</v>
      </c>
      <c r="W706">
        <v>0</v>
      </c>
      <c r="X706" t="s">
        <v>205</v>
      </c>
      <c r="Y706" s="75" t="str">
        <f ca="1">IF(Table15[[#This Row],[Type]]="KILL",IF(_xlfn.NUMBERVALUE(RIGHT(Table15[[#This Row],[Min]],LEN(Table15[[#This Row],[Min]])-FIND("-",Table15[[#This Row],[Min]])))&gt;INDIRECT(ADDRESS(11+MATCH(LEFT(Table15[[#This Row],[Min]],FIND("-",Table15[[#This Row],[Min]])-1),Table1[Content Sku],0),16,1,1,"Entities")),"review","ok"),"ok")</f>
        <v>ok</v>
      </c>
      <c r="AK706" t="s">
        <v>2748</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37000</v>
      </c>
      <c r="G707">
        <v>0</v>
      </c>
      <c r="H707" t="s">
        <v>205</v>
      </c>
      <c r="I707" s="75" t="str">
        <f ca="1">IF(Table7[[#This Row],[Type]]="KILL",IF(_xlfn.NUMBERVALUE(RIGHT(Table7[[#This Row],[Min]],LEN(Table7[[#This Row],[Min]])-FIND("-",Table7[[#This Row],[Min]])))&gt;INDIRECT(ADDRESS(11+MATCH(LEFT(Table7[[#This Row],[Min]],FIND("-",Table7[[#This Row],[Min]])-1),Table1[Content Sku],0),14,1,1,"Entities")),"review","ok"),"ok")</f>
        <v>ok</v>
      </c>
      <c r="U707" t="s">
        <v>41</v>
      </c>
      <c r="V707">
        <v>300</v>
      </c>
      <c r="W707">
        <v>0</v>
      </c>
      <c r="X707" t="s">
        <v>4439</v>
      </c>
      <c r="Y707" s="75" t="str">
        <f ca="1">IF(Table15[[#This Row],[Type]]="KILL",IF(_xlfn.NUMBERVALUE(RIGHT(Table15[[#This Row],[Min]],LEN(Table15[[#This Row],[Min]])-FIND("-",Table15[[#This Row],[Min]])))&gt;INDIRECT(ADDRESS(11+MATCH(LEFT(Table15[[#This Row],[Min]],FIND("-",Table15[[#This Row],[Min]])-1),Table1[Content Sku],0),16,1,1,"Entities")),"review","ok"),"ok")</f>
        <v>ok</v>
      </c>
      <c r="AK707" t="s">
        <v>2748</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26000</v>
      </c>
      <c r="G708">
        <v>0</v>
      </c>
      <c r="H708" t="s">
        <v>205</v>
      </c>
      <c r="I708" s="75" t="str">
        <f ca="1">IF(Table7[[#This Row],[Type]]="KILL",IF(_xlfn.NUMBERVALUE(RIGHT(Table7[[#This Row],[Min]],LEN(Table7[[#This Row],[Min]])-FIND("-",Table7[[#This Row],[Min]])))&gt;INDIRECT(ADDRESS(11+MATCH(LEFT(Table7[[#This Row],[Min]],FIND("-",Table7[[#This Row],[Min]])-1),Table1[Content Sku],0),14,1,1,"Entities")),"review","ok"),"ok")</f>
        <v>ok</v>
      </c>
      <c r="U708" t="s">
        <v>41</v>
      </c>
      <c r="V708">
        <v>0</v>
      </c>
      <c r="W708">
        <v>0</v>
      </c>
      <c r="X708" t="s">
        <v>8</v>
      </c>
      <c r="Y708" s="75" t="str">
        <f ca="1">IF(Table15[[#This Row],[Type]]="KILL",IF(_xlfn.NUMBERVALUE(RIGHT(Table15[[#This Row],[Min]],LEN(Table15[[#This Row],[Min]])-FIND("-",Table15[[#This Row],[Min]])))&gt;INDIRECT(ADDRESS(11+MATCH(LEFT(Table15[[#This Row],[Min]],FIND("-",Table15[[#This Row],[Min]])-1),Table1[Content Sku],0),16,1,1,"Entities")),"review","ok"),"ok")</f>
        <v>ok</v>
      </c>
      <c r="AK708" t="s">
        <v>2748</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33000</v>
      </c>
      <c r="G709">
        <v>0</v>
      </c>
      <c r="H709" t="s">
        <v>205</v>
      </c>
      <c r="I709" s="75" t="str">
        <f ca="1">IF(Table7[[#This Row],[Type]]="KILL",IF(_xlfn.NUMBERVALUE(RIGHT(Table7[[#This Row],[Min]],LEN(Table7[[#This Row],[Min]])-FIND("-",Table7[[#This Row],[Min]])))&gt;INDIRECT(ADDRESS(11+MATCH(LEFT(Table7[[#This Row],[Min]],FIND("-",Table7[[#This Row],[Min]])-1),Table1[Content Sku],0),14,1,1,"Entities")),"review","ok"),"ok")</f>
        <v>ok</v>
      </c>
      <c r="U709" t="s">
        <v>41</v>
      </c>
      <c r="V709">
        <v>0</v>
      </c>
      <c r="W709">
        <v>0</v>
      </c>
      <c r="X709" t="s">
        <v>8</v>
      </c>
      <c r="Y709" s="75" t="str">
        <f ca="1">IF(Table15[[#This Row],[Type]]="KILL",IF(_xlfn.NUMBERVALUE(RIGHT(Table15[[#This Row],[Min]],LEN(Table15[[#This Row],[Min]])-FIND("-",Table15[[#This Row],[Min]])))&gt;INDIRECT(ADDRESS(11+MATCH(LEFT(Table15[[#This Row],[Min]],FIND("-",Table15[[#This Row],[Min]])-1),Table1[Content Sku],0),16,1,1,"Entities")),"review","ok"),"ok")</f>
        <v>ok</v>
      </c>
      <c r="AK709" t="s">
        <v>2748</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24000</v>
      </c>
      <c r="G710">
        <v>0</v>
      </c>
      <c r="H710" t="s">
        <v>205</v>
      </c>
      <c r="I710" s="75" t="str">
        <f ca="1">IF(Table7[[#This Row],[Type]]="KILL",IF(_xlfn.NUMBERVALUE(RIGHT(Table7[[#This Row],[Min]],LEN(Table7[[#This Row],[Min]])-FIND("-",Table7[[#This Row],[Min]])))&gt;INDIRECT(ADDRESS(11+MATCH(LEFT(Table7[[#This Row],[Min]],FIND("-",Table7[[#This Row],[Min]])-1),Table1[Content Sku],0),14,1,1,"Entities")),"review","ok"),"ok")</f>
        <v>ok</v>
      </c>
      <c r="U710" t="s">
        <v>258</v>
      </c>
      <c r="V710">
        <v>38500</v>
      </c>
      <c r="W710">
        <v>0</v>
      </c>
      <c r="X710" t="s">
        <v>205</v>
      </c>
      <c r="Y710" s="75" t="str">
        <f ca="1">IF(Table15[[#This Row],[Type]]="KILL",IF(_xlfn.NUMBERVALUE(RIGHT(Table15[[#This Row],[Min]],LEN(Table15[[#This Row],[Min]])-FIND("-",Table15[[#This Row],[Min]])))&gt;INDIRECT(ADDRESS(11+MATCH(LEFT(Table15[[#This Row],[Min]],FIND("-",Table15[[#This Row],[Min]])-1),Table1[Content Sku],0),16,1,1,"Entities")),"review","ok"),"ok")</f>
        <v>ok</v>
      </c>
      <c r="AK710" t="s">
        <v>2748</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13000</v>
      </c>
      <c r="G711">
        <v>0</v>
      </c>
      <c r="H711" t="s">
        <v>205</v>
      </c>
      <c r="I711" s="75" t="str">
        <f ca="1">IF(Table7[[#This Row],[Type]]="KILL",IF(_xlfn.NUMBERVALUE(RIGHT(Table7[[#This Row],[Min]],LEN(Table7[[#This Row],[Min]])-FIND("-",Table7[[#This Row],[Min]])))&gt;INDIRECT(ADDRESS(11+MATCH(LEFT(Table7[[#This Row],[Min]],FIND("-",Table7[[#This Row],[Min]])-1),Table1[Content Sku],0),14,1,1,"Entities")),"review","ok"),"ok")</f>
        <v>ok</v>
      </c>
      <c r="U711" t="s">
        <v>258</v>
      </c>
      <c r="V711">
        <v>36000</v>
      </c>
      <c r="W711">
        <v>0</v>
      </c>
      <c r="X711" t="s">
        <v>205</v>
      </c>
      <c r="Y711" s="75" t="str">
        <f ca="1">IF(Table15[[#This Row],[Type]]="KILL",IF(_xlfn.NUMBERVALUE(RIGHT(Table15[[#This Row],[Min]],LEN(Table15[[#This Row],[Min]])-FIND("-",Table15[[#This Row],[Min]])))&gt;INDIRECT(ADDRESS(11+MATCH(LEFT(Table15[[#This Row],[Min]],FIND("-",Table15[[#This Row],[Min]])-1),Table1[Content Sku],0),16,1,1,"Entities")),"review","ok"),"ok")</f>
        <v>ok</v>
      </c>
      <c r="AK711" t="s">
        <v>2748</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16000</v>
      </c>
      <c r="G712">
        <v>0</v>
      </c>
      <c r="H712" t="s">
        <v>205</v>
      </c>
      <c r="I712" s="75" t="str">
        <f ca="1">IF(Table7[[#This Row],[Type]]="KILL",IF(_xlfn.NUMBERVALUE(RIGHT(Table7[[#This Row],[Min]],LEN(Table7[[#This Row],[Min]])-FIND("-",Table7[[#This Row],[Min]])))&gt;INDIRECT(ADDRESS(11+MATCH(LEFT(Table7[[#This Row],[Min]],FIND("-",Table7[[#This Row],[Min]])-1),Table1[Content Sku],0),14,1,1,"Entities")),"review","ok"),"ok")</f>
        <v>ok</v>
      </c>
      <c r="U712" t="s">
        <v>258</v>
      </c>
      <c r="V712">
        <v>180</v>
      </c>
      <c r="W712">
        <v>0</v>
      </c>
      <c r="X712" t="s">
        <v>4439</v>
      </c>
      <c r="Y712" s="75" t="str">
        <f ca="1">IF(Table15[[#This Row],[Type]]="KILL",IF(_xlfn.NUMBERVALUE(RIGHT(Table15[[#This Row],[Min]],LEN(Table15[[#This Row],[Min]])-FIND("-",Table15[[#This Row],[Min]])))&gt;INDIRECT(ADDRESS(11+MATCH(LEFT(Table15[[#This Row],[Min]],FIND("-",Table15[[#This Row],[Min]])-1),Table1[Content Sku],0),16,1,1,"Entities")),"review","ok"),"ok")</f>
        <v>ok</v>
      </c>
      <c r="AK712" t="s">
        <v>2748</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18000</v>
      </c>
      <c r="G713">
        <v>0</v>
      </c>
      <c r="H713" t="s">
        <v>205</v>
      </c>
      <c r="I713" s="75" t="str">
        <f ca="1">IF(Table7[[#This Row],[Type]]="KILL",IF(_xlfn.NUMBERVALUE(RIGHT(Table7[[#This Row],[Min]],LEN(Table7[[#This Row],[Min]])-FIND("-",Table7[[#This Row],[Min]])))&gt;INDIRECT(ADDRESS(11+MATCH(LEFT(Table7[[#This Row],[Min]],FIND("-",Table7[[#This Row],[Min]])-1),Table1[Content Sku],0),14,1,1,"Entities")),"review","ok"),"ok")</f>
        <v>ok</v>
      </c>
      <c r="U713" t="s">
        <v>258</v>
      </c>
      <c r="V713">
        <v>38500</v>
      </c>
      <c r="W713">
        <v>0</v>
      </c>
      <c r="X713" t="s">
        <v>205</v>
      </c>
      <c r="Y713" s="75" t="str">
        <f ca="1">IF(Table15[[#This Row],[Type]]="KILL",IF(_xlfn.NUMBERVALUE(RIGHT(Table15[[#This Row],[Min]],LEN(Table15[[#This Row],[Min]])-FIND("-",Table15[[#This Row],[Min]])))&gt;INDIRECT(ADDRESS(11+MATCH(LEFT(Table15[[#This Row],[Min]],FIND("-",Table15[[#This Row],[Min]])-1),Table1[Content Sku],0),16,1,1,"Entities")),"review","ok"),"ok")</f>
        <v>ok</v>
      </c>
      <c r="AK713" t="s">
        <v>417</v>
      </c>
      <c r="AL713">
        <v>0</v>
      </c>
      <c r="AM713">
        <v>36000</v>
      </c>
      <c r="AN713" t="s">
        <v>205</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24000</v>
      </c>
      <c r="G714">
        <v>0</v>
      </c>
      <c r="H714" t="s">
        <v>205</v>
      </c>
      <c r="I714" s="75" t="str">
        <f ca="1">IF(Table7[[#This Row],[Type]]="KILL",IF(_xlfn.NUMBERVALUE(RIGHT(Table7[[#This Row],[Min]],LEN(Table7[[#This Row],[Min]])-FIND("-",Table7[[#This Row],[Min]])))&gt;INDIRECT(ADDRESS(11+MATCH(LEFT(Table7[[#This Row],[Min]],FIND("-",Table7[[#This Row],[Min]])-1),Table1[Content Sku],0),14,1,1,"Entities")),"review","ok"),"ok")</f>
        <v>ok</v>
      </c>
      <c r="U714" t="s">
        <v>258</v>
      </c>
      <c r="V714">
        <v>220</v>
      </c>
      <c r="W714">
        <v>0</v>
      </c>
      <c r="X714" t="s">
        <v>4439</v>
      </c>
      <c r="Y714" s="75" t="str">
        <f ca="1">IF(Table15[[#This Row],[Type]]="KILL",IF(_xlfn.NUMBERVALUE(RIGHT(Table15[[#This Row],[Min]],LEN(Table15[[#This Row],[Min]])-FIND("-",Table15[[#This Row],[Min]])))&gt;INDIRECT(ADDRESS(11+MATCH(LEFT(Table15[[#This Row],[Min]],FIND("-",Table15[[#This Row],[Min]])-1),Table1[Content Sku],0),16,1,1,"Entities")),"review","ok"),"ok")</f>
        <v>ok</v>
      </c>
      <c r="AK714" t="s">
        <v>417</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23000</v>
      </c>
      <c r="G715">
        <v>0</v>
      </c>
      <c r="H715" t="s">
        <v>205</v>
      </c>
      <c r="I715" s="75" t="str">
        <f ca="1">IF(Table7[[#This Row],[Type]]="KILL",IF(_xlfn.NUMBERVALUE(RIGHT(Table7[[#This Row],[Min]],LEN(Table7[[#This Row],[Min]])-FIND("-",Table7[[#This Row],[Min]])))&gt;INDIRECT(ADDRESS(11+MATCH(LEFT(Table7[[#This Row],[Min]],FIND("-",Table7[[#This Row],[Min]])-1),Table1[Content Sku],0),14,1,1,"Entities")),"review","ok"),"ok")</f>
        <v>ok</v>
      </c>
      <c r="U715" t="s">
        <v>258</v>
      </c>
      <c r="V715">
        <v>36000</v>
      </c>
      <c r="W715">
        <v>0</v>
      </c>
      <c r="X715" t="s">
        <v>205</v>
      </c>
      <c r="Y715" s="75" t="str">
        <f ca="1">IF(Table15[[#This Row],[Type]]="KILL",IF(_xlfn.NUMBERVALUE(RIGHT(Table15[[#This Row],[Min]],LEN(Table15[[#This Row],[Min]])-FIND("-",Table15[[#This Row],[Min]])))&gt;INDIRECT(ADDRESS(11+MATCH(LEFT(Table15[[#This Row],[Min]],FIND("-",Table15[[#This Row],[Min]])-1),Table1[Content Sku],0),16,1,1,"Entities")),"review","ok"),"ok")</f>
        <v>ok</v>
      </c>
      <c r="AK715" t="s">
        <v>417</v>
      </c>
      <c r="AL715">
        <v>0</v>
      </c>
      <c r="AM715">
        <v>26000</v>
      </c>
      <c r="AN715" t="s">
        <v>205</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20000</v>
      </c>
      <c r="G716">
        <v>0</v>
      </c>
      <c r="H716" t="s">
        <v>205</v>
      </c>
      <c r="I716" s="75" t="str">
        <f ca="1">IF(Table7[[#This Row],[Type]]="KILL",IF(_xlfn.NUMBERVALUE(RIGHT(Table7[[#This Row],[Min]],LEN(Table7[[#This Row],[Min]])-FIND("-",Table7[[#This Row],[Min]])))&gt;INDIRECT(ADDRESS(11+MATCH(LEFT(Table7[[#This Row],[Min]],FIND("-",Table7[[#This Row],[Min]])-1),Table1[Content Sku],0),14,1,1,"Entities")),"review","ok"),"ok")</f>
        <v>ok</v>
      </c>
      <c r="U716" t="s">
        <v>258</v>
      </c>
      <c r="V716">
        <v>36000</v>
      </c>
      <c r="W716">
        <v>0</v>
      </c>
      <c r="X716" t="s">
        <v>205</v>
      </c>
      <c r="Y716" s="75" t="str">
        <f ca="1">IF(Table15[[#This Row],[Type]]="KILL",IF(_xlfn.NUMBERVALUE(RIGHT(Table15[[#This Row],[Min]],LEN(Table15[[#This Row],[Min]])-FIND("-",Table15[[#This Row],[Min]])))&gt;INDIRECT(ADDRESS(11+MATCH(LEFT(Table15[[#This Row],[Min]],FIND("-",Table15[[#This Row],[Min]])-1),Table1[Content Sku],0),16,1,1,"Entities")),"review","ok"),"ok")</f>
        <v>ok</v>
      </c>
      <c r="AK716" t="s">
        <v>417</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51</v>
      </c>
      <c r="F717">
        <v>345</v>
      </c>
      <c r="G717">
        <v>0</v>
      </c>
      <c r="H717" t="s">
        <v>4439</v>
      </c>
      <c r="I717" s="75" t="str">
        <f ca="1">IF(Table7[[#This Row],[Type]]="KILL",IF(_xlfn.NUMBERVALUE(RIGHT(Table7[[#This Row],[Min]],LEN(Table7[[#This Row],[Min]])-FIND("-",Table7[[#This Row],[Min]])))&gt;INDIRECT(ADDRESS(11+MATCH(LEFT(Table7[[#This Row],[Min]],FIND("-",Table7[[#This Row],[Min]])-1),Table1[Content Sku],0),14,1,1,"Entities")),"review","ok"),"ok")</f>
        <v>ok</v>
      </c>
      <c r="U717" t="s">
        <v>258</v>
      </c>
      <c r="V717">
        <v>36000</v>
      </c>
      <c r="W717">
        <v>0</v>
      </c>
      <c r="X717" t="s">
        <v>205</v>
      </c>
      <c r="Y717" s="75" t="str">
        <f ca="1">IF(Table15[[#This Row],[Type]]="KILL",IF(_xlfn.NUMBERVALUE(RIGHT(Table15[[#This Row],[Min]],LEN(Table15[[#This Row],[Min]])-FIND("-",Table15[[#This Row],[Min]])))&gt;INDIRECT(ADDRESS(11+MATCH(LEFT(Table15[[#This Row],[Min]],FIND("-",Table15[[#This Row],[Min]])-1),Table1[Content Sku],0),16,1,1,"Entities")),"review","ok"),"ok")</f>
        <v>ok</v>
      </c>
      <c r="AK717" t="s">
        <v>417</v>
      </c>
      <c r="AL717">
        <v>0</v>
      </c>
      <c r="AM717">
        <v>28000</v>
      </c>
      <c r="AN717" t="s">
        <v>205</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51</v>
      </c>
      <c r="F718">
        <v>35000</v>
      </c>
      <c r="G718">
        <v>0</v>
      </c>
      <c r="H718" t="s">
        <v>205</v>
      </c>
      <c r="I718" s="75" t="str">
        <f ca="1">IF(Table7[[#This Row],[Type]]="KILL",IF(_xlfn.NUMBERVALUE(RIGHT(Table7[[#This Row],[Min]],LEN(Table7[[#This Row],[Min]])-FIND("-",Table7[[#This Row],[Min]])))&gt;INDIRECT(ADDRESS(11+MATCH(LEFT(Table7[[#This Row],[Min]],FIND("-",Table7[[#This Row],[Min]])-1),Table1[Content Sku],0),14,1,1,"Entities")),"review","ok"),"ok")</f>
        <v>ok</v>
      </c>
      <c r="U718" t="s">
        <v>2724</v>
      </c>
      <c r="V718">
        <v>0</v>
      </c>
      <c r="W718">
        <v>0</v>
      </c>
      <c r="X718" t="s">
        <v>8</v>
      </c>
      <c r="Y718" s="75" t="str">
        <f ca="1">IF(Table15[[#This Row],[Type]]="KILL",IF(_xlfn.NUMBERVALUE(RIGHT(Table15[[#This Row],[Min]],LEN(Table15[[#This Row],[Min]])-FIND("-",Table15[[#This Row],[Min]])))&gt;INDIRECT(ADDRESS(11+MATCH(LEFT(Table15[[#This Row],[Min]],FIND("-",Table15[[#This Row],[Min]])-1),Table1[Content Sku],0),16,1,1,"Entities")),"review","ok"),"ok")</f>
        <v>ok</v>
      </c>
      <c r="AK718" t="s">
        <v>417</v>
      </c>
      <c r="AL718">
        <v>0</v>
      </c>
      <c r="AM718">
        <v>32000</v>
      </c>
      <c r="AN718" t="s">
        <v>205</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300</v>
      </c>
      <c r="G719">
        <v>0</v>
      </c>
      <c r="H719" t="s">
        <v>4439</v>
      </c>
      <c r="I719" s="75" t="str">
        <f ca="1">IF(Table7[[#This Row],[Type]]="KILL",IF(_xlfn.NUMBERVALUE(RIGHT(Table7[[#This Row],[Min]],LEN(Table7[[#This Row],[Min]])-FIND("-",Table7[[#This Row],[Min]])))&gt;INDIRECT(ADDRESS(11+MATCH(LEFT(Table7[[#This Row],[Min]],FIND("-",Table7[[#This Row],[Min]])-1),Table1[Content Sku],0),14,1,1,"Entities")),"review","ok"),"ok")</f>
        <v>ok</v>
      </c>
      <c r="U719" t="s">
        <v>2724</v>
      </c>
      <c r="V719">
        <v>0</v>
      </c>
      <c r="W719">
        <v>0</v>
      </c>
      <c r="X719" t="s">
        <v>8</v>
      </c>
      <c r="Y719" s="75" t="str">
        <f ca="1">IF(Table15[[#This Row],[Type]]="KILL",IF(_xlfn.NUMBERVALUE(RIGHT(Table15[[#This Row],[Min]],LEN(Table15[[#This Row],[Min]])-FIND("-",Table15[[#This Row],[Min]])))&gt;INDIRECT(ADDRESS(11+MATCH(LEFT(Table15[[#This Row],[Min]],FIND("-",Table15[[#This Row],[Min]])-1),Table1[Content Sku],0),16,1,1,"Entities")),"review","ok"),"ok")</f>
        <v>ok</v>
      </c>
      <c r="AK719" t="s">
        <v>417</v>
      </c>
      <c r="AL719">
        <v>0</v>
      </c>
      <c r="AM719">
        <v>30000</v>
      </c>
      <c r="AN719" t="s">
        <v>205</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28000</v>
      </c>
      <c r="G720">
        <v>0</v>
      </c>
      <c r="H720" t="s">
        <v>205</v>
      </c>
      <c r="I720" s="75" t="str">
        <f ca="1">IF(Table7[[#This Row],[Type]]="KILL",IF(_xlfn.NUMBERVALUE(RIGHT(Table7[[#This Row],[Min]],LEN(Table7[[#This Row],[Min]])-FIND("-",Table7[[#This Row],[Min]])))&gt;INDIRECT(ADDRESS(11+MATCH(LEFT(Table7[[#This Row],[Min]],FIND("-",Table7[[#This Row],[Min]])-1),Table1[Content Sku],0),14,1,1,"Entities")),"review","ok"),"ok")</f>
        <v>ok</v>
      </c>
      <c r="U720" t="s">
        <v>2724</v>
      </c>
      <c r="V720">
        <v>48000</v>
      </c>
      <c r="W720">
        <v>0</v>
      </c>
      <c r="X720" t="s">
        <v>205</v>
      </c>
      <c r="Y720" s="75" t="str">
        <f ca="1">IF(Table15[[#This Row],[Type]]="KILL",IF(_xlfn.NUMBERVALUE(RIGHT(Table15[[#This Row],[Min]],LEN(Table15[[#This Row],[Min]])-FIND("-",Table15[[#This Row],[Min]])))&gt;INDIRECT(ADDRESS(11+MATCH(LEFT(Table15[[#This Row],[Min]],FIND("-",Table15[[#This Row],[Min]])-1),Table1[Content Sku],0),16,1,1,"Entities")),"review","ok"),"ok")</f>
        <v>ok</v>
      </c>
      <c r="AK720" t="s">
        <v>417</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30000</v>
      </c>
      <c r="G721">
        <v>0</v>
      </c>
      <c r="H721" t="s">
        <v>205</v>
      </c>
      <c r="I721" s="75" t="str">
        <f ca="1">IF(Table7[[#This Row],[Type]]="KILL",IF(_xlfn.NUMBERVALUE(RIGHT(Table7[[#This Row],[Min]],LEN(Table7[[#This Row],[Min]])-FIND("-",Table7[[#This Row],[Min]])))&gt;INDIRECT(ADDRESS(11+MATCH(LEFT(Table7[[#This Row],[Min]],FIND("-",Table7[[#This Row],[Min]])-1),Table1[Content Sku],0),14,1,1,"Entities")),"review","ok"),"ok")</f>
        <v>ok</v>
      </c>
      <c r="U721" t="s">
        <v>2724</v>
      </c>
      <c r="V721">
        <v>35000</v>
      </c>
      <c r="W721">
        <v>0</v>
      </c>
      <c r="X721" t="s">
        <v>205</v>
      </c>
      <c r="Y721" s="75" t="str">
        <f ca="1">IF(Table15[[#This Row],[Type]]="KILL",IF(_xlfn.NUMBERVALUE(RIGHT(Table15[[#This Row],[Min]],LEN(Table15[[#This Row],[Min]])-FIND("-",Table15[[#This Row],[Min]])))&gt;INDIRECT(ADDRESS(11+MATCH(LEFT(Table15[[#This Row],[Min]],FIND("-",Table15[[#This Row],[Min]])-1),Table1[Content Sku],0),16,1,1,"Entities")),"review","ok"),"ok")</f>
        <v>ok</v>
      </c>
      <c r="AK721" t="s">
        <v>417</v>
      </c>
      <c r="AL721">
        <v>0</v>
      </c>
      <c r="AM721">
        <v>34000</v>
      </c>
      <c r="AN721" t="s">
        <v>205</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43000</v>
      </c>
      <c r="G722">
        <v>0</v>
      </c>
      <c r="H722" t="s">
        <v>205</v>
      </c>
      <c r="I722" s="75" t="str">
        <f ca="1">IF(Table7[[#This Row],[Type]]="KILL",IF(_xlfn.NUMBERVALUE(RIGHT(Table7[[#This Row],[Min]],LEN(Table7[[#This Row],[Min]])-FIND("-",Table7[[#This Row],[Min]])))&gt;INDIRECT(ADDRESS(11+MATCH(LEFT(Table7[[#This Row],[Min]],FIND("-",Table7[[#This Row],[Min]])-1),Table1[Content Sku],0),14,1,1,"Entities")),"review","ok"),"ok")</f>
        <v>ok</v>
      </c>
      <c r="U722" t="s">
        <v>2724</v>
      </c>
      <c r="V722">
        <v>0</v>
      </c>
      <c r="W722">
        <v>0</v>
      </c>
      <c r="X722" t="s">
        <v>8</v>
      </c>
      <c r="Y722" s="75" t="str">
        <f ca="1">IF(Table15[[#This Row],[Type]]="KILL",IF(_xlfn.NUMBERVALUE(RIGHT(Table15[[#This Row],[Min]],LEN(Table15[[#This Row],[Min]])-FIND("-",Table15[[#This Row],[Min]])))&gt;INDIRECT(ADDRESS(11+MATCH(LEFT(Table15[[#This Row],[Min]],FIND("-",Table15[[#This Row],[Min]])-1),Table1[Content Sku],0),16,1,1,"Entities")),"review","ok"),"ok")</f>
        <v>ok</v>
      </c>
      <c r="AK722" t="s">
        <v>417</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40000</v>
      </c>
      <c r="G723">
        <v>0</v>
      </c>
      <c r="H723" t="s">
        <v>205</v>
      </c>
      <c r="I723" s="75" t="str">
        <f ca="1">IF(Table7[[#This Row],[Type]]="KILL",IF(_xlfn.NUMBERVALUE(RIGHT(Table7[[#This Row],[Min]],LEN(Table7[[#This Row],[Min]])-FIND("-",Table7[[#This Row],[Min]])))&gt;INDIRECT(ADDRESS(11+MATCH(LEFT(Table7[[#This Row],[Min]],FIND("-",Table7[[#This Row],[Min]])-1),Table1[Content Sku],0),14,1,1,"Entities")),"review","ok"),"ok")</f>
        <v>ok</v>
      </c>
      <c r="U723" t="s">
        <v>2724</v>
      </c>
      <c r="V723">
        <v>40000</v>
      </c>
      <c r="W723">
        <v>0</v>
      </c>
      <c r="X723" t="s">
        <v>205</v>
      </c>
      <c r="Y723" s="75" t="str">
        <f ca="1">IF(Table15[[#This Row],[Type]]="KILL",IF(_xlfn.NUMBERVALUE(RIGHT(Table15[[#This Row],[Min]],LEN(Table15[[#This Row],[Min]])-FIND("-",Table15[[#This Row],[Min]])))&gt;INDIRECT(ADDRESS(11+MATCH(LEFT(Table15[[#This Row],[Min]],FIND("-",Table15[[#This Row],[Min]])-1),Table1[Content Sku],0),16,1,1,"Entities")),"review","ok"),"ok")</f>
        <v>ok</v>
      </c>
      <c r="AK723" t="s">
        <v>417</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399</v>
      </c>
      <c r="F724">
        <v>0</v>
      </c>
      <c r="G724">
        <v>0</v>
      </c>
      <c r="H724" t="s">
        <v>8</v>
      </c>
      <c r="I724" s="75" t="str">
        <f ca="1">IF(Table7[[#This Row],[Type]]="KILL",IF(_xlfn.NUMBERVALUE(RIGHT(Table7[[#This Row],[Min]],LEN(Table7[[#This Row],[Min]])-FIND("-",Table7[[#This Row],[Min]])))&gt;INDIRECT(ADDRESS(11+MATCH(LEFT(Table7[[#This Row],[Min]],FIND("-",Table7[[#This Row],[Min]])-1),Table1[Content Sku],0),14,1,1,"Entities")),"review","ok"),"ok")</f>
        <v>ok</v>
      </c>
      <c r="U724" t="s">
        <v>2724</v>
      </c>
      <c r="V724">
        <v>68000</v>
      </c>
      <c r="W724">
        <v>0</v>
      </c>
      <c r="X724" t="s">
        <v>205</v>
      </c>
      <c r="Y724" s="75" t="str">
        <f ca="1">IF(Table15[[#This Row],[Type]]="KILL",IF(_xlfn.NUMBERVALUE(RIGHT(Table15[[#This Row],[Min]],LEN(Table15[[#This Row],[Min]])-FIND("-",Table15[[#This Row],[Min]])))&gt;INDIRECT(ADDRESS(11+MATCH(LEFT(Table15[[#This Row],[Min]],FIND("-",Table15[[#This Row],[Min]])-1),Table1[Content Sku],0),16,1,1,"Entities")),"review","ok"),"ok")</f>
        <v>ok</v>
      </c>
      <c r="AK724" t="s">
        <v>556</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399</v>
      </c>
      <c r="F725">
        <v>0</v>
      </c>
      <c r="G725">
        <v>0</v>
      </c>
      <c r="H725" t="s">
        <v>8</v>
      </c>
      <c r="I725" s="75" t="str">
        <f ca="1">IF(Table7[[#This Row],[Type]]="KILL",IF(_xlfn.NUMBERVALUE(RIGHT(Table7[[#This Row],[Min]],LEN(Table7[[#This Row],[Min]])-FIND("-",Table7[[#This Row],[Min]])))&gt;INDIRECT(ADDRESS(11+MATCH(LEFT(Table7[[#This Row],[Min]],FIND("-",Table7[[#This Row],[Min]])-1),Table1[Content Sku],0),14,1,1,"Entities")),"review","ok"),"ok")</f>
        <v>ok</v>
      </c>
      <c r="U725" t="s">
        <v>2724</v>
      </c>
      <c r="V725">
        <v>340</v>
      </c>
      <c r="W725">
        <v>0</v>
      </c>
      <c r="X725" t="s">
        <v>4439</v>
      </c>
      <c r="Y725" s="75" t="str">
        <f ca="1">IF(Table15[[#This Row],[Type]]="KILL",IF(_xlfn.NUMBERVALUE(RIGHT(Table15[[#This Row],[Min]],LEN(Table15[[#This Row],[Min]])-FIND("-",Table15[[#This Row],[Min]])))&gt;INDIRECT(ADDRESS(11+MATCH(LEFT(Table15[[#This Row],[Min]],FIND("-",Table15[[#This Row],[Min]])-1),Table1[Content Sku],0),16,1,1,"Entities")),"review","ok"),"ok")</f>
        <v>ok</v>
      </c>
      <c r="AK725" t="s">
        <v>556</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399</v>
      </c>
      <c r="F726">
        <v>8000</v>
      </c>
      <c r="G726">
        <v>0</v>
      </c>
      <c r="H726" t="s">
        <v>205</v>
      </c>
      <c r="I726" s="75" t="str">
        <f ca="1">IF(Table7[[#This Row],[Type]]="KILL",IF(_xlfn.NUMBERVALUE(RIGHT(Table7[[#This Row],[Min]],LEN(Table7[[#This Row],[Min]])-FIND("-",Table7[[#This Row],[Min]])))&gt;INDIRECT(ADDRESS(11+MATCH(LEFT(Table7[[#This Row],[Min]],FIND("-",Table7[[#This Row],[Min]])-1),Table1[Content Sku],0),14,1,1,"Entities")),"review","ok"),"ok")</f>
        <v>ok</v>
      </c>
      <c r="U726" t="s">
        <v>2724</v>
      </c>
      <c r="V726">
        <v>50000</v>
      </c>
      <c r="W726">
        <v>0</v>
      </c>
      <c r="X726" t="s">
        <v>205</v>
      </c>
      <c r="Y726" s="75" t="str">
        <f ca="1">IF(Table15[[#This Row],[Type]]="KILL",IF(_xlfn.NUMBERVALUE(RIGHT(Table15[[#This Row],[Min]],LEN(Table15[[#This Row],[Min]])-FIND("-",Table15[[#This Row],[Min]])))&gt;INDIRECT(ADDRESS(11+MATCH(LEFT(Table15[[#This Row],[Min]],FIND("-",Table15[[#This Row],[Min]])-1),Table1[Content Sku],0),16,1,1,"Entities")),"review","ok"),"ok")</f>
        <v>ok</v>
      </c>
      <c r="AK726" t="s">
        <v>556</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399</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2724</v>
      </c>
      <c r="V727">
        <v>40000</v>
      </c>
      <c r="W727">
        <v>0</v>
      </c>
      <c r="X727" t="s">
        <v>205</v>
      </c>
      <c r="Y727" s="75" t="str">
        <f ca="1">IF(Table15[[#This Row],[Type]]="KILL",IF(_xlfn.NUMBERVALUE(RIGHT(Table15[[#This Row],[Min]],LEN(Table15[[#This Row],[Min]])-FIND("-",Table15[[#This Row],[Min]])))&gt;INDIRECT(ADDRESS(11+MATCH(LEFT(Table15[[#This Row],[Min]],FIND("-",Table15[[#This Row],[Min]])-1),Table1[Content Sku],0),16,1,1,"Entities")),"review","ok"),"ok")</f>
        <v>ok</v>
      </c>
      <c r="AK727" t="s">
        <v>556</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399</v>
      </c>
      <c r="F728">
        <v>0</v>
      </c>
      <c r="G728">
        <v>0</v>
      </c>
      <c r="H728" t="s">
        <v>8</v>
      </c>
      <c r="I728" s="75" t="str">
        <f ca="1">IF(Table7[[#This Row],[Type]]="KILL",IF(_xlfn.NUMBERVALUE(RIGHT(Table7[[#This Row],[Min]],LEN(Table7[[#This Row],[Min]])-FIND("-",Table7[[#This Row],[Min]])))&gt;INDIRECT(ADDRESS(11+MATCH(LEFT(Table7[[#This Row],[Min]],FIND("-",Table7[[#This Row],[Min]])-1),Table1[Content Sku],0),14,1,1,"Entities")),"review","ok"),"ok")</f>
        <v>ok</v>
      </c>
      <c r="U728" t="s">
        <v>2724</v>
      </c>
      <c r="V728">
        <v>0</v>
      </c>
      <c r="W728">
        <v>0</v>
      </c>
      <c r="X728" t="s">
        <v>8</v>
      </c>
      <c r="Y728" s="75" t="str">
        <f ca="1">IF(Table15[[#This Row],[Type]]="KILL",IF(_xlfn.NUMBERVALUE(RIGHT(Table15[[#This Row],[Min]],LEN(Table15[[#This Row],[Min]])-FIND("-",Table15[[#This Row],[Min]])))&gt;INDIRECT(ADDRESS(11+MATCH(LEFT(Table15[[#This Row],[Min]],FIND("-",Table15[[#This Row],[Min]])-1),Table1[Content Sku],0),16,1,1,"Entities")),"review","ok"),"ok")</f>
        <v>ok</v>
      </c>
      <c r="AK728" t="s">
        <v>556</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399</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2724</v>
      </c>
      <c r="V729">
        <v>36000</v>
      </c>
      <c r="W729">
        <v>0</v>
      </c>
      <c r="X729" t="s">
        <v>205</v>
      </c>
      <c r="Y729" s="75" t="str">
        <f ca="1">IF(Table15[[#This Row],[Type]]="KILL",IF(_xlfn.NUMBERVALUE(RIGHT(Table15[[#This Row],[Min]],LEN(Table15[[#This Row],[Min]])-FIND("-",Table15[[#This Row],[Min]])))&gt;INDIRECT(ADDRESS(11+MATCH(LEFT(Table15[[#This Row],[Min]],FIND("-",Table15[[#This Row],[Min]])-1),Table1[Content Sku],0),16,1,1,"Entities")),"review","ok"),"ok")</f>
        <v>ok</v>
      </c>
      <c r="AK729" t="s">
        <v>556</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399</v>
      </c>
      <c r="F730">
        <v>1200</v>
      </c>
      <c r="G730">
        <v>0</v>
      </c>
      <c r="H730" t="s">
        <v>205</v>
      </c>
      <c r="I730" s="75" t="str">
        <f ca="1">IF(Table7[[#This Row],[Type]]="KILL",IF(_xlfn.NUMBERVALUE(RIGHT(Table7[[#This Row],[Min]],LEN(Table7[[#This Row],[Min]])-FIND("-",Table7[[#This Row],[Min]])))&gt;INDIRECT(ADDRESS(11+MATCH(LEFT(Table7[[#This Row],[Min]],FIND("-",Table7[[#This Row],[Min]])-1),Table1[Content Sku],0),14,1,1,"Entities")),"review","ok"),"ok")</f>
        <v>ok</v>
      </c>
      <c r="U730" t="s">
        <v>2724</v>
      </c>
      <c r="V730">
        <v>55000</v>
      </c>
      <c r="W730">
        <v>0</v>
      </c>
      <c r="X730" t="s">
        <v>205</v>
      </c>
      <c r="Y730" s="75" t="str">
        <f ca="1">IF(Table15[[#This Row],[Type]]="KILL",IF(_xlfn.NUMBERVALUE(RIGHT(Table15[[#This Row],[Min]],LEN(Table15[[#This Row],[Min]])-FIND("-",Table15[[#This Row],[Min]])))&gt;INDIRECT(ADDRESS(11+MATCH(LEFT(Table15[[#This Row],[Min]],FIND("-",Table15[[#This Row],[Min]])-1),Table1[Content Sku],0),16,1,1,"Entities")),"review","ok"),"ok")</f>
        <v>ok</v>
      </c>
      <c r="AK730" t="s">
        <v>556</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401</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2724</v>
      </c>
      <c r="V731">
        <v>200</v>
      </c>
      <c r="W731">
        <v>0</v>
      </c>
      <c r="X731" t="s">
        <v>4439</v>
      </c>
      <c r="Y731" s="75" t="str">
        <f ca="1">IF(Table15[[#This Row],[Type]]="KILL",IF(_xlfn.NUMBERVALUE(RIGHT(Table15[[#This Row],[Min]],LEN(Table15[[#This Row],[Min]])-FIND("-",Table15[[#This Row],[Min]])))&gt;INDIRECT(ADDRESS(11+MATCH(LEFT(Table15[[#This Row],[Min]],FIND("-",Table15[[#This Row],[Min]])-1),Table1[Content Sku],0),16,1,1,"Entities")),"review","ok"),"ok")</f>
        <v>ok</v>
      </c>
      <c r="AK731" t="s">
        <v>137</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401</v>
      </c>
      <c r="F732">
        <v>0</v>
      </c>
      <c r="G732">
        <v>0</v>
      </c>
      <c r="H732" t="s">
        <v>8</v>
      </c>
      <c r="I732" s="75" t="str">
        <f ca="1">IF(Table7[[#This Row],[Type]]="KILL",IF(_xlfn.NUMBERVALUE(RIGHT(Table7[[#This Row],[Min]],LEN(Table7[[#This Row],[Min]])-FIND("-",Table7[[#This Row],[Min]])))&gt;INDIRECT(ADDRESS(11+MATCH(LEFT(Table7[[#This Row],[Min]],FIND("-",Table7[[#This Row],[Min]])-1),Table1[Content Sku],0),14,1,1,"Entities")),"review","ok"),"ok")</f>
        <v>ok</v>
      </c>
      <c r="U732" t="s">
        <v>2724</v>
      </c>
      <c r="V732">
        <v>77000</v>
      </c>
      <c r="W732">
        <v>0</v>
      </c>
      <c r="X732" t="s">
        <v>205</v>
      </c>
      <c r="Y732" s="75" t="str">
        <f ca="1">IF(Table15[[#This Row],[Type]]="KILL",IF(_xlfn.NUMBERVALUE(RIGHT(Table15[[#This Row],[Min]],LEN(Table15[[#This Row],[Min]])-FIND("-",Table15[[#This Row],[Min]])))&gt;INDIRECT(ADDRESS(11+MATCH(LEFT(Table15[[#This Row],[Min]],FIND("-",Table15[[#This Row],[Min]])-1),Table1[Content Sku],0),16,1,1,"Entities")),"review","ok"),"ok")</f>
        <v>ok</v>
      </c>
      <c r="AK732" t="s">
        <v>137</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401</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2724</v>
      </c>
      <c r="V733">
        <v>39000</v>
      </c>
      <c r="W733">
        <v>0</v>
      </c>
      <c r="X733" t="s">
        <v>205</v>
      </c>
      <c r="Y733" s="75" t="str">
        <f ca="1">IF(Table15[[#This Row],[Type]]="KILL",IF(_xlfn.NUMBERVALUE(RIGHT(Table15[[#This Row],[Min]],LEN(Table15[[#This Row],[Min]])-FIND("-",Table15[[#This Row],[Min]])))&gt;INDIRECT(ADDRESS(11+MATCH(LEFT(Table15[[#This Row],[Min]],FIND("-",Table15[[#This Row],[Min]])-1),Table1[Content Sku],0),16,1,1,"Entities")),"review","ok"),"ok")</f>
        <v>ok</v>
      </c>
      <c r="AK733" t="s">
        <v>137</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401</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2724</v>
      </c>
      <c r="V734">
        <v>0</v>
      </c>
      <c r="W734">
        <v>0</v>
      </c>
      <c r="X734" t="s">
        <v>8</v>
      </c>
      <c r="Y734" s="75" t="str">
        <f ca="1">IF(Table15[[#This Row],[Type]]="KILL",IF(_xlfn.NUMBERVALUE(RIGHT(Table15[[#This Row],[Min]],LEN(Table15[[#This Row],[Min]])-FIND("-",Table15[[#This Row],[Min]])))&gt;INDIRECT(ADDRESS(11+MATCH(LEFT(Table15[[#This Row],[Min]],FIND("-",Table15[[#This Row],[Min]])-1),Table1[Content Sku],0),16,1,1,"Entities")),"review","ok"),"ok")</f>
        <v>ok</v>
      </c>
      <c r="AK734" t="s">
        <v>137</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401</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2724</v>
      </c>
      <c r="V735">
        <v>50000</v>
      </c>
      <c r="W735">
        <v>0</v>
      </c>
      <c r="X735" t="s">
        <v>205</v>
      </c>
      <c r="Y735" s="75" t="str">
        <f ca="1">IF(Table15[[#This Row],[Type]]="KILL",IF(_xlfn.NUMBERVALUE(RIGHT(Table15[[#This Row],[Min]],LEN(Table15[[#This Row],[Min]])-FIND("-",Table15[[#This Row],[Min]])))&gt;INDIRECT(ADDRESS(11+MATCH(LEFT(Table15[[#This Row],[Min]],FIND("-",Table15[[#This Row],[Min]])-1),Table1[Content Sku],0),16,1,1,"Entities")),"review","ok"),"ok")</f>
        <v>ok</v>
      </c>
      <c r="AK735" t="s">
        <v>137</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401</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2724</v>
      </c>
      <c r="V736">
        <v>57000</v>
      </c>
      <c r="W736">
        <v>0</v>
      </c>
      <c r="X736" t="s">
        <v>205</v>
      </c>
      <c r="Y736" s="75" t="str">
        <f ca="1">IF(Table15[[#This Row],[Type]]="KILL",IF(_xlfn.NUMBERVALUE(RIGHT(Table15[[#This Row],[Min]],LEN(Table15[[#This Row],[Min]])-FIND("-",Table15[[#This Row],[Min]])))&gt;INDIRECT(ADDRESS(11+MATCH(LEFT(Table15[[#This Row],[Min]],FIND("-",Table15[[#This Row],[Min]])-1),Table1[Content Sku],0),16,1,1,"Entities")),"review","ok"),"ok")</f>
        <v>ok</v>
      </c>
      <c r="AK736" t="s">
        <v>137</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401</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2724</v>
      </c>
      <c r="V737">
        <v>30000</v>
      </c>
      <c r="W737">
        <v>0</v>
      </c>
      <c r="X737" t="s">
        <v>205</v>
      </c>
      <c r="Y737" s="75" t="str">
        <f ca="1">IF(Table15[[#This Row],[Type]]="KILL",IF(_xlfn.NUMBERVALUE(RIGHT(Table15[[#This Row],[Min]],LEN(Table15[[#This Row],[Min]])-FIND("-",Table15[[#This Row],[Min]])))&gt;INDIRECT(ADDRESS(11+MATCH(LEFT(Table15[[#This Row],[Min]],FIND("-",Table15[[#This Row],[Min]])-1),Table1[Content Sku],0),16,1,1,"Entities")),"review","ok"),"ok")</f>
        <v>ok</v>
      </c>
      <c r="AK737" t="s">
        <v>137</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401</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2724</v>
      </c>
      <c r="V738">
        <v>200</v>
      </c>
      <c r="W738">
        <v>0</v>
      </c>
      <c r="X738" t="s">
        <v>4439</v>
      </c>
      <c r="Y738" s="75" t="str">
        <f ca="1">IF(Table15[[#This Row],[Type]]="KILL",IF(_xlfn.NUMBERVALUE(RIGHT(Table15[[#This Row],[Min]],LEN(Table15[[#This Row],[Min]])-FIND("-",Table15[[#This Row],[Min]])))&gt;INDIRECT(ADDRESS(11+MATCH(LEFT(Table15[[#This Row],[Min]],FIND("-",Table15[[#This Row],[Min]])-1),Table1[Content Sku],0),16,1,1,"Entities")),"review","ok"),"ok")</f>
        <v>ok</v>
      </c>
      <c r="AK738" t="s">
        <v>2687</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401</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2724</v>
      </c>
      <c r="V739">
        <v>365</v>
      </c>
      <c r="W739">
        <v>0</v>
      </c>
      <c r="X739" t="s">
        <v>4439</v>
      </c>
      <c r="Y739" s="75" t="str">
        <f ca="1">IF(Table15[[#This Row],[Type]]="KILL",IF(_xlfn.NUMBERVALUE(RIGHT(Table15[[#This Row],[Min]],LEN(Table15[[#This Row],[Min]])-FIND("-",Table15[[#This Row],[Min]])))&gt;INDIRECT(ADDRESS(11+MATCH(LEFT(Table15[[#This Row],[Min]],FIND("-",Table15[[#This Row],[Min]])-1),Table1[Content Sku],0),16,1,1,"Entities")),"review","ok"),"ok")</f>
        <v>ok</v>
      </c>
      <c r="AK739" t="s">
        <v>2687</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401</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2724</v>
      </c>
      <c r="V740">
        <v>225</v>
      </c>
      <c r="W740">
        <v>0</v>
      </c>
      <c r="X740" t="s">
        <v>4439</v>
      </c>
      <c r="Y740" s="75" t="str">
        <f ca="1">IF(Table15[[#This Row],[Type]]="KILL",IF(_xlfn.NUMBERVALUE(RIGHT(Table15[[#This Row],[Min]],LEN(Table15[[#This Row],[Min]])-FIND("-",Table15[[#This Row],[Min]])))&gt;INDIRECT(ADDRESS(11+MATCH(LEFT(Table15[[#This Row],[Min]],FIND("-",Table15[[#This Row],[Min]])-1),Table1[Content Sku],0),16,1,1,"Entities")),"review","ok"),"ok")</f>
        <v>ok</v>
      </c>
      <c r="AK740" t="s">
        <v>2687</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401</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2724</v>
      </c>
      <c r="V741">
        <v>320</v>
      </c>
      <c r="W741">
        <v>0</v>
      </c>
      <c r="X741" t="s">
        <v>4439</v>
      </c>
      <c r="Y741" s="75" t="str">
        <f ca="1">IF(Table15[[#This Row],[Type]]="KILL",IF(_xlfn.NUMBERVALUE(RIGHT(Table15[[#This Row],[Min]],LEN(Table15[[#This Row],[Min]])-FIND("-",Table15[[#This Row],[Min]])))&gt;INDIRECT(ADDRESS(11+MATCH(LEFT(Table15[[#This Row],[Min]],FIND("-",Table15[[#This Row],[Min]])-1),Table1[Content Sku],0),16,1,1,"Entities")),"review","ok"),"ok")</f>
        <v>ok</v>
      </c>
      <c r="AK741" t="s">
        <v>2687</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401</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2724</v>
      </c>
      <c r="V742">
        <v>0</v>
      </c>
      <c r="W742">
        <v>0</v>
      </c>
      <c r="X742" t="s">
        <v>8</v>
      </c>
      <c r="Y742" s="75" t="str">
        <f ca="1">IF(Table15[[#This Row],[Type]]="KILL",IF(_xlfn.NUMBERVALUE(RIGHT(Table15[[#This Row],[Min]],LEN(Table15[[#This Row],[Min]])-FIND("-",Table15[[#This Row],[Min]])))&gt;INDIRECT(ADDRESS(11+MATCH(LEFT(Table15[[#This Row],[Min]],FIND("-",Table15[[#This Row],[Min]])-1),Table1[Content Sku],0),16,1,1,"Entities")),"review","ok"),"ok")</f>
        <v>ok</v>
      </c>
      <c r="AK742" t="s">
        <v>2687</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401</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2724</v>
      </c>
      <c r="V743">
        <v>82000</v>
      </c>
      <c r="W743">
        <v>0</v>
      </c>
      <c r="X743" t="s">
        <v>205</v>
      </c>
      <c r="Y743" s="75" t="str">
        <f ca="1">IF(Table15[[#This Row],[Type]]="KILL",IF(_xlfn.NUMBERVALUE(RIGHT(Table15[[#This Row],[Min]],LEN(Table15[[#This Row],[Min]])-FIND("-",Table15[[#This Row],[Min]])))&gt;INDIRECT(ADDRESS(11+MATCH(LEFT(Table15[[#This Row],[Min]],FIND("-",Table15[[#This Row],[Min]])-1),Table1[Content Sku],0),16,1,1,"Entities")),"review","ok"),"ok")</f>
        <v>ok</v>
      </c>
      <c r="AK743" t="s">
        <v>2687</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401</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2724</v>
      </c>
      <c r="V744">
        <v>220</v>
      </c>
      <c r="W744">
        <v>0</v>
      </c>
      <c r="X744" t="s">
        <v>4439</v>
      </c>
      <c r="Y744" s="75" t="str">
        <f ca="1">IF(Table15[[#This Row],[Type]]="KILL",IF(_xlfn.NUMBERVALUE(RIGHT(Table15[[#This Row],[Min]],LEN(Table15[[#This Row],[Min]])-FIND("-",Table15[[#This Row],[Min]])))&gt;INDIRECT(ADDRESS(11+MATCH(LEFT(Table15[[#This Row],[Min]],FIND("-",Table15[[#This Row],[Min]])-1),Table1[Content Sku],0),16,1,1,"Entities")),"review","ok"),"ok")</f>
        <v>ok</v>
      </c>
      <c r="AK744" t="s">
        <v>2687</v>
      </c>
      <c r="AL744">
        <v>0</v>
      </c>
      <c r="AM744">
        <v>20000</v>
      </c>
      <c r="AN744" t="s">
        <v>205</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401</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2724</v>
      </c>
      <c r="V745">
        <v>37000</v>
      </c>
      <c r="W745">
        <v>0</v>
      </c>
      <c r="X745" t="s">
        <v>205</v>
      </c>
      <c r="Y745" s="75" t="str">
        <f ca="1">IF(Table15[[#This Row],[Type]]="KILL",IF(_xlfn.NUMBERVALUE(RIGHT(Table15[[#This Row],[Min]],LEN(Table15[[#This Row],[Min]])-FIND("-",Table15[[#This Row],[Min]])))&gt;INDIRECT(ADDRESS(11+MATCH(LEFT(Table15[[#This Row],[Min]],FIND("-",Table15[[#This Row],[Min]])-1),Table1[Content Sku],0),16,1,1,"Entities")),"review","ok"),"ok")</f>
        <v>ok</v>
      </c>
      <c r="AK745" t="s">
        <v>2687</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401</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2724</v>
      </c>
      <c r="V746">
        <v>0</v>
      </c>
      <c r="W746">
        <v>0</v>
      </c>
      <c r="X746" t="s">
        <v>8</v>
      </c>
      <c r="Y746" s="75" t="str">
        <f ca="1">IF(Table15[[#This Row],[Type]]="KILL",IF(_xlfn.NUMBERVALUE(RIGHT(Table15[[#This Row],[Min]],LEN(Table15[[#This Row],[Min]])-FIND("-",Table15[[#This Row],[Min]])))&gt;INDIRECT(ADDRESS(11+MATCH(LEFT(Table15[[#This Row],[Min]],FIND("-",Table15[[#This Row],[Min]])-1),Table1[Content Sku],0),16,1,1,"Entities")),"review","ok"),"ok")</f>
        <v>ok</v>
      </c>
      <c r="AK746" t="s">
        <v>2687</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401</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2724</v>
      </c>
      <c r="V747">
        <v>45000</v>
      </c>
      <c r="W747">
        <v>0</v>
      </c>
      <c r="X747" t="s">
        <v>205</v>
      </c>
      <c r="Y747" s="75" t="str">
        <f ca="1">IF(Table15[[#This Row],[Type]]="KILL",IF(_xlfn.NUMBERVALUE(RIGHT(Table15[[#This Row],[Min]],LEN(Table15[[#This Row],[Min]])-FIND("-",Table15[[#This Row],[Min]])))&gt;INDIRECT(ADDRESS(11+MATCH(LEFT(Table15[[#This Row],[Min]],FIND("-",Table15[[#This Row],[Min]])-1),Table1[Content Sku],0),16,1,1,"Entities")),"review","ok"),"ok")</f>
        <v>ok</v>
      </c>
      <c r="AK747" t="s">
        <v>2687</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401</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2724</v>
      </c>
      <c r="V748">
        <v>41000</v>
      </c>
      <c r="W748">
        <v>0</v>
      </c>
      <c r="X748" t="s">
        <v>205</v>
      </c>
      <c r="Y748" s="75" t="str">
        <f ca="1">IF(Table15[[#This Row],[Type]]="KILL",IF(_xlfn.NUMBERVALUE(RIGHT(Table15[[#This Row],[Min]],LEN(Table15[[#This Row],[Min]])-FIND("-",Table15[[#This Row],[Min]])))&gt;INDIRECT(ADDRESS(11+MATCH(LEFT(Table15[[#This Row],[Min]],FIND("-",Table15[[#This Row],[Min]])-1),Table1[Content Sku],0),16,1,1,"Entities")),"review","ok"),"ok")</f>
        <v>ok</v>
      </c>
      <c r="AK748" t="s">
        <v>2687</v>
      </c>
      <c r="AL748">
        <v>0</v>
      </c>
      <c r="AM748">
        <v>20000</v>
      </c>
      <c r="AN748" t="s">
        <v>205</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2724</v>
      </c>
      <c r="V749">
        <v>51000</v>
      </c>
      <c r="W749">
        <v>0</v>
      </c>
      <c r="X749" t="s">
        <v>205</v>
      </c>
      <c r="Y749" s="75" t="str">
        <f ca="1">IF(Table15[[#This Row],[Type]]="KILL",IF(_xlfn.NUMBERVALUE(RIGHT(Table15[[#This Row],[Min]],LEN(Table15[[#This Row],[Min]])-FIND("-",Table15[[#This Row],[Min]])))&gt;INDIRECT(ADDRESS(11+MATCH(LEFT(Table15[[#This Row],[Min]],FIND("-",Table15[[#This Row],[Min]])-1),Table1[Content Sku],0),16,1,1,"Entities")),"review","ok"),"ok")</f>
        <v>ok</v>
      </c>
      <c r="AK749" t="s">
        <v>2687</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2724</v>
      </c>
      <c r="V750">
        <v>0</v>
      </c>
      <c r="W750">
        <v>0</v>
      </c>
      <c r="X750" t="s">
        <v>8</v>
      </c>
      <c r="Y750" s="75" t="str">
        <f ca="1">IF(Table15[[#This Row],[Type]]="KILL",IF(_xlfn.NUMBERVALUE(RIGHT(Table15[[#This Row],[Min]],LEN(Table15[[#This Row],[Min]])-FIND("-",Table15[[#This Row],[Min]])))&gt;INDIRECT(ADDRESS(11+MATCH(LEFT(Table15[[#This Row],[Min]],FIND("-",Table15[[#This Row],[Min]])-1),Table1[Content Sku],0),16,1,1,"Entities")),"review","ok"),"ok")</f>
        <v>ok</v>
      </c>
      <c r="AK750" t="s">
        <v>2687</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392</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2724</v>
      </c>
      <c r="V751">
        <v>35000</v>
      </c>
      <c r="W751">
        <v>0</v>
      </c>
      <c r="X751" t="s">
        <v>205</v>
      </c>
      <c r="Y751" s="75" t="str">
        <f ca="1">IF(Table15[[#This Row],[Type]]="KILL",IF(_xlfn.NUMBERVALUE(RIGHT(Table15[[#This Row],[Min]],LEN(Table15[[#This Row],[Min]])-FIND("-",Table15[[#This Row],[Min]])))&gt;INDIRECT(ADDRESS(11+MATCH(LEFT(Table15[[#This Row],[Min]],FIND("-",Table15[[#This Row],[Min]])-1),Table1[Content Sku],0),16,1,1,"Entities")),"review","ok"),"ok")</f>
        <v>ok</v>
      </c>
      <c r="AK751" t="s">
        <v>2687</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392</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2727</v>
      </c>
      <c r="V752">
        <v>0</v>
      </c>
      <c r="W752">
        <v>0</v>
      </c>
      <c r="X752" t="s">
        <v>8</v>
      </c>
      <c r="Y752" s="75" t="str">
        <f ca="1">IF(Table15[[#This Row],[Type]]="KILL",IF(_xlfn.NUMBERVALUE(RIGHT(Table15[[#This Row],[Min]],LEN(Table15[[#This Row],[Min]])-FIND("-",Table15[[#This Row],[Min]])))&gt;INDIRECT(ADDRESS(11+MATCH(LEFT(Table15[[#This Row],[Min]],FIND("-",Table15[[#This Row],[Min]])-1),Table1[Content Sku],0),16,1,1,"Entities")),"review","ok"),"ok")</f>
        <v>ok</v>
      </c>
      <c r="AK752" t="s">
        <v>2687</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392</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2727</v>
      </c>
      <c r="V753">
        <v>0</v>
      </c>
      <c r="W753">
        <v>0</v>
      </c>
      <c r="X753" t="s">
        <v>8</v>
      </c>
      <c r="Y753" s="75" t="str">
        <f ca="1">IF(Table15[[#This Row],[Type]]="KILL",IF(_xlfn.NUMBERVALUE(RIGHT(Table15[[#This Row],[Min]],LEN(Table15[[#This Row],[Min]])-FIND("-",Table15[[#This Row],[Min]])))&gt;INDIRECT(ADDRESS(11+MATCH(LEFT(Table15[[#This Row],[Min]],FIND("-",Table15[[#This Row],[Min]])-1),Table1[Content Sku],0),16,1,1,"Entities")),"review","ok"),"ok")</f>
        <v>ok</v>
      </c>
      <c r="AK753" t="s">
        <v>2687</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392</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2727</v>
      </c>
      <c r="V754">
        <v>0</v>
      </c>
      <c r="W754">
        <v>15000</v>
      </c>
      <c r="X754" t="s">
        <v>205</v>
      </c>
      <c r="Y754" s="75" t="str">
        <f ca="1">IF(Table15[[#This Row],[Type]]="KILL",IF(_xlfn.NUMBERVALUE(RIGHT(Table15[[#This Row],[Min]],LEN(Table15[[#This Row],[Min]])-FIND("-",Table15[[#This Row],[Min]])))&gt;INDIRECT(ADDRESS(11+MATCH(LEFT(Table15[[#This Row],[Min]],FIND("-",Table15[[#This Row],[Min]])-1),Table1[Content Sku],0),16,1,1,"Entities")),"review","ok"),"ok")</f>
        <v>ok</v>
      </c>
      <c r="AK754" t="s">
        <v>2687</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392</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2727</v>
      </c>
      <c r="V755">
        <v>0</v>
      </c>
      <c r="W755">
        <v>0</v>
      </c>
      <c r="X755" t="s">
        <v>8</v>
      </c>
      <c r="Y755" s="75" t="str">
        <f ca="1">IF(Table15[[#This Row],[Type]]="KILL",IF(_xlfn.NUMBERVALUE(RIGHT(Table15[[#This Row],[Min]],LEN(Table15[[#This Row],[Min]])-FIND("-",Table15[[#This Row],[Min]])))&gt;INDIRECT(ADDRESS(11+MATCH(LEFT(Table15[[#This Row],[Min]],FIND("-",Table15[[#This Row],[Min]])-1),Table1[Content Sku],0),16,1,1,"Entities")),"review","ok"),"ok")</f>
        <v>ok</v>
      </c>
      <c r="AK755" t="s">
        <v>2674</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392</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2727</v>
      </c>
      <c r="V756">
        <v>0</v>
      </c>
      <c r="W756">
        <v>0</v>
      </c>
      <c r="X756" t="s">
        <v>8</v>
      </c>
      <c r="Y756" s="75" t="str">
        <f ca="1">IF(Table15[[#This Row],[Type]]="KILL",IF(_xlfn.NUMBERVALUE(RIGHT(Table15[[#This Row],[Min]],LEN(Table15[[#This Row],[Min]])-FIND("-",Table15[[#This Row],[Min]])))&gt;INDIRECT(ADDRESS(11+MATCH(LEFT(Table15[[#This Row],[Min]],FIND("-",Table15[[#This Row],[Min]])-1),Table1[Content Sku],0),16,1,1,"Entities")),"review","ok"),"ok")</f>
        <v>ok</v>
      </c>
      <c r="AK756" t="s">
        <v>2674</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392</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2727</v>
      </c>
      <c r="V757">
        <v>0</v>
      </c>
      <c r="W757">
        <v>0</v>
      </c>
      <c r="X757" t="s">
        <v>8</v>
      </c>
      <c r="Y757" s="75" t="str">
        <f ca="1">IF(Table15[[#This Row],[Type]]="KILL",IF(_xlfn.NUMBERVALUE(RIGHT(Table15[[#This Row],[Min]],LEN(Table15[[#This Row],[Min]])-FIND("-",Table15[[#This Row],[Min]])))&gt;INDIRECT(ADDRESS(11+MATCH(LEFT(Table15[[#This Row],[Min]],FIND("-",Table15[[#This Row],[Min]])-1),Table1[Content Sku],0),16,1,1,"Entities")),"review","ok"),"ok")</f>
        <v>ok</v>
      </c>
      <c r="AK757" t="s">
        <v>2674</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392</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2727</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2674</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392</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2727</v>
      </c>
      <c r="V759">
        <v>0</v>
      </c>
      <c r="W759">
        <v>0</v>
      </c>
      <c r="X759" t="s">
        <v>8</v>
      </c>
      <c r="Y759" s="75" t="str">
        <f ca="1">IF(Table15[[#This Row],[Type]]="KILL",IF(_xlfn.NUMBERVALUE(RIGHT(Table15[[#This Row],[Min]],LEN(Table15[[#This Row],[Min]])-FIND("-",Table15[[#This Row],[Min]])))&gt;INDIRECT(ADDRESS(11+MATCH(LEFT(Table15[[#This Row],[Min]],FIND("-",Table15[[#This Row],[Min]])-1),Table1[Content Sku],0),16,1,1,"Entities")),"review","ok"),"ok")</f>
        <v>ok</v>
      </c>
      <c r="AK759" t="s">
        <v>2674</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392</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2727</v>
      </c>
      <c r="V760">
        <v>0</v>
      </c>
      <c r="W760">
        <v>0</v>
      </c>
      <c r="X760" t="s">
        <v>8</v>
      </c>
      <c r="Y760" s="75" t="str">
        <f ca="1">IF(Table15[[#This Row],[Type]]="KILL",IF(_xlfn.NUMBERVALUE(RIGHT(Table15[[#This Row],[Min]],LEN(Table15[[#This Row],[Min]])-FIND("-",Table15[[#This Row],[Min]])))&gt;INDIRECT(ADDRESS(11+MATCH(LEFT(Table15[[#This Row],[Min]],FIND("-",Table15[[#This Row],[Min]])-1),Table1[Content Sku],0),16,1,1,"Entities")),"review","ok"),"ok")</f>
        <v>ok</v>
      </c>
      <c r="AK760" t="s">
        <v>2674</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392</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2727</v>
      </c>
      <c r="V761">
        <v>0</v>
      </c>
      <c r="W761">
        <v>0</v>
      </c>
      <c r="X761" t="s">
        <v>8</v>
      </c>
      <c r="Y761" s="75" t="str">
        <f ca="1">IF(Table15[[#This Row],[Type]]="KILL",IF(_xlfn.NUMBERVALUE(RIGHT(Table15[[#This Row],[Min]],LEN(Table15[[#This Row],[Min]])-FIND("-",Table15[[#This Row],[Min]])))&gt;INDIRECT(ADDRESS(11+MATCH(LEFT(Table15[[#This Row],[Min]],FIND("-",Table15[[#This Row],[Min]])-1),Table1[Content Sku],0),16,1,1,"Entities")),"review","ok"),"ok")</f>
        <v>ok</v>
      </c>
      <c r="AK761" t="s">
        <v>2674</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392</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2727</v>
      </c>
      <c r="V762">
        <v>0</v>
      </c>
      <c r="W762">
        <v>0</v>
      </c>
      <c r="X762" t="s">
        <v>8</v>
      </c>
      <c r="Y762" s="75" t="str">
        <f ca="1">IF(Table15[[#This Row],[Type]]="KILL",IF(_xlfn.NUMBERVALUE(RIGHT(Table15[[#This Row],[Min]],LEN(Table15[[#This Row],[Min]])-FIND("-",Table15[[#This Row],[Min]])))&gt;INDIRECT(ADDRESS(11+MATCH(LEFT(Table15[[#This Row],[Min]],FIND("-",Table15[[#This Row],[Min]])-1),Table1[Content Sku],0),16,1,1,"Entities")),"review","ok"),"ok")</f>
        <v>ok</v>
      </c>
      <c r="AK762" t="s">
        <v>2674</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392</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2727</v>
      </c>
      <c r="V763">
        <v>0</v>
      </c>
      <c r="W763">
        <v>54000</v>
      </c>
      <c r="X763" t="s">
        <v>205</v>
      </c>
      <c r="Y763" s="75" t="str">
        <f ca="1">IF(Table15[[#This Row],[Type]]="KILL",IF(_xlfn.NUMBERVALUE(RIGHT(Table15[[#This Row],[Min]],LEN(Table15[[#This Row],[Min]])-FIND("-",Table15[[#This Row],[Min]])))&gt;INDIRECT(ADDRESS(11+MATCH(LEFT(Table15[[#This Row],[Min]],FIND("-",Table15[[#This Row],[Min]])-1),Table1[Content Sku],0),16,1,1,"Entities")),"review","ok"),"ok")</f>
        <v>ok</v>
      </c>
      <c r="AK763" t="s">
        <v>2674</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392</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2727</v>
      </c>
      <c r="V764">
        <v>0</v>
      </c>
      <c r="W764">
        <v>0</v>
      </c>
      <c r="X764" t="s">
        <v>8</v>
      </c>
      <c r="Y764" s="75" t="str">
        <f ca="1">IF(Table15[[#This Row],[Type]]="KILL",IF(_xlfn.NUMBERVALUE(RIGHT(Table15[[#This Row],[Min]],LEN(Table15[[#This Row],[Min]])-FIND("-",Table15[[#This Row],[Min]])))&gt;INDIRECT(ADDRESS(11+MATCH(LEFT(Table15[[#This Row],[Min]],FIND("-",Table15[[#This Row],[Min]])-1),Table1[Content Sku],0),16,1,1,"Entities")),"review","ok"),"ok")</f>
        <v>ok</v>
      </c>
      <c r="AK764" t="s">
        <v>2674</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392</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2727</v>
      </c>
      <c r="V765">
        <v>0</v>
      </c>
      <c r="W765">
        <v>0</v>
      </c>
      <c r="X765" t="s">
        <v>8</v>
      </c>
      <c r="Y765" s="75" t="str">
        <f ca="1">IF(Table15[[#This Row],[Type]]="KILL",IF(_xlfn.NUMBERVALUE(RIGHT(Table15[[#This Row],[Min]],LEN(Table15[[#This Row],[Min]])-FIND("-",Table15[[#This Row],[Min]])))&gt;INDIRECT(ADDRESS(11+MATCH(LEFT(Table15[[#This Row],[Min]],FIND("-",Table15[[#This Row],[Min]])-1),Table1[Content Sku],0),16,1,1,"Entities")),"review","ok"),"ok")</f>
        <v>ok</v>
      </c>
      <c r="AK765" t="s">
        <v>2674</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392</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2727</v>
      </c>
      <c r="V766">
        <v>0</v>
      </c>
      <c r="W766">
        <v>67000</v>
      </c>
      <c r="X766" t="s">
        <v>205</v>
      </c>
      <c r="Y766" s="75" t="str">
        <f ca="1">IF(Table15[[#This Row],[Type]]="KILL",IF(_xlfn.NUMBERVALUE(RIGHT(Table15[[#This Row],[Min]],LEN(Table15[[#This Row],[Min]])-FIND("-",Table15[[#This Row],[Min]])))&gt;INDIRECT(ADDRESS(11+MATCH(LEFT(Table15[[#This Row],[Min]],FIND("-",Table15[[#This Row],[Min]])-1),Table1[Content Sku],0),16,1,1,"Entities")),"review","ok"),"ok")</f>
        <v>ok</v>
      </c>
      <c r="AK766" t="s">
        <v>2674</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392</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2727</v>
      </c>
      <c r="V767">
        <v>0</v>
      </c>
      <c r="W767">
        <v>40000</v>
      </c>
      <c r="X767" t="s">
        <v>205</v>
      </c>
      <c r="Y767" s="75" t="str">
        <f ca="1">IF(Table15[[#This Row],[Type]]="KILL",IF(_xlfn.NUMBERVALUE(RIGHT(Table15[[#This Row],[Min]],LEN(Table15[[#This Row],[Min]])-FIND("-",Table15[[#This Row],[Min]])))&gt;INDIRECT(ADDRESS(11+MATCH(LEFT(Table15[[#This Row],[Min]],FIND("-",Table15[[#This Row],[Min]])-1),Table1[Content Sku],0),16,1,1,"Entities")),"review","ok"),"ok")</f>
        <v>ok</v>
      </c>
      <c r="AK767" t="s">
        <v>2674</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392</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2727</v>
      </c>
      <c r="V768">
        <v>0</v>
      </c>
      <c r="W768">
        <v>80000</v>
      </c>
      <c r="X768" t="s">
        <v>205</v>
      </c>
      <c r="Y768" s="75" t="str">
        <f ca="1">IF(Table15[[#This Row],[Type]]="KILL",IF(_xlfn.NUMBERVALUE(RIGHT(Table15[[#This Row],[Min]],LEN(Table15[[#This Row],[Min]])-FIND("-",Table15[[#This Row],[Min]])))&gt;INDIRECT(ADDRESS(11+MATCH(LEFT(Table15[[#This Row],[Min]],FIND("-",Table15[[#This Row],[Min]])-1),Table1[Content Sku],0),16,1,1,"Entities")),"review","ok"),"ok")</f>
        <v>ok</v>
      </c>
      <c r="AK768" t="s">
        <v>2674</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392</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2727</v>
      </c>
      <c r="V769">
        <v>0</v>
      </c>
      <c r="W769">
        <v>345</v>
      </c>
      <c r="X769" t="s">
        <v>4439</v>
      </c>
      <c r="Y769" s="75" t="str">
        <f ca="1">IF(Table15[[#This Row],[Type]]="KILL",IF(_xlfn.NUMBERVALUE(RIGHT(Table15[[#This Row],[Min]],LEN(Table15[[#This Row],[Min]])-FIND("-",Table15[[#This Row],[Min]])))&gt;INDIRECT(ADDRESS(11+MATCH(LEFT(Table15[[#This Row],[Min]],FIND("-",Table15[[#This Row],[Min]])-1),Table1[Content Sku],0),16,1,1,"Entities")),"review","ok"),"ok")</f>
        <v>ok</v>
      </c>
      <c r="AK769" t="s">
        <v>2674</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392</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2727</v>
      </c>
      <c r="V770">
        <v>0</v>
      </c>
      <c r="W770">
        <v>0</v>
      </c>
      <c r="X770" t="s">
        <v>8</v>
      </c>
      <c r="Y770" s="75" t="str">
        <f ca="1">IF(Table15[[#This Row],[Type]]="KILL",IF(_xlfn.NUMBERVALUE(RIGHT(Table15[[#This Row],[Min]],LEN(Table15[[#This Row],[Min]])-FIND("-",Table15[[#This Row],[Min]])))&gt;INDIRECT(ADDRESS(11+MATCH(LEFT(Table15[[#This Row],[Min]],FIND("-",Table15[[#This Row],[Min]])-1),Table1[Content Sku],0),16,1,1,"Entities")),"review","ok"),"ok")</f>
        <v>ok</v>
      </c>
      <c r="AK770" t="s">
        <v>2674</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63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2727</v>
      </c>
      <c r="V771">
        <v>0</v>
      </c>
      <c r="W771">
        <v>0</v>
      </c>
      <c r="X771" t="s">
        <v>8</v>
      </c>
      <c r="Y771" s="75" t="str">
        <f ca="1">IF(Table15[[#This Row],[Type]]="KILL",IF(_xlfn.NUMBERVALUE(RIGHT(Table15[[#This Row],[Min]],LEN(Table15[[#This Row],[Min]])-FIND("-",Table15[[#This Row],[Min]])))&gt;INDIRECT(ADDRESS(11+MATCH(LEFT(Table15[[#This Row],[Min]],FIND("-",Table15[[#This Row],[Min]])-1),Table1[Content Sku],0),16,1,1,"Entities")),"review","ok"),"ok")</f>
        <v>ok</v>
      </c>
      <c r="AK771" t="s">
        <v>2674</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63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2727</v>
      </c>
      <c r="V772">
        <v>0</v>
      </c>
      <c r="W772">
        <v>56000</v>
      </c>
      <c r="X772" t="s">
        <v>205</v>
      </c>
      <c r="Y772" s="75" t="str">
        <f ca="1">IF(Table15[[#This Row],[Type]]="KILL",IF(_xlfn.NUMBERVALUE(RIGHT(Table15[[#This Row],[Min]],LEN(Table15[[#This Row],[Min]])-FIND("-",Table15[[#This Row],[Min]])))&gt;INDIRECT(ADDRESS(11+MATCH(LEFT(Table15[[#This Row],[Min]],FIND("-",Table15[[#This Row],[Min]])-1),Table1[Content Sku],0),16,1,1,"Entities")),"review","ok"),"ok")</f>
        <v>ok</v>
      </c>
      <c r="AK772" t="s">
        <v>2674</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2727</v>
      </c>
      <c r="V773">
        <v>39000</v>
      </c>
      <c r="W773">
        <v>0</v>
      </c>
      <c r="X773" t="s">
        <v>205</v>
      </c>
      <c r="Y773" s="75" t="str">
        <f ca="1">IF(Table15[[#This Row],[Type]]="KILL",IF(_xlfn.NUMBERVALUE(RIGHT(Table15[[#This Row],[Min]],LEN(Table15[[#This Row],[Min]])-FIND("-",Table15[[#This Row],[Min]])))&gt;INDIRECT(ADDRESS(11+MATCH(LEFT(Table15[[#This Row],[Min]],FIND("-",Table15[[#This Row],[Min]])-1),Table1[Content Sku],0),16,1,1,"Entities")),"review","ok"),"ok")</f>
        <v>ok</v>
      </c>
      <c r="AK773" t="s">
        <v>2674</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2727</v>
      </c>
      <c r="V774">
        <v>0</v>
      </c>
      <c r="W774">
        <v>0</v>
      </c>
      <c r="X774" t="s">
        <v>8</v>
      </c>
      <c r="Y774" s="75" t="str">
        <f ca="1">IF(Table15[[#This Row],[Type]]="KILL",IF(_xlfn.NUMBERVALUE(RIGHT(Table15[[#This Row],[Min]],LEN(Table15[[#This Row],[Min]])-FIND("-",Table15[[#This Row],[Min]])))&gt;INDIRECT(ADDRESS(11+MATCH(LEFT(Table15[[#This Row],[Min]],FIND("-",Table15[[#This Row],[Min]])-1),Table1[Content Sku],0),16,1,1,"Entities")),"review","ok"),"ok")</f>
        <v>ok</v>
      </c>
      <c r="AK774" t="s">
        <v>2674</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2727</v>
      </c>
      <c r="V775">
        <v>0</v>
      </c>
      <c r="W775">
        <v>0</v>
      </c>
      <c r="X775" t="s">
        <v>8</v>
      </c>
      <c r="Y775" s="75" t="str">
        <f ca="1">IF(Table15[[#This Row],[Type]]="KILL",IF(_xlfn.NUMBERVALUE(RIGHT(Table15[[#This Row],[Min]],LEN(Table15[[#This Row],[Min]])-FIND("-",Table15[[#This Row],[Min]])))&gt;INDIRECT(ADDRESS(11+MATCH(LEFT(Table15[[#This Row],[Min]],FIND("-",Table15[[#This Row],[Min]])-1),Table1[Content Sku],0),16,1,1,"Entities")),"review","ok"),"ok")</f>
        <v>ok</v>
      </c>
      <c r="AK775" t="s">
        <v>2674</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2727</v>
      </c>
      <c r="V776">
        <v>0</v>
      </c>
      <c r="W776">
        <v>290</v>
      </c>
      <c r="X776" t="s">
        <v>4439</v>
      </c>
      <c r="Y776" s="75" t="str">
        <f ca="1">IF(Table15[[#This Row],[Type]]="KILL",IF(_xlfn.NUMBERVALUE(RIGHT(Table15[[#This Row],[Min]],LEN(Table15[[#This Row],[Min]])-FIND("-",Table15[[#This Row],[Min]])))&gt;INDIRECT(ADDRESS(11+MATCH(LEFT(Table15[[#This Row],[Min]],FIND("-",Table15[[#This Row],[Min]])-1),Table1[Content Sku],0),16,1,1,"Entities")),"review","ok"),"ok")</f>
        <v>ok</v>
      </c>
      <c r="AK776" t="s">
        <v>2674</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2727</v>
      </c>
      <c r="V777">
        <v>0</v>
      </c>
      <c r="W777">
        <v>0</v>
      </c>
      <c r="X777" t="s">
        <v>8</v>
      </c>
      <c r="Y777" s="75" t="str">
        <f ca="1">IF(Table15[[#This Row],[Type]]="KILL",IF(_xlfn.NUMBERVALUE(RIGHT(Table15[[#This Row],[Min]],LEN(Table15[[#This Row],[Min]])-FIND("-",Table15[[#This Row],[Min]])))&gt;INDIRECT(ADDRESS(11+MATCH(LEFT(Table15[[#This Row],[Min]],FIND("-",Table15[[#This Row],[Min]])-1),Table1[Content Sku],0),16,1,1,"Entities")),"review","ok"),"ok")</f>
        <v>ok</v>
      </c>
      <c r="AK777" t="s">
        <v>2674</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2727</v>
      </c>
      <c r="V778">
        <v>0</v>
      </c>
      <c r="W778">
        <v>0</v>
      </c>
      <c r="X778" t="s">
        <v>8</v>
      </c>
      <c r="Y778" s="75" t="str">
        <f ca="1">IF(Table15[[#This Row],[Type]]="KILL",IF(_xlfn.NUMBERVALUE(RIGHT(Table15[[#This Row],[Min]],LEN(Table15[[#This Row],[Min]])-FIND("-",Table15[[#This Row],[Min]])))&gt;INDIRECT(ADDRESS(11+MATCH(LEFT(Table15[[#This Row],[Min]],FIND("-",Table15[[#This Row],[Min]])-1),Table1[Content Sku],0),16,1,1,"Entities")),"review","ok"),"ok")</f>
        <v>ok</v>
      </c>
      <c r="AK778" t="s">
        <v>2674</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2727</v>
      </c>
      <c r="V779">
        <v>0</v>
      </c>
      <c r="W779">
        <v>43000</v>
      </c>
      <c r="X779" t="s">
        <v>205</v>
      </c>
      <c r="Y779" s="75" t="str">
        <f ca="1">IF(Table15[[#This Row],[Type]]="KILL",IF(_xlfn.NUMBERVALUE(RIGHT(Table15[[#This Row],[Min]],LEN(Table15[[#This Row],[Min]])-FIND("-",Table15[[#This Row],[Min]])))&gt;INDIRECT(ADDRESS(11+MATCH(LEFT(Table15[[#This Row],[Min]],FIND("-",Table15[[#This Row],[Min]])-1),Table1[Content Sku],0),16,1,1,"Entities")),"review","ok"),"ok")</f>
        <v>ok</v>
      </c>
      <c r="AK779" t="s">
        <v>2674</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2727</v>
      </c>
      <c r="V780">
        <v>0</v>
      </c>
      <c r="W780">
        <v>32000</v>
      </c>
      <c r="X780" t="s">
        <v>205</v>
      </c>
      <c r="Y780" s="75" t="str">
        <f ca="1">IF(Table15[[#This Row],[Type]]="KILL",IF(_xlfn.NUMBERVALUE(RIGHT(Table15[[#This Row],[Min]],LEN(Table15[[#This Row],[Min]])-FIND("-",Table15[[#This Row],[Min]])))&gt;INDIRECT(ADDRESS(11+MATCH(LEFT(Table15[[#This Row],[Min]],FIND("-",Table15[[#This Row],[Min]])-1),Table1[Content Sku],0),16,1,1,"Entities")),"review","ok"),"ok")</f>
        <v>ok</v>
      </c>
      <c r="AK780" t="s">
        <v>2674</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2727</v>
      </c>
      <c r="V781">
        <v>0</v>
      </c>
      <c r="W781">
        <v>0</v>
      </c>
      <c r="X781" t="s">
        <v>8</v>
      </c>
      <c r="Y781" s="75" t="str">
        <f ca="1">IF(Table15[[#This Row],[Type]]="KILL",IF(_xlfn.NUMBERVALUE(RIGHT(Table15[[#This Row],[Min]],LEN(Table15[[#This Row],[Min]])-FIND("-",Table15[[#This Row],[Min]])))&gt;INDIRECT(ADDRESS(11+MATCH(LEFT(Table15[[#This Row],[Min]],FIND("-",Table15[[#This Row],[Min]])-1),Table1[Content Sku],0),16,1,1,"Entities")),"review","ok"),"ok")</f>
        <v>ok</v>
      </c>
      <c r="AK781" t="s">
        <v>2674</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2727</v>
      </c>
      <c r="V782">
        <v>71000</v>
      </c>
      <c r="W782">
        <v>0</v>
      </c>
      <c r="X782" t="s">
        <v>205</v>
      </c>
      <c r="Y782" s="75" t="str">
        <f ca="1">IF(Table15[[#This Row],[Type]]="KILL",IF(_xlfn.NUMBERVALUE(RIGHT(Table15[[#This Row],[Min]],LEN(Table15[[#This Row],[Min]])-FIND("-",Table15[[#This Row],[Min]])))&gt;INDIRECT(ADDRESS(11+MATCH(LEFT(Table15[[#This Row],[Min]],FIND("-",Table15[[#This Row],[Min]])-1),Table1[Content Sku],0),16,1,1,"Entities")),"review","ok"),"ok")</f>
        <v>ok</v>
      </c>
      <c r="AK782" t="s">
        <v>2674</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2727</v>
      </c>
      <c r="V783">
        <v>0</v>
      </c>
      <c r="W783">
        <v>0</v>
      </c>
      <c r="X783" t="s">
        <v>8</v>
      </c>
      <c r="Y783" s="75" t="str">
        <f ca="1">IF(Table15[[#This Row],[Type]]="KILL",IF(_xlfn.NUMBERVALUE(RIGHT(Table15[[#This Row],[Min]],LEN(Table15[[#This Row],[Min]])-FIND("-",Table15[[#This Row],[Min]])))&gt;INDIRECT(ADDRESS(11+MATCH(LEFT(Table15[[#This Row],[Min]],FIND("-",Table15[[#This Row],[Min]])-1),Table1[Content Sku],0),16,1,1,"Entities")),"review","ok"),"ok")</f>
        <v>ok</v>
      </c>
      <c r="AK783" t="s">
        <v>2674</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2727</v>
      </c>
      <c r="V784">
        <v>0</v>
      </c>
      <c r="W784">
        <v>0</v>
      </c>
      <c r="X784" t="s">
        <v>8</v>
      </c>
      <c r="Y784" s="75" t="str">
        <f ca="1">IF(Table15[[#This Row],[Type]]="KILL",IF(_xlfn.NUMBERVALUE(RIGHT(Table15[[#This Row],[Min]],LEN(Table15[[#This Row],[Min]])-FIND("-",Table15[[#This Row],[Min]])))&gt;INDIRECT(ADDRESS(11+MATCH(LEFT(Table15[[#This Row],[Min]],FIND("-",Table15[[#This Row],[Min]])-1),Table1[Content Sku],0),16,1,1,"Entities")),"review","ok"),"ok")</f>
        <v>ok</v>
      </c>
      <c r="AK784" t="s">
        <v>2674</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2727</v>
      </c>
      <c r="V785">
        <v>0</v>
      </c>
      <c r="W785">
        <v>0</v>
      </c>
      <c r="X785" t="s">
        <v>8</v>
      </c>
      <c r="Y785" s="75" t="str">
        <f ca="1">IF(Table15[[#This Row],[Type]]="KILL",IF(_xlfn.NUMBERVALUE(RIGHT(Table15[[#This Row],[Min]],LEN(Table15[[#This Row],[Min]])-FIND("-",Table15[[#This Row],[Min]])))&gt;INDIRECT(ADDRESS(11+MATCH(LEFT(Table15[[#This Row],[Min]],FIND("-",Table15[[#This Row],[Min]])-1),Table1[Content Sku],0),16,1,1,"Entities")),"review","ok"),"ok")</f>
        <v>ok</v>
      </c>
      <c r="AK785" t="s">
        <v>2674</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2727</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2674</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404</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2727</v>
      </c>
      <c r="V787">
        <v>0</v>
      </c>
      <c r="W787">
        <v>47000</v>
      </c>
      <c r="X787" t="s">
        <v>205</v>
      </c>
      <c r="Y787" s="75" t="str">
        <f ca="1">IF(Table15[[#This Row],[Type]]="KILL",IF(_xlfn.NUMBERVALUE(RIGHT(Table15[[#This Row],[Min]],LEN(Table15[[#This Row],[Min]])-FIND("-",Table15[[#This Row],[Min]])))&gt;INDIRECT(ADDRESS(11+MATCH(LEFT(Table15[[#This Row],[Min]],FIND("-",Table15[[#This Row],[Min]])-1),Table1[Content Sku],0),16,1,1,"Entities")),"review","ok"),"ok")</f>
        <v>ok</v>
      </c>
      <c r="AK787" t="s">
        <v>2674</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404</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2727</v>
      </c>
      <c r="V788">
        <v>0</v>
      </c>
      <c r="W788">
        <v>40000</v>
      </c>
      <c r="X788" t="s">
        <v>205</v>
      </c>
      <c r="Y788" s="75" t="str">
        <f ca="1">IF(Table15[[#This Row],[Type]]="KILL",IF(_xlfn.NUMBERVALUE(RIGHT(Table15[[#This Row],[Min]],LEN(Table15[[#This Row],[Min]])-FIND("-",Table15[[#This Row],[Min]])))&gt;INDIRECT(ADDRESS(11+MATCH(LEFT(Table15[[#This Row],[Min]],FIND("-",Table15[[#This Row],[Min]])-1),Table1[Content Sku],0),16,1,1,"Entities")),"review","ok"),"ok")</f>
        <v>ok</v>
      </c>
      <c r="AK788" t="s">
        <v>2674</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404</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2727</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2674</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404</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2727</v>
      </c>
      <c r="V790">
        <v>0</v>
      </c>
      <c r="W790">
        <v>320</v>
      </c>
      <c r="X790" t="s">
        <v>4439</v>
      </c>
      <c r="Y790" s="75" t="str">
        <f ca="1">IF(Table15[[#This Row],[Type]]="KILL",IF(_xlfn.NUMBERVALUE(RIGHT(Table15[[#This Row],[Min]],LEN(Table15[[#This Row],[Min]])-FIND("-",Table15[[#This Row],[Min]])))&gt;INDIRECT(ADDRESS(11+MATCH(LEFT(Table15[[#This Row],[Min]],FIND("-",Table15[[#This Row],[Min]])-1),Table1[Content Sku],0),16,1,1,"Entities")),"review","ok"),"ok")</f>
        <v>ok</v>
      </c>
      <c r="AK790" t="s">
        <v>2674</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404</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2727</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2674</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404</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2727</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2674</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404</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2727</v>
      </c>
      <c r="V793">
        <v>280</v>
      </c>
      <c r="W793">
        <v>0</v>
      </c>
      <c r="X793" t="s">
        <v>4439</v>
      </c>
      <c r="Y793" s="75" t="str">
        <f ca="1">IF(Table15[[#This Row],[Type]]="KILL",IF(_xlfn.NUMBERVALUE(RIGHT(Table15[[#This Row],[Min]],LEN(Table15[[#This Row],[Min]])-FIND("-",Table15[[#This Row],[Min]])))&gt;INDIRECT(ADDRESS(11+MATCH(LEFT(Table15[[#This Row],[Min]],FIND("-",Table15[[#This Row],[Min]])-1),Table1[Content Sku],0),16,1,1,"Entities")),"review","ok"),"ok")</f>
        <v>ok</v>
      </c>
      <c r="AK793" t="s">
        <v>2674</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404</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2727</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2671</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404</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2727</v>
      </c>
      <c r="V795">
        <v>0</v>
      </c>
      <c r="W795">
        <v>240</v>
      </c>
      <c r="X795" t="s">
        <v>4439</v>
      </c>
      <c r="Y795" s="75" t="str">
        <f ca="1">IF(Table15[[#This Row],[Type]]="KILL",IF(_xlfn.NUMBERVALUE(RIGHT(Table15[[#This Row],[Min]],LEN(Table15[[#This Row],[Min]])-FIND("-",Table15[[#This Row],[Min]])))&gt;INDIRECT(ADDRESS(11+MATCH(LEFT(Table15[[#This Row],[Min]],FIND("-",Table15[[#This Row],[Min]])-1),Table1[Content Sku],0),16,1,1,"Entities")),"review","ok"),"ok")</f>
        <v>ok</v>
      </c>
      <c r="AK795" t="s">
        <v>2671</v>
      </c>
      <c r="AL795">
        <v>0</v>
      </c>
      <c r="AM795">
        <v>27000</v>
      </c>
      <c r="AN795" t="s">
        <v>205</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404</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2727</v>
      </c>
      <c r="V796">
        <v>0</v>
      </c>
      <c r="W796">
        <v>0</v>
      </c>
      <c r="X796" t="s">
        <v>8</v>
      </c>
      <c r="Y796" s="75" t="str">
        <f ca="1">IF(Table15[[#This Row],[Type]]="KILL",IF(_xlfn.NUMBERVALUE(RIGHT(Table15[[#This Row],[Min]],LEN(Table15[[#This Row],[Min]])-FIND("-",Table15[[#This Row],[Min]])))&gt;INDIRECT(ADDRESS(11+MATCH(LEFT(Table15[[#This Row],[Min]],FIND("-",Table15[[#This Row],[Min]])-1),Table1[Content Sku],0),16,1,1,"Entities")),"review","ok"),"ok")</f>
        <v>ok</v>
      </c>
      <c r="AK796" t="s">
        <v>2671</v>
      </c>
      <c r="AL796">
        <v>0</v>
      </c>
      <c r="AM796">
        <v>20000</v>
      </c>
      <c r="AN796" t="s">
        <v>205</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404</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2727</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2671</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404</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2727</v>
      </c>
      <c r="V798">
        <v>0</v>
      </c>
      <c r="W798">
        <v>0</v>
      </c>
      <c r="X798" t="s">
        <v>8</v>
      </c>
      <c r="Y798" s="75" t="str">
        <f ca="1">IF(Table15[[#This Row],[Type]]="KILL",IF(_xlfn.NUMBERVALUE(RIGHT(Table15[[#This Row],[Min]],LEN(Table15[[#This Row],[Min]])-FIND("-",Table15[[#This Row],[Min]])))&gt;INDIRECT(ADDRESS(11+MATCH(LEFT(Table15[[#This Row],[Min]],FIND("-",Table15[[#This Row],[Min]])-1),Table1[Content Sku],0),16,1,1,"Entities")),"review","ok"),"ok")</f>
        <v>ok</v>
      </c>
      <c r="AK798" t="s">
        <v>2671</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404</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2727</v>
      </c>
      <c r="V799">
        <v>57000</v>
      </c>
      <c r="W799">
        <v>0</v>
      </c>
      <c r="X799" t="s">
        <v>205</v>
      </c>
      <c r="Y799" s="75" t="str">
        <f ca="1">IF(Table15[[#This Row],[Type]]="KILL",IF(_xlfn.NUMBERVALUE(RIGHT(Table15[[#This Row],[Min]],LEN(Table15[[#This Row],[Min]])-FIND("-",Table15[[#This Row],[Min]])))&gt;INDIRECT(ADDRESS(11+MATCH(LEFT(Table15[[#This Row],[Min]],FIND("-",Table15[[#This Row],[Min]])-1),Table1[Content Sku],0),16,1,1,"Entities")),"review","ok"),"ok")</f>
        <v>ok</v>
      </c>
      <c r="AK799" t="s">
        <v>2671</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404</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2727</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2671</v>
      </c>
      <c r="AL800">
        <v>31000</v>
      </c>
      <c r="AM800">
        <v>0</v>
      </c>
      <c r="AN800" t="s">
        <v>205</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404</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2727</v>
      </c>
      <c r="V801">
        <v>0</v>
      </c>
      <c r="W801">
        <v>0</v>
      </c>
      <c r="X801" t="s">
        <v>8</v>
      </c>
      <c r="Y801" s="75" t="str">
        <f ca="1">IF(Table15[[#This Row],[Type]]="KILL",IF(_xlfn.NUMBERVALUE(RIGHT(Table15[[#This Row],[Min]],LEN(Table15[[#This Row],[Min]])-FIND("-",Table15[[#This Row],[Min]])))&gt;INDIRECT(ADDRESS(11+MATCH(LEFT(Table15[[#This Row],[Min]],FIND("-",Table15[[#This Row],[Min]])-1),Table1[Content Sku],0),16,1,1,"Entities")),"review","ok"),"ok")</f>
        <v>ok</v>
      </c>
      <c r="AK801" t="s">
        <v>2671</v>
      </c>
      <c r="AL801">
        <v>43000</v>
      </c>
      <c r="AM801">
        <v>0</v>
      </c>
      <c r="AN801" t="s">
        <v>205</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404</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2727</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2671</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46</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2727</v>
      </c>
      <c r="V803">
        <v>0</v>
      </c>
      <c r="W803">
        <v>50000</v>
      </c>
      <c r="X803" t="s">
        <v>205</v>
      </c>
      <c r="Y803" s="75" t="str">
        <f ca="1">IF(Table15[[#This Row],[Type]]="KILL",IF(_xlfn.NUMBERVALUE(RIGHT(Table15[[#This Row],[Min]],LEN(Table15[[#This Row],[Min]])-FIND("-",Table15[[#This Row],[Min]])))&gt;INDIRECT(ADDRESS(11+MATCH(LEFT(Table15[[#This Row],[Min]],FIND("-",Table15[[#This Row],[Min]])-1),Table1[Content Sku],0),16,1,1,"Entities")),"review","ok"),"ok")</f>
        <v>ok</v>
      </c>
      <c r="AK803" t="s">
        <v>2671</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46</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2727</v>
      </c>
      <c r="V804">
        <v>15000</v>
      </c>
      <c r="W804">
        <v>0</v>
      </c>
      <c r="X804" t="s">
        <v>205</v>
      </c>
      <c r="Y804" s="75" t="str">
        <f ca="1">IF(Table15[[#This Row],[Type]]="KILL",IF(_xlfn.NUMBERVALUE(RIGHT(Table15[[#This Row],[Min]],LEN(Table15[[#This Row],[Min]])-FIND("-",Table15[[#This Row],[Min]])))&gt;INDIRECT(ADDRESS(11+MATCH(LEFT(Table15[[#This Row],[Min]],FIND("-",Table15[[#This Row],[Min]])-1),Table1[Content Sku],0),16,1,1,"Entities")),"review","ok"),"ok")</f>
        <v>ok</v>
      </c>
      <c r="AK804" t="s">
        <v>2671</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2727</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2671</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2727</v>
      </c>
      <c r="V806">
        <v>0</v>
      </c>
      <c r="W806">
        <v>43000</v>
      </c>
      <c r="X806" t="s">
        <v>205</v>
      </c>
      <c r="Y806" s="75" t="str">
        <f ca="1">IF(Table15[[#This Row],[Type]]="KILL",IF(_xlfn.NUMBERVALUE(RIGHT(Table15[[#This Row],[Min]],LEN(Table15[[#This Row],[Min]])-FIND("-",Table15[[#This Row],[Min]])))&gt;INDIRECT(ADDRESS(11+MATCH(LEFT(Table15[[#This Row],[Min]],FIND("-",Table15[[#This Row],[Min]])-1),Table1[Content Sku],0),16,1,1,"Entities")),"review","ok"),"ok")</f>
        <v>ok</v>
      </c>
      <c r="AK806" t="s">
        <v>2671</v>
      </c>
      <c r="AL806">
        <v>0</v>
      </c>
      <c r="AM806">
        <v>30000</v>
      </c>
      <c r="AN806" t="s">
        <v>205</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2727</v>
      </c>
      <c r="V807">
        <v>0</v>
      </c>
      <c r="W807">
        <v>32000</v>
      </c>
      <c r="X807" t="s">
        <v>205</v>
      </c>
      <c r="Y807" s="75" t="str">
        <f ca="1">IF(Table15[[#This Row],[Type]]="KILL",IF(_xlfn.NUMBERVALUE(RIGHT(Table15[[#This Row],[Min]],LEN(Table15[[#This Row],[Min]])-FIND("-",Table15[[#This Row],[Min]])))&gt;INDIRECT(ADDRESS(11+MATCH(LEFT(Table15[[#This Row],[Min]],FIND("-",Table15[[#This Row],[Min]])-1),Table1[Content Sku],0),16,1,1,"Entities")),"review","ok"),"ok")</f>
        <v>ok</v>
      </c>
      <c r="AK807" t="s">
        <v>2671</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2727</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2671</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2727</v>
      </c>
      <c r="V809">
        <v>0</v>
      </c>
      <c r="W809">
        <v>250</v>
      </c>
      <c r="X809" t="s">
        <v>4439</v>
      </c>
      <c r="Y809" s="75" t="str">
        <f ca="1">IF(Table15[[#This Row],[Type]]="KILL",IF(_xlfn.NUMBERVALUE(RIGHT(Table15[[#This Row],[Min]],LEN(Table15[[#This Row],[Min]])-FIND("-",Table15[[#This Row],[Min]])))&gt;INDIRECT(ADDRESS(11+MATCH(LEFT(Table15[[#This Row],[Min]],FIND("-",Table15[[#This Row],[Min]])-1),Table1[Content Sku],0),16,1,1,"Entities")),"review","ok"),"ok")</f>
        <v>ok</v>
      </c>
      <c r="AK809" t="s">
        <v>2671</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2727</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2671</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2727</v>
      </c>
      <c r="V811">
        <v>0</v>
      </c>
      <c r="W811">
        <v>0</v>
      </c>
      <c r="X811" t="s">
        <v>8</v>
      </c>
      <c r="Y811" s="75" t="str">
        <f ca="1">IF(Table15[[#This Row],[Type]]="KILL",IF(_xlfn.NUMBERVALUE(RIGHT(Table15[[#This Row],[Min]],LEN(Table15[[#This Row],[Min]])-FIND("-",Table15[[#This Row],[Min]])))&gt;INDIRECT(ADDRESS(11+MATCH(LEFT(Table15[[#This Row],[Min]],FIND("-",Table15[[#This Row],[Min]])-1),Table1[Content Sku],0),16,1,1,"Entities")),"review","ok"),"ok")</f>
        <v>ok</v>
      </c>
      <c r="AK811" t="s">
        <v>2684</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2727</v>
      </c>
      <c r="V812">
        <v>0</v>
      </c>
      <c r="W812">
        <v>0</v>
      </c>
      <c r="X812" t="s">
        <v>8</v>
      </c>
      <c r="Y812" s="75" t="str">
        <f ca="1">IF(Table15[[#This Row],[Type]]="KILL",IF(_xlfn.NUMBERVALUE(RIGHT(Table15[[#This Row],[Min]],LEN(Table15[[#This Row],[Min]])-FIND("-",Table15[[#This Row],[Min]])))&gt;INDIRECT(ADDRESS(11+MATCH(LEFT(Table15[[#This Row],[Min]],FIND("-",Table15[[#This Row],[Min]])-1),Table1[Content Sku],0),16,1,1,"Entities")),"review","ok"),"ok")</f>
        <v>ok</v>
      </c>
      <c r="AK812" t="s">
        <v>2684</v>
      </c>
      <c r="AL812">
        <v>20000</v>
      </c>
      <c r="AM812">
        <v>0</v>
      </c>
      <c r="AN812" t="s">
        <v>205</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2727</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2684</v>
      </c>
      <c r="AL813">
        <v>40000</v>
      </c>
      <c r="AM813">
        <v>0</v>
      </c>
      <c r="AN813" t="s">
        <v>205</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2727</v>
      </c>
      <c r="V814">
        <v>0</v>
      </c>
      <c r="W814">
        <v>40000</v>
      </c>
      <c r="X814" t="s">
        <v>205</v>
      </c>
      <c r="Y814" s="75" t="str">
        <f ca="1">IF(Table15[[#This Row],[Type]]="KILL",IF(_xlfn.NUMBERVALUE(RIGHT(Table15[[#This Row],[Min]],LEN(Table15[[#This Row],[Min]])-FIND("-",Table15[[#This Row],[Min]])))&gt;INDIRECT(ADDRESS(11+MATCH(LEFT(Table15[[#This Row],[Min]],FIND("-",Table15[[#This Row],[Min]])-1),Table1[Content Sku],0),16,1,1,"Entities")),"review","ok"),"ok")</f>
        <v>ok</v>
      </c>
      <c r="AK814" t="s">
        <v>2684</v>
      </c>
      <c r="AL814">
        <v>24000</v>
      </c>
      <c r="AM814">
        <v>0</v>
      </c>
      <c r="AN814" t="s">
        <v>205</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2727</v>
      </c>
      <c r="V815">
        <v>0</v>
      </c>
      <c r="W815">
        <v>0</v>
      </c>
      <c r="X815" t="s">
        <v>8</v>
      </c>
      <c r="Y815" s="75" t="str">
        <f ca="1">IF(Table15[[#This Row],[Type]]="KILL",IF(_xlfn.NUMBERVALUE(RIGHT(Table15[[#This Row],[Min]],LEN(Table15[[#This Row],[Min]])-FIND("-",Table15[[#This Row],[Min]])))&gt;INDIRECT(ADDRESS(11+MATCH(LEFT(Table15[[#This Row],[Min]],FIND("-",Table15[[#This Row],[Min]])-1),Table1[Content Sku],0),16,1,1,"Entities")),"review","ok"),"ok")</f>
        <v>ok</v>
      </c>
      <c r="AK815" t="s">
        <v>2684</v>
      </c>
      <c r="AL815">
        <v>40000</v>
      </c>
      <c r="AM815">
        <v>0</v>
      </c>
      <c r="AN815" t="s">
        <v>205</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2727</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2684</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2727</v>
      </c>
      <c r="V817">
        <v>0</v>
      </c>
      <c r="W817">
        <v>0</v>
      </c>
      <c r="X817" t="s">
        <v>8</v>
      </c>
      <c r="Y817" s="75" t="str">
        <f ca="1">IF(Table15[[#This Row],[Type]]="KILL",IF(_xlfn.NUMBERVALUE(RIGHT(Table15[[#This Row],[Min]],LEN(Table15[[#This Row],[Min]])-FIND("-",Table15[[#This Row],[Min]])))&gt;INDIRECT(ADDRESS(11+MATCH(LEFT(Table15[[#This Row],[Min]],FIND("-",Table15[[#This Row],[Min]])-1),Table1[Content Sku],0),16,1,1,"Entities")),"review","ok"),"ok")</f>
        <v>ok</v>
      </c>
      <c r="AK817" t="s">
        <v>2684</v>
      </c>
      <c r="AL817">
        <v>35000</v>
      </c>
      <c r="AM817">
        <v>0</v>
      </c>
      <c r="AN817" t="s">
        <v>205</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2727</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2680</v>
      </c>
      <c r="AL818">
        <v>0</v>
      </c>
      <c r="AM818">
        <v>78000</v>
      </c>
      <c r="AN818" t="s">
        <v>205</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2727</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2680</v>
      </c>
      <c r="AL819" t="s">
        <v>5018</v>
      </c>
      <c r="AM819" t="s">
        <v>4477</v>
      </c>
      <c r="AN819" t="s">
        <v>4478</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2727</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2680</v>
      </c>
      <c r="AL820">
        <v>30000</v>
      </c>
      <c r="AM820">
        <v>0</v>
      </c>
      <c r="AN820" t="s">
        <v>205</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2727</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2680</v>
      </c>
      <c r="AL821" t="s">
        <v>5019</v>
      </c>
      <c r="AM821" t="s">
        <v>4477</v>
      </c>
      <c r="AN821" t="s">
        <v>4478</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2727</v>
      </c>
      <c r="V822">
        <v>0</v>
      </c>
      <c r="W822">
        <v>320</v>
      </c>
      <c r="X822" t="s">
        <v>4439</v>
      </c>
      <c r="Y822" s="75" t="str">
        <f ca="1">IF(Table15[[#This Row],[Type]]="KILL",IF(_xlfn.NUMBERVALUE(RIGHT(Table15[[#This Row],[Min]],LEN(Table15[[#This Row],[Min]])-FIND("-",Table15[[#This Row],[Min]])))&gt;INDIRECT(ADDRESS(11+MATCH(LEFT(Table15[[#This Row],[Min]],FIND("-",Table15[[#This Row],[Min]])-1),Table1[Content Sku],0),16,1,1,"Entities")),"review","ok"),"ok")</f>
        <v>ok</v>
      </c>
      <c r="AK822" t="s">
        <v>2680</v>
      </c>
      <c r="AL822">
        <v>38000</v>
      </c>
      <c r="AM822">
        <v>0</v>
      </c>
      <c r="AN822" t="s">
        <v>205</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2727</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2680</v>
      </c>
      <c r="AL823">
        <v>0</v>
      </c>
      <c r="AM823">
        <v>98000</v>
      </c>
      <c r="AN823" t="s">
        <v>205</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39</v>
      </c>
      <c r="F824">
        <v>5000</v>
      </c>
      <c r="G824">
        <v>0</v>
      </c>
      <c r="H824" t="s">
        <v>205</v>
      </c>
      <c r="I824" s="75" t="str">
        <f ca="1">IF(Table7[[#This Row],[Type]]="KILL",IF(_xlfn.NUMBERVALUE(RIGHT(Table7[[#This Row],[Min]],LEN(Table7[[#This Row],[Min]])-FIND("-",Table7[[#This Row],[Min]])))&gt;INDIRECT(ADDRESS(11+MATCH(LEFT(Table7[[#This Row],[Min]],FIND("-",Table7[[#This Row],[Min]])-1),Table1[Content Sku],0),14,1,1,"Entities")),"review","ok"),"ok")</f>
        <v>ok</v>
      </c>
      <c r="U824" t="s">
        <v>2727</v>
      </c>
      <c r="V824">
        <v>0</v>
      </c>
      <c r="W824">
        <v>32000</v>
      </c>
      <c r="X824" t="s">
        <v>205</v>
      </c>
      <c r="Y824" s="75" t="str">
        <f ca="1">IF(Table15[[#This Row],[Type]]="KILL",IF(_xlfn.NUMBERVALUE(RIGHT(Table15[[#This Row],[Min]],LEN(Table15[[#This Row],[Min]])-FIND("-",Table15[[#This Row],[Min]])))&gt;INDIRECT(ADDRESS(11+MATCH(LEFT(Table15[[#This Row],[Min]],FIND("-",Table15[[#This Row],[Min]])-1),Table1[Content Sku],0),16,1,1,"Entities")),"review","ok"),"ok")</f>
        <v>ok</v>
      </c>
      <c r="AK824" t="s">
        <v>2680</v>
      </c>
      <c r="AL824" t="s">
        <v>5022</v>
      </c>
      <c r="AM824" t="s">
        <v>4477</v>
      </c>
      <c r="AN824" t="s">
        <v>4478</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39</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2727</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2680</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0</v>
      </c>
      <c r="G826">
        <v>4000</v>
      </c>
      <c r="H826" t="s">
        <v>205</v>
      </c>
      <c r="I826" s="75" t="str">
        <f ca="1">IF(Table7[[#This Row],[Type]]="KILL",IF(_xlfn.NUMBERVALUE(RIGHT(Table7[[#This Row],[Min]],LEN(Table7[[#This Row],[Min]])-FIND("-",Table7[[#This Row],[Min]])))&gt;INDIRECT(ADDRESS(11+MATCH(LEFT(Table7[[#This Row],[Min]],FIND("-",Table7[[#This Row],[Min]])-1),Table1[Content Sku],0),14,1,1,"Entities")),"review","ok"),"ok")</f>
        <v>ok</v>
      </c>
      <c r="U826" t="s">
        <v>477</v>
      </c>
      <c r="V826">
        <v>330</v>
      </c>
      <c r="W826">
        <v>0</v>
      </c>
      <c r="X826" t="s">
        <v>4439</v>
      </c>
      <c r="Y826" s="75" t="str">
        <f ca="1">IF(Table15[[#This Row],[Type]]="KILL",IF(_xlfn.NUMBERVALUE(RIGHT(Table15[[#This Row],[Min]],LEN(Table15[[#This Row],[Min]])-FIND("-",Table15[[#This Row],[Min]])))&gt;INDIRECT(ADDRESS(11+MATCH(LEFT(Table15[[#This Row],[Min]],FIND("-",Table15[[#This Row],[Min]])-1),Table1[Content Sku],0),16,1,1,"Entities")),"review","ok"),"ok")</f>
        <v>ok</v>
      </c>
      <c r="AK826" t="s">
        <v>2680</v>
      </c>
      <c r="AL826" t="s">
        <v>4481</v>
      </c>
      <c r="AM826" t="s">
        <v>4482</v>
      </c>
      <c r="AN826" t="s">
        <v>4478</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10000</v>
      </c>
      <c r="G827">
        <v>0</v>
      </c>
      <c r="H827" t="s">
        <v>205</v>
      </c>
      <c r="I827" s="75" t="str">
        <f ca="1">IF(Table7[[#This Row],[Type]]="KILL",IF(_xlfn.NUMBERVALUE(RIGHT(Table7[[#This Row],[Min]],LEN(Table7[[#This Row],[Min]])-FIND("-",Table7[[#This Row],[Min]])))&gt;INDIRECT(ADDRESS(11+MATCH(LEFT(Table7[[#This Row],[Min]],FIND("-",Table7[[#This Row],[Min]])-1),Table1[Content Sku],0),14,1,1,"Entities")),"review","ok"),"ok")</f>
        <v>ok</v>
      </c>
      <c r="U827" t="s">
        <v>477</v>
      </c>
      <c r="V827">
        <v>38000</v>
      </c>
      <c r="W827">
        <v>0</v>
      </c>
      <c r="X827" t="s">
        <v>205</v>
      </c>
      <c r="Y827" s="75" t="str">
        <f ca="1">IF(Table15[[#This Row],[Type]]="KILL",IF(_xlfn.NUMBERVALUE(RIGHT(Table15[[#This Row],[Min]],LEN(Table15[[#This Row],[Min]])-FIND("-",Table15[[#This Row],[Min]])))&gt;INDIRECT(ADDRESS(11+MATCH(LEFT(Table15[[#This Row],[Min]],FIND("-",Table15[[#This Row],[Min]])-1),Table1[Content Sku],0),16,1,1,"Entities")),"review","ok"),"ok")</f>
        <v>ok</v>
      </c>
      <c r="AK827" t="s">
        <v>2680</v>
      </c>
      <c r="AL827" t="s">
        <v>4479</v>
      </c>
      <c r="AM827" t="s">
        <v>4484</v>
      </c>
      <c r="AN827" t="s">
        <v>4478</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0</v>
      </c>
      <c r="H828" t="s">
        <v>8</v>
      </c>
      <c r="I828" s="75" t="str">
        <f ca="1">IF(Table7[[#This Row],[Type]]="KILL",IF(_xlfn.NUMBERVALUE(RIGHT(Table7[[#This Row],[Min]],LEN(Table7[[#This Row],[Min]])-FIND("-",Table7[[#This Row],[Min]])))&gt;INDIRECT(ADDRESS(11+MATCH(LEFT(Table7[[#This Row],[Min]],FIND("-",Table7[[#This Row],[Min]])-1),Table1[Content Sku],0),14,1,1,"Entities")),"review","ok"),"ok")</f>
        <v>ok</v>
      </c>
      <c r="U828" t="s">
        <v>477</v>
      </c>
      <c r="V828">
        <v>42000</v>
      </c>
      <c r="W828">
        <v>0</v>
      </c>
      <c r="X828" t="s">
        <v>205</v>
      </c>
      <c r="Y828" s="75" t="str">
        <f ca="1">IF(Table15[[#This Row],[Type]]="KILL",IF(_xlfn.NUMBERVALUE(RIGHT(Table15[[#This Row],[Min]],LEN(Table15[[#This Row],[Min]])-FIND("-",Table15[[#This Row],[Min]])))&gt;INDIRECT(ADDRESS(11+MATCH(LEFT(Table15[[#This Row],[Min]],FIND("-",Table15[[#This Row],[Min]])-1),Table1[Content Sku],0),16,1,1,"Entities")),"review","ok"),"ok")</f>
        <v>ok</v>
      </c>
      <c r="AK828" t="s">
        <v>2680</v>
      </c>
      <c r="AL828">
        <v>0</v>
      </c>
      <c r="AM828">
        <v>76000</v>
      </c>
      <c r="AN828" t="s">
        <v>205</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0</v>
      </c>
      <c r="G829">
        <v>0</v>
      </c>
      <c r="H829" t="s">
        <v>8</v>
      </c>
      <c r="I829" s="75" t="str">
        <f ca="1">IF(Table7[[#This Row],[Type]]="KILL",IF(_xlfn.NUMBERVALUE(RIGHT(Table7[[#This Row],[Min]],LEN(Table7[[#This Row],[Min]])-FIND("-",Table7[[#This Row],[Min]])))&gt;INDIRECT(ADDRESS(11+MATCH(LEFT(Table7[[#This Row],[Min]],FIND("-",Table7[[#This Row],[Min]])-1),Table1[Content Sku],0),14,1,1,"Entities")),"review","ok"),"ok")</f>
        <v>ok</v>
      </c>
      <c r="U829" t="s">
        <v>2773</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2680</v>
      </c>
      <c r="AL829">
        <v>50000</v>
      </c>
      <c r="AM829">
        <v>0</v>
      </c>
      <c r="AN829" t="s">
        <v>205</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2773</v>
      </c>
      <c r="V830">
        <v>0</v>
      </c>
      <c r="W830">
        <v>0</v>
      </c>
      <c r="X830" t="s">
        <v>8</v>
      </c>
      <c r="Y830" s="75" t="str">
        <f ca="1">IF(Table15[[#This Row],[Type]]="KILL",IF(_xlfn.NUMBERVALUE(RIGHT(Table15[[#This Row],[Min]],LEN(Table15[[#This Row],[Min]])-FIND("-",Table15[[#This Row],[Min]])))&gt;INDIRECT(ADDRESS(11+MATCH(LEFT(Table15[[#This Row],[Min]],FIND("-",Table15[[#This Row],[Min]])-1),Table1[Content Sku],0),16,1,1,"Entities")),"review","ok"),"ok")</f>
        <v>ok</v>
      </c>
      <c r="AK830" t="s">
        <v>2680</v>
      </c>
      <c r="AL830">
        <v>0</v>
      </c>
      <c r="AM830">
        <v>82000</v>
      </c>
      <c r="AN830" t="s">
        <v>205</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2730</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2680</v>
      </c>
      <c r="AL831" t="s">
        <v>5022</v>
      </c>
      <c r="AM831" t="s">
        <v>4477</v>
      </c>
      <c r="AN831" t="s">
        <v>4478</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5000</v>
      </c>
      <c r="H832" t="s">
        <v>205</v>
      </c>
      <c r="I832" s="75" t="str">
        <f ca="1">IF(Table7[[#This Row],[Type]]="KILL",IF(_xlfn.NUMBERVALUE(RIGHT(Table7[[#This Row],[Min]],LEN(Table7[[#This Row],[Min]])-FIND("-",Table7[[#This Row],[Min]])))&gt;INDIRECT(ADDRESS(11+MATCH(LEFT(Table7[[#This Row],[Min]],FIND("-",Table7[[#This Row],[Min]])-1),Table1[Content Sku],0),14,1,1,"Entities")),"review","ok"),"ok")</f>
        <v>ok</v>
      </c>
      <c r="U832" t="s">
        <v>2730</v>
      </c>
      <c r="V832">
        <v>0</v>
      </c>
      <c r="W832">
        <v>0</v>
      </c>
      <c r="X832" t="s">
        <v>8</v>
      </c>
      <c r="Y832" s="75" t="str">
        <f ca="1">IF(Table15[[#This Row],[Type]]="KILL",IF(_xlfn.NUMBERVALUE(RIGHT(Table15[[#This Row],[Min]],LEN(Table15[[#This Row],[Min]])-FIND("-",Table15[[#This Row],[Min]])))&gt;INDIRECT(ADDRESS(11+MATCH(LEFT(Table15[[#This Row],[Min]],FIND("-",Table15[[#This Row],[Min]])-1),Table1[Content Sku],0),16,1,1,"Entities")),"review","ok"),"ok")</f>
        <v>ok</v>
      </c>
      <c r="AK832" t="s">
        <v>2680</v>
      </c>
      <c r="AL832">
        <v>32000</v>
      </c>
      <c r="AM832">
        <v>0</v>
      </c>
      <c r="AN832" t="s">
        <v>205</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2200</v>
      </c>
      <c r="G833">
        <v>0</v>
      </c>
      <c r="H833" t="s">
        <v>205</v>
      </c>
      <c r="I833" s="75" t="str">
        <f ca="1">IF(Table7[[#This Row],[Type]]="KILL",IF(_xlfn.NUMBERVALUE(RIGHT(Table7[[#This Row],[Min]],LEN(Table7[[#This Row],[Min]])-FIND("-",Table7[[#This Row],[Min]])))&gt;INDIRECT(ADDRESS(11+MATCH(LEFT(Table7[[#This Row],[Min]],FIND("-",Table7[[#This Row],[Min]])-1),Table1[Content Sku],0),14,1,1,"Entities")),"review","ok"),"ok")</f>
        <v>ok</v>
      </c>
      <c r="U833" t="s">
        <v>2730</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2680</v>
      </c>
      <c r="AL833" t="s">
        <v>5019</v>
      </c>
      <c r="AM833" t="s">
        <v>4477</v>
      </c>
      <c r="AN833" t="s">
        <v>4478</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0</v>
      </c>
      <c r="H834" t="s">
        <v>8</v>
      </c>
      <c r="I834" s="75" t="str">
        <f ca="1">IF(Table7[[#This Row],[Type]]="KILL",IF(_xlfn.NUMBERVALUE(RIGHT(Table7[[#This Row],[Min]],LEN(Table7[[#This Row],[Min]])-FIND("-",Table7[[#This Row],[Min]])))&gt;INDIRECT(ADDRESS(11+MATCH(LEFT(Table7[[#This Row],[Min]],FIND("-",Table7[[#This Row],[Min]])-1),Table1[Content Sku],0),14,1,1,"Entities")),"review","ok"),"ok")</f>
        <v>ok</v>
      </c>
      <c r="U834" t="s">
        <v>2730</v>
      </c>
      <c r="V834">
        <v>0</v>
      </c>
      <c r="W834">
        <v>0</v>
      </c>
      <c r="X834" t="s">
        <v>8</v>
      </c>
      <c r="Y834" s="75" t="str">
        <f ca="1">IF(Table15[[#This Row],[Type]]="KILL",IF(_xlfn.NUMBERVALUE(RIGHT(Table15[[#This Row],[Min]],LEN(Table15[[#This Row],[Min]])-FIND("-",Table15[[#This Row],[Min]])))&gt;INDIRECT(ADDRESS(11+MATCH(LEFT(Table15[[#This Row],[Min]],FIND("-",Table15[[#This Row],[Min]])-1),Table1[Content Sku],0),16,1,1,"Entities")),"review","ok"),"ok")</f>
        <v>ok</v>
      </c>
      <c r="AK834" t="s">
        <v>2680</v>
      </c>
      <c r="AL834" t="s">
        <v>4483</v>
      </c>
      <c r="AM834" t="s">
        <v>4477</v>
      </c>
      <c r="AN834" t="s">
        <v>4478</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8000</v>
      </c>
      <c r="G835">
        <v>0</v>
      </c>
      <c r="H835" t="s">
        <v>205</v>
      </c>
      <c r="I835" s="75" t="str">
        <f ca="1">IF(Table7[[#This Row],[Type]]="KILL",IF(_xlfn.NUMBERVALUE(RIGHT(Table7[[#This Row],[Min]],LEN(Table7[[#This Row],[Min]])-FIND("-",Table7[[#This Row],[Min]])))&gt;INDIRECT(ADDRESS(11+MATCH(LEFT(Table7[[#This Row],[Min]],FIND("-",Table7[[#This Row],[Min]])-1),Table1[Content Sku],0),14,1,1,"Entities")),"review","ok"),"ok")</f>
        <v>ok</v>
      </c>
      <c r="U835" t="s">
        <v>122</v>
      </c>
      <c r="V835">
        <v>0</v>
      </c>
      <c r="W835">
        <v>0</v>
      </c>
      <c r="X835" t="s">
        <v>8</v>
      </c>
      <c r="Y835" s="75" t="str">
        <f ca="1">IF(Table15[[#This Row],[Type]]="KILL",IF(_xlfn.NUMBERVALUE(RIGHT(Table15[[#This Row],[Min]],LEN(Table15[[#This Row],[Min]])-FIND("-",Table15[[#This Row],[Min]])))&gt;INDIRECT(ADDRESS(11+MATCH(LEFT(Table15[[#This Row],[Min]],FIND("-",Table15[[#This Row],[Min]])-1),Table1[Content Sku],0),16,1,1,"Entities")),"review","ok"),"ok")</f>
        <v>ok</v>
      </c>
      <c r="AK835" t="s">
        <v>2680</v>
      </c>
      <c r="AL835">
        <v>0</v>
      </c>
      <c r="AM835">
        <v>80000</v>
      </c>
      <c r="AN835" t="s">
        <v>205</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122</v>
      </c>
      <c r="V836">
        <v>0</v>
      </c>
      <c r="W836">
        <v>0</v>
      </c>
      <c r="X836" t="s">
        <v>8</v>
      </c>
      <c r="Y836" s="75" t="str">
        <f ca="1">IF(Table15[[#This Row],[Type]]="KILL",IF(_xlfn.NUMBERVALUE(RIGHT(Table15[[#This Row],[Min]],LEN(Table15[[#This Row],[Min]])-FIND("-",Table15[[#This Row],[Min]])))&gt;INDIRECT(ADDRESS(11+MATCH(LEFT(Table15[[#This Row],[Min]],FIND("-",Table15[[#This Row],[Min]])-1),Table1[Content Sku],0),16,1,1,"Entities")),"review","ok"),"ok")</f>
        <v>ok</v>
      </c>
      <c r="AK836" t="s">
        <v>2680</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0</v>
      </c>
      <c r="G837">
        <v>0</v>
      </c>
      <c r="H837" t="s">
        <v>8</v>
      </c>
      <c r="I837" s="75" t="str">
        <f ca="1">IF(Table7[[#This Row],[Type]]="KILL",IF(_xlfn.NUMBERVALUE(RIGHT(Table7[[#This Row],[Min]],LEN(Table7[[#This Row],[Min]])-FIND("-",Table7[[#This Row],[Min]])))&gt;INDIRECT(ADDRESS(11+MATCH(LEFT(Table7[[#This Row],[Min]],FIND("-",Table7[[#This Row],[Min]])-1),Table1[Content Sku],0),14,1,1,"Entities")),"review","ok"),"ok")</f>
        <v>ok</v>
      </c>
      <c r="U837" t="s">
        <v>122</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2680</v>
      </c>
      <c r="AL837">
        <v>0</v>
      </c>
      <c r="AM837">
        <v>84000</v>
      </c>
      <c r="AN837" t="s">
        <v>205</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122</v>
      </c>
      <c r="V838">
        <v>30000</v>
      </c>
      <c r="W838">
        <v>0</v>
      </c>
      <c r="X838" t="s">
        <v>205</v>
      </c>
      <c r="Y838" s="75" t="str">
        <f ca="1">IF(Table15[[#This Row],[Type]]="KILL",IF(_xlfn.NUMBERVALUE(RIGHT(Table15[[#This Row],[Min]],LEN(Table15[[#This Row],[Min]])-FIND("-",Table15[[#This Row],[Min]])))&gt;INDIRECT(ADDRESS(11+MATCH(LEFT(Table15[[#This Row],[Min]],FIND("-",Table15[[#This Row],[Min]])-1),Table1[Content Sku],0),16,1,1,"Entities")),"review","ok"),"ok")</f>
        <v>ok</v>
      </c>
      <c r="AK838" t="s">
        <v>2680</v>
      </c>
      <c r="AL838" t="s">
        <v>5022</v>
      </c>
      <c r="AM838" t="s">
        <v>4477</v>
      </c>
      <c r="AN838" t="s">
        <v>4478</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15000</v>
      </c>
      <c r="G839">
        <v>0</v>
      </c>
      <c r="H839" t="s">
        <v>205</v>
      </c>
      <c r="I839" s="75" t="str">
        <f ca="1">IF(Table7[[#This Row],[Type]]="KILL",IF(_xlfn.NUMBERVALUE(RIGHT(Table7[[#This Row],[Min]],LEN(Table7[[#This Row],[Min]])-FIND("-",Table7[[#This Row],[Min]])))&gt;INDIRECT(ADDRESS(11+MATCH(LEFT(Table7[[#This Row],[Min]],FIND("-",Table7[[#This Row],[Min]])-1),Table1[Content Sku],0),14,1,1,"Entities")),"review","ok"),"ok")</f>
        <v>ok</v>
      </c>
      <c r="U839" t="s">
        <v>122</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2680</v>
      </c>
      <c r="AL839">
        <v>0</v>
      </c>
      <c r="AM839">
        <v>96000</v>
      </c>
      <c r="AN839" t="s">
        <v>205</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12000</v>
      </c>
      <c r="G840">
        <v>0</v>
      </c>
      <c r="H840" t="s">
        <v>205</v>
      </c>
      <c r="I840" s="75" t="str">
        <f ca="1">IF(Table7[[#This Row],[Type]]="KILL",IF(_xlfn.NUMBERVALUE(RIGHT(Table7[[#This Row],[Min]],LEN(Table7[[#This Row],[Min]])-FIND("-",Table7[[#This Row],[Min]])))&gt;INDIRECT(ADDRESS(11+MATCH(LEFT(Table7[[#This Row],[Min]],FIND("-",Table7[[#This Row],[Min]])-1),Table1[Content Sku],0),14,1,1,"Entities")),"review","ok"),"ok")</f>
        <v>ok</v>
      </c>
      <c r="U840" t="s">
        <v>122</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2680</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0</v>
      </c>
      <c r="G841">
        <v>0</v>
      </c>
      <c r="H841" t="s">
        <v>8</v>
      </c>
      <c r="I841" s="75" t="str">
        <f ca="1">IF(Table7[[#This Row],[Type]]="KILL",IF(_xlfn.NUMBERVALUE(RIGHT(Table7[[#This Row],[Min]],LEN(Table7[[#This Row],[Min]])-FIND("-",Table7[[#This Row],[Min]])))&gt;INDIRECT(ADDRESS(11+MATCH(LEFT(Table7[[#This Row],[Min]],FIND("-",Table7[[#This Row],[Min]])-1),Table1[Content Sku],0),14,1,1,"Entities")),"review","ok"),"ok")</f>
        <v>ok</v>
      </c>
      <c r="U841" t="s">
        <v>122</v>
      </c>
      <c r="V841">
        <v>25000</v>
      </c>
      <c r="W841">
        <v>0</v>
      </c>
      <c r="X841" t="s">
        <v>205</v>
      </c>
      <c r="Y841" s="75" t="str">
        <f ca="1">IF(Table15[[#This Row],[Type]]="KILL",IF(_xlfn.NUMBERVALUE(RIGHT(Table15[[#This Row],[Min]],LEN(Table15[[#This Row],[Min]])-FIND("-",Table15[[#This Row],[Min]])))&gt;INDIRECT(ADDRESS(11+MATCH(LEFT(Table15[[#This Row],[Min]],FIND("-",Table15[[#This Row],[Min]])-1),Table1[Content Sku],0),16,1,1,"Entities")),"review","ok"),"ok")</f>
        <v>ok</v>
      </c>
      <c r="AK841" t="s">
        <v>2680</v>
      </c>
      <c r="AL841">
        <v>0</v>
      </c>
      <c r="AM841">
        <v>74000</v>
      </c>
      <c r="AN841" t="s">
        <v>205</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12500</v>
      </c>
      <c r="G842">
        <v>0</v>
      </c>
      <c r="H842" t="s">
        <v>205</v>
      </c>
      <c r="I842" s="75" t="str">
        <f ca="1">IF(Table7[[#This Row],[Type]]="KILL",IF(_xlfn.NUMBERVALUE(RIGHT(Table7[[#This Row],[Min]],LEN(Table7[[#This Row],[Min]])-FIND("-",Table7[[#This Row],[Min]])))&gt;INDIRECT(ADDRESS(11+MATCH(LEFT(Table7[[#This Row],[Min]],FIND("-",Table7[[#This Row],[Min]])-1),Table1[Content Sku],0),14,1,1,"Entities")),"review","ok"),"ok")</f>
        <v>ok</v>
      </c>
      <c r="U842" t="s">
        <v>122</v>
      </c>
      <c r="V842">
        <v>40000</v>
      </c>
      <c r="W842">
        <v>0</v>
      </c>
      <c r="X842" t="s">
        <v>205</v>
      </c>
      <c r="Y842" s="75" t="str">
        <f ca="1">IF(Table15[[#This Row],[Type]]="KILL",IF(_xlfn.NUMBERVALUE(RIGHT(Table15[[#This Row],[Min]],LEN(Table15[[#This Row],[Min]])-FIND("-",Table15[[#This Row],[Min]])))&gt;INDIRECT(ADDRESS(11+MATCH(LEFT(Table15[[#This Row],[Min]],FIND("-",Table15[[#This Row],[Min]])-1),Table1[Content Sku],0),16,1,1,"Entities")),"review","ok"),"ok")</f>
        <v>ok</v>
      </c>
      <c r="AK842" t="s">
        <v>2680</v>
      </c>
      <c r="AL842">
        <v>40000</v>
      </c>
      <c r="AM842">
        <v>0</v>
      </c>
      <c r="AN842" t="s">
        <v>205</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3600</v>
      </c>
      <c r="H843" t="s">
        <v>205</v>
      </c>
      <c r="I843" s="75" t="str">
        <f ca="1">IF(Table7[[#This Row],[Type]]="KILL",IF(_xlfn.NUMBERVALUE(RIGHT(Table7[[#This Row],[Min]],LEN(Table7[[#This Row],[Min]])-FIND("-",Table7[[#This Row],[Min]])))&gt;INDIRECT(ADDRESS(11+MATCH(LEFT(Table7[[#This Row],[Min]],FIND("-",Table7[[#This Row],[Min]])-1),Table1[Content Sku],0),14,1,1,"Entities")),"review","ok"),"ok")</f>
        <v>ok</v>
      </c>
      <c r="U843" t="s">
        <v>122</v>
      </c>
      <c r="V843">
        <v>0</v>
      </c>
      <c r="W843">
        <v>0</v>
      </c>
      <c r="X843" t="s">
        <v>8</v>
      </c>
      <c r="Y843" s="75" t="str">
        <f ca="1">IF(Table15[[#This Row],[Type]]="KILL",IF(_xlfn.NUMBERVALUE(RIGHT(Table15[[#This Row],[Min]],LEN(Table15[[#This Row],[Min]])-FIND("-",Table15[[#This Row],[Min]])))&gt;INDIRECT(ADDRESS(11+MATCH(LEFT(Table15[[#This Row],[Min]],FIND("-",Table15[[#This Row],[Min]])-1),Table1[Content Sku],0),16,1,1,"Entities")),"review","ok"),"ok")</f>
        <v>ok</v>
      </c>
      <c r="AK843" t="s">
        <v>2672</v>
      </c>
      <c r="AL843">
        <v>0</v>
      </c>
      <c r="AM843">
        <v>94000</v>
      </c>
      <c r="AN843" t="s">
        <v>205</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0</v>
      </c>
      <c r="G844">
        <v>0</v>
      </c>
      <c r="H844" t="s">
        <v>8</v>
      </c>
      <c r="I844" s="75" t="str">
        <f ca="1">IF(Table7[[#This Row],[Type]]="KILL",IF(_xlfn.NUMBERVALUE(RIGHT(Table7[[#This Row],[Min]],LEN(Table7[[#This Row],[Min]])-FIND("-",Table7[[#This Row],[Min]])))&gt;INDIRECT(ADDRESS(11+MATCH(LEFT(Table7[[#This Row],[Min]],FIND("-",Table7[[#This Row],[Min]])-1),Table1[Content Sku],0),14,1,1,"Entities")),"review","ok"),"ok")</f>
        <v>ok</v>
      </c>
      <c r="U844" t="s">
        <v>122</v>
      </c>
      <c r="V844">
        <v>0</v>
      </c>
      <c r="W844">
        <v>0</v>
      </c>
      <c r="X844" t="s">
        <v>8</v>
      </c>
      <c r="Y844" s="75" t="str">
        <f ca="1">IF(Table15[[#This Row],[Type]]="KILL",IF(_xlfn.NUMBERVALUE(RIGHT(Table15[[#This Row],[Min]],LEN(Table15[[#This Row],[Min]])-FIND("-",Table15[[#This Row],[Min]])))&gt;INDIRECT(ADDRESS(11+MATCH(LEFT(Table15[[#This Row],[Min]],FIND("-",Table15[[#This Row],[Min]])-1),Table1[Content Sku],0),16,1,1,"Entities")),"review","ok"),"ok")</f>
        <v>ok</v>
      </c>
      <c r="AK844" t="s">
        <v>2672</v>
      </c>
      <c r="AL844">
        <v>0</v>
      </c>
      <c r="AM844">
        <v>92000</v>
      </c>
      <c r="AN844" t="s">
        <v>205</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5000</v>
      </c>
      <c r="H845" t="s">
        <v>205</v>
      </c>
      <c r="I845" s="75" t="str">
        <f ca="1">IF(Table7[[#This Row],[Type]]="KILL",IF(_xlfn.NUMBERVALUE(RIGHT(Table7[[#This Row],[Min]],LEN(Table7[[#This Row],[Min]])-FIND("-",Table7[[#This Row],[Min]])))&gt;INDIRECT(ADDRESS(11+MATCH(LEFT(Table7[[#This Row],[Min]],FIND("-",Table7[[#This Row],[Min]])-1),Table1[Content Sku],0),14,1,1,"Entities")),"review","ok"),"ok")</f>
        <v>ok</v>
      </c>
      <c r="U845" t="s">
        <v>122</v>
      </c>
      <c r="V845">
        <v>0</v>
      </c>
      <c r="W845">
        <v>0</v>
      </c>
      <c r="X845" t="s">
        <v>8</v>
      </c>
      <c r="Y845" s="75" t="str">
        <f ca="1">IF(Table15[[#This Row],[Type]]="KILL",IF(_xlfn.NUMBERVALUE(RIGHT(Table15[[#This Row],[Min]],LEN(Table15[[#This Row],[Min]])-FIND("-",Table15[[#This Row],[Min]])))&gt;INDIRECT(ADDRESS(11+MATCH(LEFT(Table15[[#This Row],[Min]],FIND("-",Table15[[#This Row],[Min]])-1),Table1[Content Sku],0),16,1,1,"Entities")),"review","ok"),"ok")</f>
        <v>ok</v>
      </c>
      <c r="AK845" t="s">
        <v>2672</v>
      </c>
      <c r="AL845">
        <v>0</v>
      </c>
      <c r="AM845">
        <v>88000</v>
      </c>
      <c r="AN845" t="s">
        <v>205</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21000</v>
      </c>
      <c r="G846">
        <v>0</v>
      </c>
      <c r="H846" t="s">
        <v>205</v>
      </c>
      <c r="I846" s="75" t="str">
        <f ca="1">IF(Table7[[#This Row],[Type]]="KILL",IF(_xlfn.NUMBERVALUE(RIGHT(Table7[[#This Row],[Min]],LEN(Table7[[#This Row],[Min]])-FIND("-",Table7[[#This Row],[Min]])))&gt;INDIRECT(ADDRESS(11+MATCH(LEFT(Table7[[#This Row],[Min]],FIND("-",Table7[[#This Row],[Min]])-1),Table1[Content Sku],0),14,1,1,"Entities")),"review","ok"),"ok")</f>
        <v>ok</v>
      </c>
      <c r="U846" t="s">
        <v>122</v>
      </c>
      <c r="V846">
        <v>0</v>
      </c>
      <c r="W846">
        <v>0</v>
      </c>
      <c r="X846" t="s">
        <v>8</v>
      </c>
      <c r="Y846" s="75" t="str">
        <f ca="1">IF(Table15[[#This Row],[Type]]="KILL",IF(_xlfn.NUMBERVALUE(RIGHT(Table15[[#This Row],[Min]],LEN(Table15[[#This Row],[Min]])-FIND("-",Table15[[#This Row],[Min]])))&gt;INDIRECT(ADDRESS(11+MATCH(LEFT(Table15[[#This Row],[Min]],FIND("-",Table15[[#This Row],[Min]])-1),Table1[Content Sku],0),16,1,1,"Entities")),"review","ok"),"ok")</f>
        <v>ok</v>
      </c>
      <c r="AK846" t="s">
        <v>2672</v>
      </c>
      <c r="AL846">
        <v>0</v>
      </c>
      <c r="AM846">
        <v>86000</v>
      </c>
      <c r="AN846" t="s">
        <v>205</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20000</v>
      </c>
      <c r="G847">
        <v>0</v>
      </c>
      <c r="H847" t="s">
        <v>205</v>
      </c>
      <c r="I847" s="75" t="str">
        <f ca="1">IF(Table7[[#This Row],[Type]]="KILL",IF(_xlfn.NUMBERVALUE(RIGHT(Table7[[#This Row],[Min]],LEN(Table7[[#This Row],[Min]])-FIND("-",Table7[[#This Row],[Min]])))&gt;INDIRECT(ADDRESS(11+MATCH(LEFT(Table7[[#This Row],[Min]],FIND("-",Table7[[#This Row],[Min]])-1),Table1[Content Sku],0),14,1,1,"Entities")),"review","ok"),"ok")</f>
        <v>ok</v>
      </c>
      <c r="U847" t="s">
        <v>122</v>
      </c>
      <c r="V847">
        <v>0</v>
      </c>
      <c r="W847">
        <v>0</v>
      </c>
      <c r="X847" t="s">
        <v>8</v>
      </c>
      <c r="Y847" s="75" t="str">
        <f ca="1">IF(Table15[[#This Row],[Type]]="KILL",IF(_xlfn.NUMBERVALUE(RIGHT(Table15[[#This Row],[Min]],LEN(Table15[[#This Row],[Min]])-FIND("-",Table15[[#This Row],[Min]])))&gt;INDIRECT(ADDRESS(11+MATCH(LEFT(Table15[[#This Row],[Min]],FIND("-",Table15[[#This Row],[Min]])-1),Table1[Content Sku],0),16,1,1,"Entities")),"review","ok"),"ok")</f>
        <v>ok</v>
      </c>
      <c r="AK847" t="s">
        <v>2672</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11000</v>
      </c>
      <c r="G848">
        <v>0</v>
      </c>
      <c r="H848" t="s">
        <v>205</v>
      </c>
      <c r="I848" s="75" t="str">
        <f ca="1">IF(Table7[[#This Row],[Type]]="KILL",IF(_xlfn.NUMBERVALUE(RIGHT(Table7[[#This Row],[Min]],LEN(Table7[[#This Row],[Min]])-FIND("-",Table7[[#This Row],[Min]])))&gt;INDIRECT(ADDRESS(11+MATCH(LEFT(Table7[[#This Row],[Min]],FIND("-",Table7[[#This Row],[Min]])-1),Table1[Content Sku],0),14,1,1,"Entities")),"review","ok"),"ok")</f>
        <v>ok</v>
      </c>
      <c r="U848" t="s">
        <v>122</v>
      </c>
      <c r="V848">
        <v>0</v>
      </c>
      <c r="W848">
        <v>0</v>
      </c>
      <c r="X848" t="s">
        <v>8</v>
      </c>
      <c r="Y848" s="75" t="str">
        <f ca="1">IF(Table15[[#This Row],[Type]]="KILL",IF(_xlfn.NUMBERVALUE(RIGHT(Table15[[#This Row],[Min]],LEN(Table15[[#This Row],[Min]])-FIND("-",Table15[[#This Row],[Min]])))&gt;INDIRECT(ADDRESS(11+MATCH(LEFT(Table15[[#This Row],[Min]],FIND("-",Table15[[#This Row],[Min]])-1),Table1[Content Sku],0),16,1,1,"Entities")),"review","ok"),"ok")</f>
        <v>ok</v>
      </c>
      <c r="AK848" t="s">
        <v>2672</v>
      </c>
      <c r="AL848">
        <v>0</v>
      </c>
      <c r="AM848">
        <v>90000</v>
      </c>
      <c r="AN848" t="s">
        <v>205</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0</v>
      </c>
      <c r="G849">
        <v>0</v>
      </c>
      <c r="H849" t="s">
        <v>8</v>
      </c>
      <c r="I849" s="75" t="str">
        <f ca="1">IF(Table7[[#This Row],[Type]]="KILL",IF(_xlfn.NUMBERVALUE(RIGHT(Table7[[#This Row],[Min]],LEN(Table7[[#This Row],[Min]])-FIND("-",Table7[[#This Row],[Min]])))&gt;INDIRECT(ADDRESS(11+MATCH(LEFT(Table7[[#This Row],[Min]],FIND("-",Table7[[#This Row],[Min]])-1),Table1[Content Sku],0),14,1,1,"Entities")),"review","ok"),"ok")</f>
        <v>ok</v>
      </c>
      <c r="U849" t="s">
        <v>122</v>
      </c>
      <c r="V849">
        <v>0</v>
      </c>
      <c r="W849">
        <v>0</v>
      </c>
      <c r="X849" t="s">
        <v>8</v>
      </c>
      <c r="Y849" s="75" t="str">
        <f ca="1">IF(Table15[[#This Row],[Type]]="KILL",IF(_xlfn.NUMBERVALUE(RIGHT(Table15[[#This Row],[Min]],LEN(Table15[[#This Row],[Min]])-FIND("-",Table15[[#This Row],[Min]])))&gt;INDIRECT(ADDRESS(11+MATCH(LEFT(Table15[[#This Row],[Min]],FIND("-",Table15[[#This Row],[Min]])-1),Table1[Content Sku],0),16,1,1,"Entities")),"review","ok"),"ok")</f>
        <v>ok</v>
      </c>
      <c r="AK849" t="s">
        <v>2672</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8500</v>
      </c>
      <c r="G850">
        <v>0</v>
      </c>
      <c r="H850" t="s">
        <v>205</v>
      </c>
      <c r="I850" s="75" t="str">
        <f ca="1">IF(Table7[[#This Row],[Type]]="KILL",IF(_xlfn.NUMBERVALUE(RIGHT(Table7[[#This Row],[Min]],LEN(Table7[[#This Row],[Min]])-FIND("-",Table7[[#This Row],[Min]])))&gt;INDIRECT(ADDRESS(11+MATCH(LEFT(Table7[[#This Row],[Min]],FIND("-",Table7[[#This Row],[Min]])-1),Table1[Content Sku],0),14,1,1,"Entities")),"review","ok"),"ok")</f>
        <v>ok</v>
      </c>
      <c r="U850" t="s">
        <v>122</v>
      </c>
      <c r="V850">
        <v>37000</v>
      </c>
      <c r="W850">
        <v>0</v>
      </c>
      <c r="X850" t="s">
        <v>205</v>
      </c>
      <c r="Y850" s="75" t="str">
        <f ca="1">IF(Table15[[#This Row],[Type]]="KILL",IF(_xlfn.NUMBERVALUE(RIGHT(Table15[[#This Row],[Min]],LEN(Table15[[#This Row],[Min]])-FIND("-",Table15[[#This Row],[Min]])))&gt;INDIRECT(ADDRESS(11+MATCH(LEFT(Table15[[#This Row],[Min]],FIND("-",Table15[[#This Row],[Min]])-1),Table1[Content Sku],0),16,1,1,"Entities")),"review","ok"),"ok")</f>
        <v>ok</v>
      </c>
      <c r="AK850" t="s">
        <v>2679</v>
      </c>
      <c r="AL850">
        <v>50000</v>
      </c>
      <c r="AM850">
        <v>0</v>
      </c>
      <c r="AN850" t="s">
        <v>205</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122</v>
      </c>
      <c r="V851">
        <v>0</v>
      </c>
      <c r="W851">
        <v>0</v>
      </c>
      <c r="X851" t="s">
        <v>8</v>
      </c>
      <c r="Y851" s="75" t="str">
        <f ca="1">IF(Table15[[#This Row],[Type]]="KILL",IF(_xlfn.NUMBERVALUE(RIGHT(Table15[[#This Row],[Min]],LEN(Table15[[#This Row],[Min]])-FIND("-",Table15[[#This Row],[Min]])))&gt;INDIRECT(ADDRESS(11+MATCH(LEFT(Table15[[#This Row],[Min]],FIND("-",Table15[[#This Row],[Min]])-1),Table1[Content Sku],0),16,1,1,"Entities")),"review","ok"),"ok")</f>
        <v>ok</v>
      </c>
      <c r="AK851" t="s">
        <v>2679</v>
      </c>
      <c r="AL851">
        <v>100000</v>
      </c>
      <c r="AM851">
        <v>0</v>
      </c>
      <c r="AN851" t="s">
        <v>205</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0</v>
      </c>
      <c r="G852">
        <v>0</v>
      </c>
      <c r="H852" t="s">
        <v>8</v>
      </c>
      <c r="I852" s="75" t="str">
        <f ca="1">IF(Table7[[#This Row],[Type]]="KILL",IF(_xlfn.NUMBERVALUE(RIGHT(Table7[[#This Row],[Min]],LEN(Table7[[#This Row],[Min]])-FIND("-",Table7[[#This Row],[Min]])))&gt;INDIRECT(ADDRESS(11+MATCH(LEFT(Table7[[#This Row],[Min]],FIND("-",Table7[[#This Row],[Min]])-1),Table1[Content Sku],0),14,1,1,"Entities")),"review","ok"),"ok")</f>
        <v>ok</v>
      </c>
      <c r="U852" t="s">
        <v>122</v>
      </c>
      <c r="V852">
        <v>0</v>
      </c>
      <c r="W852">
        <v>0</v>
      </c>
      <c r="X852" t="s">
        <v>8</v>
      </c>
      <c r="Y852" s="75" t="str">
        <f ca="1">IF(Table15[[#This Row],[Type]]="KILL",IF(_xlfn.NUMBERVALUE(RIGHT(Table15[[#This Row],[Min]],LEN(Table15[[#This Row],[Min]])-FIND("-",Table15[[#This Row],[Min]])))&gt;INDIRECT(ADDRESS(11+MATCH(LEFT(Table15[[#This Row],[Min]],FIND("-",Table15[[#This Row],[Min]])-1),Table1[Content Sku],0),16,1,1,"Entities")),"review","ok"),"ok")</f>
        <v>ok</v>
      </c>
      <c r="AK852" t="s">
        <v>2679</v>
      </c>
      <c r="AL852">
        <v>98000</v>
      </c>
      <c r="AM852">
        <v>0</v>
      </c>
      <c r="AN852" t="s">
        <v>205</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122</v>
      </c>
      <c r="V853">
        <v>0</v>
      </c>
      <c r="W853">
        <v>0</v>
      </c>
      <c r="X853" t="s">
        <v>8</v>
      </c>
      <c r="Y853" s="75" t="str">
        <f ca="1">IF(Table15[[#This Row],[Type]]="KILL",IF(_xlfn.NUMBERVALUE(RIGHT(Table15[[#This Row],[Min]],LEN(Table15[[#This Row],[Min]])-FIND("-",Table15[[#This Row],[Min]])))&gt;INDIRECT(ADDRESS(11+MATCH(LEFT(Table15[[#This Row],[Min]],FIND("-",Table15[[#This Row],[Min]])-1),Table1[Content Sku],0),16,1,1,"Entities")),"review","ok"),"ok")</f>
        <v>ok</v>
      </c>
      <c r="AK853" t="s">
        <v>2679</v>
      </c>
      <c r="AL853">
        <v>76000</v>
      </c>
      <c r="AM853">
        <v>0</v>
      </c>
      <c r="AN853" t="s">
        <v>205</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122</v>
      </c>
      <c r="V854">
        <v>20000</v>
      </c>
      <c r="W854">
        <v>0</v>
      </c>
      <c r="X854" t="s">
        <v>205</v>
      </c>
      <c r="Y854" s="75" t="str">
        <f ca="1">IF(Table15[[#This Row],[Type]]="KILL",IF(_xlfn.NUMBERVALUE(RIGHT(Table15[[#This Row],[Min]],LEN(Table15[[#This Row],[Min]])-FIND("-",Table15[[#This Row],[Min]])))&gt;INDIRECT(ADDRESS(11+MATCH(LEFT(Table15[[#This Row],[Min]],FIND("-",Table15[[#This Row],[Min]])-1),Table1[Content Sku],0),16,1,1,"Entities")),"review","ok"),"ok")</f>
        <v>ok</v>
      </c>
      <c r="AK854" t="s">
        <v>2679</v>
      </c>
      <c r="AL854">
        <v>84000</v>
      </c>
      <c r="AM854">
        <v>0</v>
      </c>
      <c r="AN854" t="s">
        <v>205</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122</v>
      </c>
      <c r="V855">
        <v>0</v>
      </c>
      <c r="W855">
        <v>0</v>
      </c>
      <c r="X855" t="s">
        <v>8</v>
      </c>
      <c r="Y855" s="75" t="str">
        <f ca="1">IF(Table15[[#This Row],[Type]]="KILL",IF(_xlfn.NUMBERVALUE(RIGHT(Table15[[#This Row],[Min]],LEN(Table15[[#This Row],[Min]])-FIND("-",Table15[[#This Row],[Min]])))&gt;INDIRECT(ADDRESS(11+MATCH(LEFT(Table15[[#This Row],[Min]],FIND("-",Table15[[#This Row],[Min]])-1),Table1[Content Sku],0),16,1,1,"Entities")),"review","ok"),"ok")</f>
        <v>ok</v>
      </c>
      <c r="AK855" t="s">
        <v>2679</v>
      </c>
      <c r="AL855">
        <v>78000</v>
      </c>
      <c r="AM855">
        <v>0</v>
      </c>
      <c r="AN855" t="s">
        <v>205</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122</v>
      </c>
      <c r="V856">
        <v>0</v>
      </c>
      <c r="W856">
        <v>0</v>
      </c>
      <c r="X856" t="s">
        <v>8</v>
      </c>
      <c r="Y856" s="75" t="str">
        <f ca="1">IF(Table15[[#This Row],[Type]]="KILL",IF(_xlfn.NUMBERVALUE(RIGHT(Table15[[#This Row],[Min]],LEN(Table15[[#This Row],[Min]])-FIND("-",Table15[[#This Row],[Min]])))&gt;INDIRECT(ADDRESS(11+MATCH(LEFT(Table15[[#This Row],[Min]],FIND("-",Table15[[#This Row],[Min]])-1),Table1[Content Sku],0),16,1,1,"Entities")),"review","ok"),"ok")</f>
        <v>ok</v>
      </c>
      <c r="AK856" t="s">
        <v>2679</v>
      </c>
      <c r="AL856" t="s">
        <v>5021</v>
      </c>
      <c r="AM856" t="s">
        <v>4477</v>
      </c>
      <c r="AN856" t="s">
        <v>4478</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122</v>
      </c>
      <c r="V857">
        <v>0</v>
      </c>
      <c r="W857">
        <v>0</v>
      </c>
      <c r="X857" t="s">
        <v>8</v>
      </c>
      <c r="Y857" s="75" t="str">
        <f ca="1">IF(Table15[[#This Row],[Type]]="KILL",IF(_xlfn.NUMBERVALUE(RIGHT(Table15[[#This Row],[Min]],LEN(Table15[[#This Row],[Min]])-FIND("-",Table15[[#This Row],[Min]])))&gt;INDIRECT(ADDRESS(11+MATCH(LEFT(Table15[[#This Row],[Min]],FIND("-",Table15[[#This Row],[Min]])-1),Table1[Content Sku],0),16,1,1,"Entities")),"review","ok"),"ok")</f>
        <v>ok</v>
      </c>
      <c r="AK857" t="s">
        <v>2679</v>
      </c>
      <c r="AL857">
        <v>82000</v>
      </c>
      <c r="AM857">
        <v>0</v>
      </c>
      <c r="AN857" t="s">
        <v>205</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122</v>
      </c>
      <c r="V858">
        <v>0</v>
      </c>
      <c r="W858">
        <v>0</v>
      </c>
      <c r="X858" t="s">
        <v>8</v>
      </c>
      <c r="Y858" s="75" t="str">
        <f ca="1">IF(Table15[[#This Row],[Type]]="KILL",IF(_xlfn.NUMBERVALUE(RIGHT(Table15[[#This Row],[Min]],LEN(Table15[[#This Row],[Min]])-FIND("-",Table15[[#This Row],[Min]])))&gt;INDIRECT(ADDRESS(11+MATCH(LEFT(Table15[[#This Row],[Min]],FIND("-",Table15[[#This Row],[Min]])-1),Table1[Content Sku],0),16,1,1,"Entities")),"review","ok"),"ok")</f>
        <v>ok</v>
      </c>
      <c r="AK858" t="s">
        <v>2679</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122</v>
      </c>
      <c r="V859">
        <v>0</v>
      </c>
      <c r="W859">
        <v>0</v>
      </c>
      <c r="X859" t="s">
        <v>8</v>
      </c>
      <c r="Y859" s="75" t="str">
        <f ca="1">IF(Table15[[#This Row],[Type]]="KILL",IF(_xlfn.NUMBERVALUE(RIGHT(Table15[[#This Row],[Min]],LEN(Table15[[#This Row],[Min]])-FIND("-",Table15[[#This Row],[Min]])))&gt;INDIRECT(ADDRESS(11+MATCH(LEFT(Table15[[#This Row],[Min]],FIND("-",Table15[[#This Row],[Min]])-1),Table1[Content Sku],0),16,1,1,"Entities")),"review","ok"),"ok")</f>
        <v>ok</v>
      </c>
      <c r="AK859" t="s">
        <v>2679</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5700</v>
      </c>
      <c r="G860">
        <v>0</v>
      </c>
      <c r="H860" t="s">
        <v>205</v>
      </c>
      <c r="I860" s="75" t="str">
        <f ca="1">IF(Table7[[#This Row],[Type]]="KILL",IF(_xlfn.NUMBERVALUE(RIGHT(Table7[[#This Row],[Min]],LEN(Table7[[#This Row],[Min]])-FIND("-",Table7[[#This Row],[Min]])))&gt;INDIRECT(ADDRESS(11+MATCH(LEFT(Table7[[#This Row],[Min]],FIND("-",Table7[[#This Row],[Min]])-1),Table1[Content Sku],0),14,1,1,"Entities")),"review","ok"),"ok")</f>
        <v>ok</v>
      </c>
      <c r="U860" t="s">
        <v>122</v>
      </c>
      <c r="V860">
        <v>0</v>
      </c>
      <c r="W860">
        <v>0</v>
      </c>
      <c r="X860" t="s">
        <v>8</v>
      </c>
      <c r="Y860" s="75" t="str">
        <f ca="1">IF(Table15[[#This Row],[Type]]="KILL",IF(_xlfn.NUMBERVALUE(RIGHT(Table15[[#This Row],[Min]],LEN(Table15[[#This Row],[Min]])-FIND("-",Table15[[#This Row],[Min]])))&gt;INDIRECT(ADDRESS(11+MATCH(LEFT(Table15[[#This Row],[Min]],FIND("-",Table15[[#This Row],[Min]])-1),Table1[Content Sku],0),16,1,1,"Entities")),"review","ok"),"ok")</f>
        <v>ok</v>
      </c>
      <c r="AK860" t="s">
        <v>2679</v>
      </c>
      <c r="AL860" t="s">
        <v>5022</v>
      </c>
      <c r="AM860" t="s">
        <v>4477</v>
      </c>
      <c r="AN860" t="s">
        <v>4478</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122</v>
      </c>
      <c r="V861">
        <v>31000</v>
      </c>
      <c r="W861">
        <v>0</v>
      </c>
      <c r="X861" t="s">
        <v>205</v>
      </c>
      <c r="Y861" s="75" t="str">
        <f ca="1">IF(Table15[[#This Row],[Type]]="KILL",IF(_xlfn.NUMBERVALUE(RIGHT(Table15[[#This Row],[Min]],LEN(Table15[[#This Row],[Min]])-FIND("-",Table15[[#This Row],[Min]])))&gt;INDIRECT(ADDRESS(11+MATCH(LEFT(Table15[[#This Row],[Min]],FIND("-",Table15[[#This Row],[Min]])-1),Table1[Content Sku],0),16,1,1,"Entities")),"review","ok"),"ok")</f>
        <v>ok</v>
      </c>
      <c r="AK861" t="s">
        <v>2679</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0</v>
      </c>
      <c r="G862">
        <v>5000</v>
      </c>
      <c r="H862" t="s">
        <v>205</v>
      </c>
      <c r="I862" s="75" t="str">
        <f ca="1">IF(Table7[[#This Row],[Type]]="KILL",IF(_xlfn.NUMBERVALUE(RIGHT(Table7[[#This Row],[Min]],LEN(Table7[[#This Row],[Min]])-FIND("-",Table7[[#This Row],[Min]])))&gt;INDIRECT(ADDRESS(11+MATCH(LEFT(Table7[[#This Row],[Min]],FIND("-",Table7[[#This Row],[Min]])-1),Table1[Content Sku],0),14,1,1,"Entities")),"review","ok"),"ok")</f>
        <v>ok</v>
      </c>
      <c r="U862" t="s">
        <v>122</v>
      </c>
      <c r="V862">
        <v>0</v>
      </c>
      <c r="W862">
        <v>0</v>
      </c>
      <c r="X862" t="s">
        <v>8</v>
      </c>
      <c r="Y862" s="75" t="str">
        <f ca="1">IF(Table15[[#This Row],[Type]]="KILL",IF(_xlfn.NUMBERVALUE(RIGHT(Table15[[#This Row],[Min]],LEN(Table15[[#This Row],[Min]])-FIND("-",Table15[[#This Row],[Min]])))&gt;INDIRECT(ADDRESS(11+MATCH(LEFT(Table15[[#This Row],[Min]],FIND("-",Table15[[#This Row],[Min]])-1),Table1[Content Sku],0),16,1,1,"Entities")),"review","ok"),"ok")</f>
        <v>ok</v>
      </c>
      <c r="AK862" t="s">
        <v>2679</v>
      </c>
      <c r="AL862">
        <v>43000</v>
      </c>
      <c r="AM862">
        <v>0</v>
      </c>
      <c r="AN862" t="s">
        <v>205</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9000</v>
      </c>
      <c r="G863">
        <v>0</v>
      </c>
      <c r="H863" t="s">
        <v>205</v>
      </c>
      <c r="I863" s="75" t="str">
        <f ca="1">IF(Table7[[#This Row],[Type]]="KILL",IF(_xlfn.NUMBERVALUE(RIGHT(Table7[[#This Row],[Min]],LEN(Table7[[#This Row],[Min]])-FIND("-",Table7[[#This Row],[Min]])))&gt;INDIRECT(ADDRESS(11+MATCH(LEFT(Table7[[#This Row],[Min]],FIND("-",Table7[[#This Row],[Min]])-1),Table1[Content Sku],0),14,1,1,"Entities")),"review","ok"),"ok")</f>
        <v>ok</v>
      </c>
      <c r="U863" t="s">
        <v>122</v>
      </c>
      <c r="V863">
        <v>29000</v>
      </c>
      <c r="W863">
        <v>0</v>
      </c>
      <c r="X863" t="s">
        <v>205</v>
      </c>
      <c r="Y863" s="75" t="str">
        <f ca="1">IF(Table15[[#This Row],[Type]]="KILL",IF(_xlfn.NUMBERVALUE(RIGHT(Table15[[#This Row],[Min]],LEN(Table15[[#This Row],[Min]])-FIND("-",Table15[[#This Row],[Min]])))&gt;INDIRECT(ADDRESS(11+MATCH(LEFT(Table15[[#This Row],[Min]],FIND("-",Table15[[#This Row],[Min]])-1),Table1[Content Sku],0),16,1,1,"Entities")),"review","ok"),"ok")</f>
        <v>ok</v>
      </c>
      <c r="AK863" t="s">
        <v>2679</v>
      </c>
      <c r="AL863">
        <v>86000</v>
      </c>
      <c r="AM863">
        <v>0</v>
      </c>
      <c r="AN863" t="s">
        <v>205</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0</v>
      </c>
      <c r="H864" t="s">
        <v>8</v>
      </c>
      <c r="I864" s="75" t="str">
        <f ca="1">IF(Table7[[#This Row],[Type]]="KILL",IF(_xlfn.NUMBERVALUE(RIGHT(Table7[[#This Row],[Min]],LEN(Table7[[#This Row],[Min]])-FIND("-",Table7[[#This Row],[Min]])))&gt;INDIRECT(ADDRESS(11+MATCH(LEFT(Table7[[#This Row],[Min]],FIND("-",Table7[[#This Row],[Min]])-1),Table1[Content Sku],0),14,1,1,"Entities")),"review","ok"),"ok")</f>
        <v>ok</v>
      </c>
      <c r="U864" t="s">
        <v>122</v>
      </c>
      <c r="V864">
        <v>0</v>
      </c>
      <c r="W864">
        <v>0</v>
      </c>
      <c r="X864" t="s">
        <v>8</v>
      </c>
      <c r="Y864" s="75" t="str">
        <f ca="1">IF(Table15[[#This Row],[Type]]="KILL",IF(_xlfn.NUMBERVALUE(RIGHT(Table15[[#This Row],[Min]],LEN(Table15[[#This Row],[Min]])-FIND("-",Table15[[#This Row],[Min]])))&gt;INDIRECT(ADDRESS(11+MATCH(LEFT(Table15[[#This Row],[Min]],FIND("-",Table15[[#This Row],[Min]])-1),Table1[Content Sku],0),16,1,1,"Entities")),"review","ok"),"ok")</f>
        <v>ok</v>
      </c>
      <c r="AK864" t="s">
        <v>2679</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0</v>
      </c>
      <c r="G865">
        <v>0</v>
      </c>
      <c r="H865" t="s">
        <v>8</v>
      </c>
      <c r="I865" s="75" t="str">
        <f ca="1">IF(Table7[[#This Row],[Type]]="KILL",IF(_xlfn.NUMBERVALUE(RIGHT(Table7[[#This Row],[Min]],LEN(Table7[[#This Row],[Min]])-FIND("-",Table7[[#This Row],[Min]])))&gt;INDIRECT(ADDRESS(11+MATCH(LEFT(Table7[[#This Row],[Min]],FIND("-",Table7[[#This Row],[Min]])-1),Table1[Content Sku],0),14,1,1,"Entities")),"review","ok"),"ok")</f>
        <v>ok</v>
      </c>
      <c r="U865" t="s">
        <v>122</v>
      </c>
      <c r="V865">
        <v>0</v>
      </c>
      <c r="W865">
        <v>0</v>
      </c>
      <c r="X865" t="s">
        <v>8</v>
      </c>
      <c r="Y865" s="75" t="str">
        <f ca="1">IF(Table15[[#This Row],[Type]]="KILL",IF(_xlfn.NUMBERVALUE(RIGHT(Table15[[#This Row],[Min]],LEN(Table15[[#This Row],[Min]])-FIND("-",Table15[[#This Row],[Min]])))&gt;INDIRECT(ADDRESS(11+MATCH(LEFT(Table15[[#This Row],[Min]],FIND("-",Table15[[#This Row],[Min]])-1),Table1[Content Sku],0),16,1,1,"Entities")),"review","ok"),"ok")</f>
        <v>ok</v>
      </c>
      <c r="AK865" t="s">
        <v>2679</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12000</v>
      </c>
      <c r="G866">
        <v>0</v>
      </c>
      <c r="H866" t="s">
        <v>205</v>
      </c>
      <c r="I866" s="75" t="str">
        <f ca="1">IF(Table7[[#This Row],[Type]]="KILL",IF(_xlfn.NUMBERVALUE(RIGHT(Table7[[#This Row],[Min]],LEN(Table7[[#This Row],[Min]])-FIND("-",Table7[[#This Row],[Min]])))&gt;INDIRECT(ADDRESS(11+MATCH(LEFT(Table7[[#This Row],[Min]],FIND("-",Table7[[#This Row],[Min]])-1),Table1[Content Sku],0),14,1,1,"Entities")),"review","ok"),"ok")</f>
        <v>ok</v>
      </c>
      <c r="U866" t="s">
        <v>122</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2679</v>
      </c>
      <c r="AL866">
        <v>45000</v>
      </c>
      <c r="AM866">
        <v>0</v>
      </c>
      <c r="AN866" t="s">
        <v>205</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3800</v>
      </c>
      <c r="H867" t="s">
        <v>205</v>
      </c>
      <c r="I867" s="75" t="str">
        <f ca="1">IF(Table7[[#This Row],[Type]]="KILL",IF(_xlfn.NUMBERVALUE(RIGHT(Table7[[#This Row],[Min]],LEN(Table7[[#This Row],[Min]])-FIND("-",Table7[[#This Row],[Min]])))&gt;INDIRECT(ADDRESS(11+MATCH(LEFT(Table7[[#This Row],[Min]],FIND("-",Table7[[#This Row],[Min]])-1),Table1[Content Sku],0),14,1,1,"Entities")),"review","ok"),"ok")</f>
        <v>ok</v>
      </c>
      <c r="U867" t="s">
        <v>122</v>
      </c>
      <c r="V867">
        <v>0</v>
      </c>
      <c r="W867">
        <v>0</v>
      </c>
      <c r="X867" t="s">
        <v>8</v>
      </c>
      <c r="Y867" s="75" t="str">
        <f ca="1">IF(Table15[[#This Row],[Type]]="KILL",IF(_xlfn.NUMBERVALUE(RIGHT(Table15[[#This Row],[Min]],LEN(Table15[[#This Row],[Min]])-FIND("-",Table15[[#This Row],[Min]])))&gt;INDIRECT(ADDRESS(11+MATCH(LEFT(Table15[[#This Row],[Min]],FIND("-",Table15[[#This Row],[Min]])-1),Table1[Content Sku],0),16,1,1,"Entities")),"review","ok"),"ok")</f>
        <v>ok</v>
      </c>
      <c r="AK867" t="s">
        <v>2679</v>
      </c>
      <c r="AL867">
        <v>80000</v>
      </c>
      <c r="AM867">
        <v>0</v>
      </c>
      <c r="AN867" t="s">
        <v>205</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4000</v>
      </c>
      <c r="G868">
        <v>0</v>
      </c>
      <c r="H868" t="s">
        <v>205</v>
      </c>
      <c r="I868" s="75" t="str">
        <f ca="1">IF(Table7[[#This Row],[Type]]="KILL",IF(_xlfn.NUMBERVALUE(RIGHT(Table7[[#This Row],[Min]],LEN(Table7[[#This Row],[Min]])-FIND("-",Table7[[#This Row],[Min]])))&gt;INDIRECT(ADDRESS(11+MATCH(LEFT(Table7[[#This Row],[Min]],FIND("-",Table7[[#This Row],[Min]])-1),Table1[Content Sku],0),14,1,1,"Entities")),"review","ok"),"ok")</f>
        <v>ok</v>
      </c>
      <c r="U868" t="s">
        <v>122</v>
      </c>
      <c r="V868">
        <v>33000</v>
      </c>
      <c r="W868">
        <v>0</v>
      </c>
      <c r="X868" t="s">
        <v>205</v>
      </c>
      <c r="Y868" s="75" t="str">
        <f ca="1">IF(Table15[[#This Row],[Type]]="KILL",IF(_xlfn.NUMBERVALUE(RIGHT(Table15[[#This Row],[Min]],LEN(Table15[[#This Row],[Min]])-FIND("-",Table15[[#This Row],[Min]])))&gt;INDIRECT(ADDRESS(11+MATCH(LEFT(Table15[[#This Row],[Min]],FIND("-",Table15[[#This Row],[Min]])-1),Table1[Content Sku],0),16,1,1,"Entities")),"review","ok"),"ok")</f>
        <v>ok</v>
      </c>
      <c r="AK868" t="s">
        <v>2693</v>
      </c>
      <c r="AL868">
        <v>90000</v>
      </c>
      <c r="AM868">
        <v>0</v>
      </c>
      <c r="AN868" t="s">
        <v>205</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0</v>
      </c>
      <c r="H869" t="s">
        <v>8</v>
      </c>
      <c r="I869" s="75" t="str">
        <f ca="1">IF(Table7[[#This Row],[Type]]="KILL",IF(_xlfn.NUMBERVALUE(RIGHT(Table7[[#This Row],[Min]],LEN(Table7[[#This Row],[Min]])-FIND("-",Table7[[#This Row],[Min]])))&gt;INDIRECT(ADDRESS(11+MATCH(LEFT(Table7[[#This Row],[Min]],FIND("-",Table7[[#This Row],[Min]])-1),Table1[Content Sku],0),14,1,1,"Entities")),"review","ok"),"ok")</f>
        <v>ok</v>
      </c>
      <c r="U869" t="s">
        <v>122</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2693</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0</v>
      </c>
      <c r="G870">
        <v>0</v>
      </c>
      <c r="H870" t="s">
        <v>8</v>
      </c>
      <c r="I870" s="75" t="str">
        <f ca="1">IF(Table7[[#This Row],[Type]]="KILL",IF(_xlfn.NUMBERVALUE(RIGHT(Table7[[#This Row],[Min]],LEN(Table7[[#This Row],[Min]])-FIND("-",Table7[[#This Row],[Min]])))&gt;INDIRECT(ADDRESS(11+MATCH(LEFT(Table7[[#This Row],[Min]],FIND("-",Table7[[#This Row],[Min]])-1),Table1[Content Sku],0),14,1,1,"Entities")),"review","ok"),"ok")</f>
        <v>ok</v>
      </c>
      <c r="U870" t="s">
        <v>122</v>
      </c>
      <c r="V870">
        <v>27000</v>
      </c>
      <c r="W870">
        <v>0</v>
      </c>
      <c r="X870" t="s">
        <v>205</v>
      </c>
      <c r="Y870" s="75" t="str">
        <f ca="1">IF(Table15[[#This Row],[Type]]="KILL",IF(_xlfn.NUMBERVALUE(RIGHT(Table15[[#This Row],[Min]],LEN(Table15[[#This Row],[Min]])-FIND("-",Table15[[#This Row],[Min]])))&gt;INDIRECT(ADDRESS(11+MATCH(LEFT(Table15[[#This Row],[Min]],FIND("-",Table15[[#This Row],[Min]])-1),Table1[Content Sku],0),16,1,1,"Entities")),"review","ok"),"ok")</f>
        <v>ok</v>
      </c>
      <c r="AK870" t="s">
        <v>2693</v>
      </c>
      <c r="AL870">
        <v>88000</v>
      </c>
      <c r="AM870">
        <v>0</v>
      </c>
      <c r="AN870" t="s">
        <v>205</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122</v>
      </c>
      <c r="V871">
        <v>35000</v>
      </c>
      <c r="W871">
        <v>0</v>
      </c>
      <c r="X871" t="s">
        <v>205</v>
      </c>
      <c r="Y871" s="75" t="str">
        <f ca="1">IF(Table15[[#This Row],[Type]]="KILL",IF(_xlfn.NUMBERVALUE(RIGHT(Table15[[#This Row],[Min]],LEN(Table15[[#This Row],[Min]])-FIND("-",Table15[[#This Row],[Min]])))&gt;INDIRECT(ADDRESS(11+MATCH(LEFT(Table15[[#This Row],[Min]],FIND("-",Table15[[#This Row],[Min]])-1),Table1[Content Sku],0),16,1,1,"Entities")),"review","ok"),"ok")</f>
        <v>ok</v>
      </c>
      <c r="AK871" t="s">
        <v>2693</v>
      </c>
      <c r="AL871">
        <v>94000</v>
      </c>
      <c r="AM871">
        <v>0</v>
      </c>
      <c r="AN871" t="s">
        <v>205</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122</v>
      </c>
      <c r="V872">
        <v>30000</v>
      </c>
      <c r="W872">
        <v>0</v>
      </c>
      <c r="X872" t="s">
        <v>205</v>
      </c>
      <c r="Y872" s="75" t="str">
        <f ca="1">IF(Table15[[#This Row],[Type]]="KILL",IF(_xlfn.NUMBERVALUE(RIGHT(Table15[[#This Row],[Min]],LEN(Table15[[#This Row],[Min]])-FIND("-",Table15[[#This Row],[Min]])))&gt;INDIRECT(ADDRESS(11+MATCH(LEFT(Table15[[#This Row],[Min]],FIND("-",Table15[[#This Row],[Min]])-1),Table1[Content Sku],0),16,1,1,"Entities")),"review","ok"),"ok")</f>
        <v>ok</v>
      </c>
      <c r="AK872" t="s">
        <v>2693</v>
      </c>
      <c r="AL872">
        <v>92000</v>
      </c>
      <c r="AM872">
        <v>0</v>
      </c>
      <c r="AN872" t="s">
        <v>205</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122</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2693</v>
      </c>
      <c r="AL873">
        <v>96000</v>
      </c>
      <c r="AM873">
        <v>0</v>
      </c>
      <c r="AN873" t="s">
        <v>205</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122</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4438</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122</v>
      </c>
      <c r="V875">
        <v>0</v>
      </c>
      <c r="W875">
        <v>0</v>
      </c>
      <c r="X875" t="s">
        <v>8</v>
      </c>
      <c r="Y875" s="75" t="str">
        <f ca="1">IF(Table15[[#This Row],[Type]]="KILL",IF(_xlfn.NUMBERVALUE(RIGHT(Table15[[#This Row],[Min]],LEN(Table15[[#This Row],[Min]])-FIND("-",Table15[[#This Row],[Min]])))&gt;INDIRECT(ADDRESS(11+MATCH(LEFT(Table15[[#This Row],[Min]],FIND("-",Table15[[#This Row],[Min]])-1),Table1[Content Sku],0),16,1,1,"Entities")),"review","ok"),"ok")</f>
        <v>ok</v>
      </c>
      <c r="AK875" t="s">
        <v>4438</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9000</v>
      </c>
      <c r="G876">
        <v>0</v>
      </c>
      <c r="H876" t="s">
        <v>205</v>
      </c>
      <c r="I876" s="75" t="str">
        <f ca="1">IF(Table7[[#This Row],[Type]]="KILL",IF(_xlfn.NUMBERVALUE(RIGHT(Table7[[#This Row],[Min]],LEN(Table7[[#This Row],[Min]])-FIND("-",Table7[[#This Row],[Min]])))&gt;INDIRECT(ADDRESS(11+MATCH(LEFT(Table7[[#This Row],[Min]],FIND("-",Table7[[#This Row],[Min]])-1),Table1[Content Sku],0),14,1,1,"Entities")),"review","ok"),"ok")</f>
        <v>ok</v>
      </c>
      <c r="U876" t="s">
        <v>122</v>
      </c>
      <c r="V876">
        <v>34000</v>
      </c>
      <c r="W876">
        <v>0</v>
      </c>
      <c r="X876" t="s">
        <v>205</v>
      </c>
      <c r="Y876" s="75" t="str">
        <f ca="1">IF(Table15[[#This Row],[Type]]="KILL",IF(_xlfn.NUMBERVALUE(RIGHT(Table15[[#This Row],[Min]],LEN(Table15[[#This Row],[Min]])-FIND("-",Table15[[#This Row],[Min]])))&gt;INDIRECT(ADDRESS(11+MATCH(LEFT(Table15[[#This Row],[Min]],FIND("-",Table15[[#This Row],[Min]])-1),Table1[Content Sku],0),16,1,1,"Entities")),"review","ok"),"ok")</f>
        <v>ok</v>
      </c>
      <c r="AK876" t="s">
        <v>4438</v>
      </c>
      <c r="AL876">
        <v>36500</v>
      </c>
      <c r="AM876">
        <v>0</v>
      </c>
      <c r="AN876" t="s">
        <v>205</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8500</v>
      </c>
      <c r="G877">
        <v>0</v>
      </c>
      <c r="H877" t="s">
        <v>205</v>
      </c>
      <c r="I877" s="75" t="str">
        <f ca="1">IF(Table7[[#This Row],[Type]]="KILL",IF(_xlfn.NUMBERVALUE(RIGHT(Table7[[#This Row],[Min]],LEN(Table7[[#This Row],[Min]])-FIND("-",Table7[[#This Row],[Min]])))&gt;INDIRECT(ADDRESS(11+MATCH(LEFT(Table7[[#This Row],[Min]],FIND("-",Table7[[#This Row],[Min]])-1),Table1[Content Sku],0),14,1,1,"Entities")),"review","ok"),"ok")</f>
        <v>ok</v>
      </c>
      <c r="U877" t="s">
        <v>122</v>
      </c>
      <c r="V877">
        <v>0</v>
      </c>
      <c r="W877">
        <v>0</v>
      </c>
      <c r="X877" t="s">
        <v>8</v>
      </c>
      <c r="Y877" s="75" t="str">
        <f ca="1">IF(Table15[[#This Row],[Type]]="KILL",IF(_xlfn.NUMBERVALUE(RIGHT(Table15[[#This Row],[Min]],LEN(Table15[[#This Row],[Min]])-FIND("-",Table15[[#This Row],[Min]])))&gt;INDIRECT(ADDRESS(11+MATCH(LEFT(Table15[[#This Row],[Min]],FIND("-",Table15[[#This Row],[Min]])-1),Table1[Content Sku],0),16,1,1,"Entities")),"review","ok"),"ok")</f>
        <v>ok</v>
      </c>
      <c r="AK877" t="s">
        <v>4438</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6000</v>
      </c>
      <c r="G878">
        <v>17000</v>
      </c>
      <c r="H878" t="s">
        <v>205</v>
      </c>
      <c r="I878" s="75" t="str">
        <f ca="1">IF(Table7[[#This Row],[Type]]="KILL",IF(_xlfn.NUMBERVALUE(RIGHT(Table7[[#This Row],[Min]],LEN(Table7[[#This Row],[Min]])-FIND("-",Table7[[#This Row],[Min]])))&gt;INDIRECT(ADDRESS(11+MATCH(LEFT(Table7[[#This Row],[Min]],FIND("-",Table7[[#This Row],[Min]])-1),Table1[Content Sku],0),14,1,1,"Entities")),"review","ok"),"ok")</f>
        <v>ok</v>
      </c>
      <c r="U878" t="s">
        <v>122</v>
      </c>
      <c r="V878">
        <v>38000</v>
      </c>
      <c r="W878">
        <v>0</v>
      </c>
      <c r="X878" t="s">
        <v>205</v>
      </c>
      <c r="Y878" s="75" t="str">
        <f ca="1">IF(Table15[[#This Row],[Type]]="KILL",IF(_xlfn.NUMBERVALUE(RIGHT(Table15[[#This Row],[Min]],LEN(Table15[[#This Row],[Min]])-FIND("-",Table15[[#This Row],[Min]])))&gt;INDIRECT(ADDRESS(11+MATCH(LEFT(Table15[[#This Row],[Min]],FIND("-",Table15[[#This Row],[Min]])-1),Table1[Content Sku],0),16,1,1,"Entities")),"review","ok"),"ok")</f>
        <v>ok</v>
      </c>
      <c r="AK878" t="s">
        <v>4438</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0</v>
      </c>
      <c r="G879">
        <v>0</v>
      </c>
      <c r="H879" t="s">
        <v>8</v>
      </c>
      <c r="I879" s="75" t="str">
        <f ca="1">IF(Table7[[#This Row],[Type]]="KILL",IF(_xlfn.NUMBERVALUE(RIGHT(Table7[[#This Row],[Min]],LEN(Table7[[#This Row],[Min]])-FIND("-",Table7[[#This Row],[Min]])))&gt;INDIRECT(ADDRESS(11+MATCH(LEFT(Table7[[#This Row],[Min]],FIND("-",Table7[[#This Row],[Min]])-1),Table1[Content Sku],0),14,1,1,"Entities")),"review","ok"),"ok")</f>
        <v>ok</v>
      </c>
      <c r="U879" t="s">
        <v>122</v>
      </c>
      <c r="V879">
        <v>0</v>
      </c>
      <c r="W879">
        <v>0</v>
      </c>
      <c r="X879" t="s">
        <v>8</v>
      </c>
      <c r="Y879" s="75" t="str">
        <f ca="1">IF(Table15[[#This Row],[Type]]="KILL",IF(_xlfn.NUMBERVALUE(RIGHT(Table15[[#This Row],[Min]],LEN(Table15[[#This Row],[Min]])-FIND("-",Table15[[#This Row],[Min]])))&gt;INDIRECT(ADDRESS(11+MATCH(LEFT(Table15[[#This Row],[Min]],FIND("-",Table15[[#This Row],[Min]])-1),Table1[Content Sku],0),16,1,1,"Entities")),"review","ok"),"ok")</f>
        <v>ok</v>
      </c>
      <c r="AK879" t="s">
        <v>4438</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0</v>
      </c>
      <c r="G880">
        <v>0</v>
      </c>
      <c r="H880" t="s">
        <v>8</v>
      </c>
      <c r="I880" s="75" t="str">
        <f ca="1">IF(Table7[[#This Row],[Type]]="KILL",IF(_xlfn.NUMBERVALUE(RIGHT(Table7[[#This Row],[Min]],LEN(Table7[[#This Row],[Min]])-FIND("-",Table7[[#This Row],[Min]])))&gt;INDIRECT(ADDRESS(11+MATCH(LEFT(Table7[[#This Row],[Min]],FIND("-",Table7[[#This Row],[Min]])-1),Table1[Content Sku],0),14,1,1,"Entities")),"review","ok"),"ok")</f>
        <v>ok</v>
      </c>
      <c r="U880" t="s">
        <v>122</v>
      </c>
      <c r="V880">
        <v>36000</v>
      </c>
      <c r="W880">
        <v>0</v>
      </c>
      <c r="X880" t="s">
        <v>205</v>
      </c>
      <c r="Y880" s="75" t="str">
        <f ca="1">IF(Table15[[#This Row],[Type]]="KILL",IF(_xlfn.NUMBERVALUE(RIGHT(Table15[[#This Row],[Min]],LEN(Table15[[#This Row],[Min]])-FIND("-",Table15[[#This Row],[Min]])))&gt;INDIRECT(ADDRESS(11+MATCH(LEFT(Table15[[#This Row],[Min]],FIND("-",Table15[[#This Row],[Min]])-1),Table1[Content Sku],0),16,1,1,"Entities")),"review","ok"),"ok")</f>
        <v>ok</v>
      </c>
      <c r="AK880" t="s">
        <v>4438</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9500</v>
      </c>
      <c r="G881">
        <v>0</v>
      </c>
      <c r="H881" t="s">
        <v>205</v>
      </c>
      <c r="I881" s="75" t="str">
        <f ca="1">IF(Table7[[#This Row],[Type]]="KILL",IF(_xlfn.NUMBERVALUE(RIGHT(Table7[[#This Row],[Min]],LEN(Table7[[#This Row],[Min]])-FIND("-",Table7[[#This Row],[Min]])))&gt;INDIRECT(ADDRESS(11+MATCH(LEFT(Table7[[#This Row],[Min]],FIND("-",Table7[[#This Row],[Min]])-1),Table1[Content Sku],0),14,1,1,"Entities")),"review","ok"),"ok")</f>
        <v>ok</v>
      </c>
      <c r="U881" t="s">
        <v>122</v>
      </c>
      <c r="V881">
        <v>40000</v>
      </c>
      <c r="W881">
        <v>0</v>
      </c>
      <c r="X881" t="s">
        <v>205</v>
      </c>
      <c r="Y881" s="75" t="str">
        <f ca="1">IF(Table15[[#This Row],[Type]]="KILL",IF(_xlfn.NUMBERVALUE(RIGHT(Table15[[#This Row],[Min]],LEN(Table15[[#This Row],[Min]])-FIND("-",Table15[[#This Row],[Min]])))&gt;INDIRECT(ADDRESS(11+MATCH(LEFT(Table15[[#This Row],[Min]],FIND("-",Table15[[#This Row],[Min]])-1),Table1[Content Sku],0),16,1,1,"Entities")),"review","ok"),"ok")</f>
        <v>ok</v>
      </c>
      <c r="AK881" t="s">
        <v>4438</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14000</v>
      </c>
      <c r="G882">
        <v>0</v>
      </c>
      <c r="H882" t="s">
        <v>205</v>
      </c>
      <c r="I882" s="75" t="str">
        <f ca="1">IF(Table7[[#This Row],[Type]]="KILL",IF(_xlfn.NUMBERVALUE(RIGHT(Table7[[#This Row],[Min]],LEN(Table7[[#This Row],[Min]])-FIND("-",Table7[[#This Row],[Min]])))&gt;INDIRECT(ADDRESS(11+MATCH(LEFT(Table7[[#This Row],[Min]],FIND("-",Table7[[#This Row],[Min]])-1),Table1[Content Sku],0),14,1,1,"Entities")),"review","ok"),"ok")</f>
        <v>ok</v>
      </c>
      <c r="U882" t="s">
        <v>122</v>
      </c>
      <c r="V882">
        <v>20000</v>
      </c>
      <c r="W882">
        <v>0</v>
      </c>
      <c r="X882" t="s">
        <v>205</v>
      </c>
      <c r="Y882" s="75" t="str">
        <f ca="1">IF(Table15[[#This Row],[Type]]="KILL",IF(_xlfn.NUMBERVALUE(RIGHT(Table15[[#This Row],[Min]],LEN(Table15[[#This Row],[Min]])-FIND("-",Table15[[#This Row],[Min]])))&gt;INDIRECT(ADDRESS(11+MATCH(LEFT(Table15[[#This Row],[Min]],FIND("-",Table15[[#This Row],[Min]])-1),Table1[Content Sku],0),16,1,1,"Entities")),"review","ok"),"ok")</f>
        <v>ok</v>
      </c>
      <c r="AK882" t="s">
        <v>4438</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0</v>
      </c>
      <c r="G883">
        <v>0</v>
      </c>
      <c r="H883" t="s">
        <v>8</v>
      </c>
      <c r="I883" s="75" t="str">
        <f ca="1">IF(Table7[[#This Row],[Type]]="KILL",IF(_xlfn.NUMBERVALUE(RIGHT(Table7[[#This Row],[Min]],LEN(Table7[[#This Row],[Min]])-FIND("-",Table7[[#This Row],[Min]])))&gt;INDIRECT(ADDRESS(11+MATCH(LEFT(Table7[[#This Row],[Min]],FIND("-",Table7[[#This Row],[Min]])-1),Table1[Content Sku],0),14,1,1,"Entities")),"review","ok"),"ok")</f>
        <v>ok</v>
      </c>
      <c r="U883" t="s">
        <v>122</v>
      </c>
      <c r="V883">
        <v>0</v>
      </c>
      <c r="W883">
        <v>0</v>
      </c>
      <c r="X883" t="s">
        <v>8</v>
      </c>
      <c r="Y883" s="75" t="str">
        <f ca="1">IF(Table15[[#This Row],[Type]]="KILL",IF(_xlfn.NUMBERVALUE(RIGHT(Table15[[#This Row],[Min]],LEN(Table15[[#This Row],[Min]])-FIND("-",Table15[[#This Row],[Min]])))&gt;INDIRECT(ADDRESS(11+MATCH(LEFT(Table15[[#This Row],[Min]],FIND("-",Table15[[#This Row],[Min]])-1),Table1[Content Sku],0),16,1,1,"Entities")),"review","ok"),"ok")</f>
        <v>ok</v>
      </c>
      <c r="AK883" t="s">
        <v>4438</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0</v>
      </c>
      <c r="G884">
        <v>0</v>
      </c>
      <c r="H884" t="s">
        <v>8</v>
      </c>
      <c r="I884" s="75" t="str">
        <f ca="1">IF(Table7[[#This Row],[Type]]="KILL",IF(_xlfn.NUMBERVALUE(RIGHT(Table7[[#This Row],[Min]],LEN(Table7[[#This Row],[Min]])-FIND("-",Table7[[#This Row],[Min]])))&gt;INDIRECT(ADDRESS(11+MATCH(LEFT(Table7[[#This Row],[Min]],FIND("-",Table7[[#This Row],[Min]])-1),Table1[Content Sku],0),14,1,1,"Entities")),"review","ok"),"ok")</f>
        <v>ok</v>
      </c>
      <c r="U884" t="s">
        <v>122</v>
      </c>
      <c r="V884">
        <v>0</v>
      </c>
      <c r="W884">
        <v>0</v>
      </c>
      <c r="X884" t="s">
        <v>8</v>
      </c>
      <c r="Y884" s="75" t="str">
        <f ca="1">IF(Table15[[#This Row],[Type]]="KILL",IF(_xlfn.NUMBERVALUE(RIGHT(Table15[[#This Row],[Min]],LEN(Table15[[#This Row],[Min]])-FIND("-",Table15[[#This Row],[Min]])))&gt;INDIRECT(ADDRESS(11+MATCH(LEFT(Table15[[#This Row],[Min]],FIND("-",Table15[[#This Row],[Min]])-1),Table1[Content Sku],0),16,1,1,"Entities")),"review","ok"),"ok")</f>
        <v>ok</v>
      </c>
      <c r="AK884" t="s">
        <v>4438</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122</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4438</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7000</v>
      </c>
      <c r="H886" t="s">
        <v>205</v>
      </c>
      <c r="I886" s="75" t="str">
        <f ca="1">IF(Table7[[#This Row],[Type]]="KILL",IF(_xlfn.NUMBERVALUE(RIGHT(Table7[[#This Row],[Min]],LEN(Table7[[#This Row],[Min]])-FIND("-",Table7[[#This Row],[Min]])))&gt;INDIRECT(ADDRESS(11+MATCH(LEFT(Table7[[#This Row],[Min]],FIND("-",Table7[[#This Row],[Min]])-1),Table1[Content Sku],0),14,1,1,"Entities")),"review","ok"),"ok")</f>
        <v>ok</v>
      </c>
      <c r="U886" t="s">
        <v>122</v>
      </c>
      <c r="V886">
        <v>0</v>
      </c>
      <c r="W886">
        <v>0</v>
      </c>
      <c r="X886" t="s">
        <v>8</v>
      </c>
      <c r="Y886" s="75" t="str">
        <f ca="1">IF(Table15[[#This Row],[Type]]="KILL",IF(_xlfn.NUMBERVALUE(RIGHT(Table15[[#This Row],[Min]],LEN(Table15[[#This Row],[Min]])-FIND("-",Table15[[#This Row],[Min]])))&gt;INDIRECT(ADDRESS(11+MATCH(LEFT(Table15[[#This Row],[Min]],FIND("-",Table15[[#This Row],[Min]])-1),Table1[Content Sku],0),16,1,1,"Entities")),"review","ok"),"ok")</f>
        <v>ok</v>
      </c>
      <c r="AK886" t="s">
        <v>540</v>
      </c>
      <c r="AL886">
        <v>0</v>
      </c>
      <c r="AM886">
        <v>35000</v>
      </c>
      <c r="AN886" t="s">
        <v>205</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20000</v>
      </c>
      <c r="G887">
        <v>0</v>
      </c>
      <c r="H887" t="s">
        <v>205</v>
      </c>
      <c r="I887" s="75" t="str">
        <f ca="1">IF(Table7[[#This Row],[Type]]="KILL",IF(_xlfn.NUMBERVALUE(RIGHT(Table7[[#This Row],[Min]],LEN(Table7[[#This Row],[Min]])-FIND("-",Table7[[#This Row],[Min]])))&gt;INDIRECT(ADDRESS(11+MATCH(LEFT(Table7[[#This Row],[Min]],FIND("-",Table7[[#This Row],[Min]])-1),Table1[Content Sku],0),14,1,1,"Entities")),"review","ok"),"ok")</f>
        <v>ok</v>
      </c>
      <c r="U887" t="s">
        <v>122</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540</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13000</v>
      </c>
      <c r="G888">
        <v>0</v>
      </c>
      <c r="H888" t="s">
        <v>205</v>
      </c>
      <c r="I888" s="75" t="str">
        <f ca="1">IF(Table7[[#This Row],[Type]]="KILL",IF(_xlfn.NUMBERVALUE(RIGHT(Table7[[#This Row],[Min]],LEN(Table7[[#This Row],[Min]])-FIND("-",Table7[[#This Row],[Min]])))&gt;INDIRECT(ADDRESS(11+MATCH(LEFT(Table7[[#This Row],[Min]],FIND("-",Table7[[#This Row],[Min]])-1),Table1[Content Sku],0),14,1,1,"Entities")),"review","ok"),"ok")</f>
        <v>ok</v>
      </c>
      <c r="U888" t="s">
        <v>122</v>
      </c>
      <c r="V888">
        <v>30000</v>
      </c>
      <c r="W888">
        <v>0</v>
      </c>
      <c r="X888" t="s">
        <v>205</v>
      </c>
      <c r="Y888" s="75" t="str">
        <f ca="1">IF(Table15[[#This Row],[Type]]="KILL",IF(_xlfn.NUMBERVALUE(RIGHT(Table15[[#This Row],[Min]],LEN(Table15[[#This Row],[Min]])-FIND("-",Table15[[#This Row],[Min]])))&gt;INDIRECT(ADDRESS(11+MATCH(LEFT(Table15[[#This Row],[Min]],FIND("-",Table15[[#This Row],[Min]])-1),Table1[Content Sku],0),16,1,1,"Entities")),"review","ok"),"ok")</f>
        <v>ok</v>
      </c>
      <c r="AK888" t="s">
        <v>540</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3500</v>
      </c>
      <c r="G889">
        <v>0</v>
      </c>
      <c r="H889" t="s">
        <v>205</v>
      </c>
      <c r="I889" s="75" t="str">
        <f ca="1">IF(Table7[[#This Row],[Type]]="KILL",IF(_xlfn.NUMBERVALUE(RIGHT(Table7[[#This Row],[Min]],LEN(Table7[[#This Row],[Min]])-FIND("-",Table7[[#This Row],[Min]])))&gt;INDIRECT(ADDRESS(11+MATCH(LEFT(Table7[[#This Row],[Min]],FIND("-",Table7[[#This Row],[Min]])-1),Table1[Content Sku],0),14,1,1,"Entities")),"review","ok"),"ok")</f>
        <v>ok</v>
      </c>
      <c r="U889" t="s">
        <v>122</v>
      </c>
      <c r="V889">
        <v>0</v>
      </c>
      <c r="W889">
        <v>0</v>
      </c>
      <c r="X889" t="s">
        <v>8</v>
      </c>
      <c r="Y889" s="75" t="str">
        <f ca="1">IF(Table15[[#This Row],[Type]]="KILL",IF(_xlfn.NUMBERVALUE(RIGHT(Table15[[#This Row],[Min]],LEN(Table15[[#This Row],[Min]])-FIND("-",Table15[[#This Row],[Min]])))&gt;INDIRECT(ADDRESS(11+MATCH(LEFT(Table15[[#This Row],[Min]],FIND("-",Table15[[#This Row],[Min]])-1),Table1[Content Sku],0),16,1,1,"Entities")),"review","ok"),"ok")</f>
        <v>ok</v>
      </c>
      <c r="AK889" t="s">
        <v>540</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11500</v>
      </c>
      <c r="G890">
        <v>0</v>
      </c>
      <c r="H890" t="s">
        <v>205</v>
      </c>
      <c r="I890" s="75" t="str">
        <f ca="1">IF(Table7[[#This Row],[Type]]="KILL",IF(_xlfn.NUMBERVALUE(RIGHT(Table7[[#This Row],[Min]],LEN(Table7[[#This Row],[Min]])-FIND("-",Table7[[#This Row],[Min]])))&gt;INDIRECT(ADDRESS(11+MATCH(LEFT(Table7[[#This Row],[Min]],FIND("-",Table7[[#This Row],[Min]])-1),Table1[Content Sku],0),14,1,1,"Entities")),"review","ok"),"ok")</f>
        <v>ok</v>
      </c>
      <c r="U890" t="s">
        <v>122</v>
      </c>
      <c r="V890">
        <v>0</v>
      </c>
      <c r="W890">
        <v>0</v>
      </c>
      <c r="X890" t="s">
        <v>8</v>
      </c>
      <c r="Y890" s="75" t="str">
        <f ca="1">IF(Table15[[#This Row],[Type]]="KILL",IF(_xlfn.NUMBERVALUE(RIGHT(Table15[[#This Row],[Min]],LEN(Table15[[#This Row],[Min]])-FIND("-",Table15[[#This Row],[Min]])))&gt;INDIRECT(ADDRESS(11+MATCH(LEFT(Table15[[#This Row],[Min]],FIND("-",Table15[[#This Row],[Min]])-1),Table1[Content Sku],0),16,1,1,"Entities")),"review","ok"),"ok")</f>
        <v>ok</v>
      </c>
      <c r="AK890" t="s">
        <v>540</v>
      </c>
      <c r="AL890">
        <v>40000</v>
      </c>
      <c r="AM890">
        <v>0</v>
      </c>
      <c r="AN890" t="s">
        <v>205</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8000</v>
      </c>
      <c r="G891">
        <v>0</v>
      </c>
      <c r="H891" t="s">
        <v>205</v>
      </c>
      <c r="I891" s="75" t="str">
        <f ca="1">IF(Table7[[#This Row],[Type]]="KILL",IF(_xlfn.NUMBERVALUE(RIGHT(Table7[[#This Row],[Min]],LEN(Table7[[#This Row],[Min]])-FIND("-",Table7[[#This Row],[Min]])))&gt;INDIRECT(ADDRESS(11+MATCH(LEFT(Table7[[#This Row],[Min]],FIND("-",Table7[[#This Row],[Min]])-1),Table1[Content Sku],0),14,1,1,"Entities")),"review","ok"),"ok")</f>
        <v>ok</v>
      </c>
      <c r="U891" t="s">
        <v>122</v>
      </c>
      <c r="V891">
        <v>32000</v>
      </c>
      <c r="W891">
        <v>0</v>
      </c>
      <c r="X891" t="s">
        <v>205</v>
      </c>
      <c r="Y891" s="75" t="str">
        <f ca="1">IF(Table15[[#This Row],[Type]]="KILL",IF(_xlfn.NUMBERVALUE(RIGHT(Table15[[#This Row],[Min]],LEN(Table15[[#This Row],[Min]])-FIND("-",Table15[[#This Row],[Min]])))&gt;INDIRECT(ADDRESS(11+MATCH(LEFT(Table15[[#This Row],[Min]],FIND("-",Table15[[#This Row],[Min]])-1),Table1[Content Sku],0),16,1,1,"Entities")),"review","ok"),"ok")</f>
        <v>ok</v>
      </c>
      <c r="AK891" t="s">
        <v>2750</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0</v>
      </c>
      <c r="G892">
        <v>0</v>
      </c>
      <c r="H892" t="s">
        <v>8</v>
      </c>
      <c r="I892" s="75" t="str">
        <f ca="1">IF(Table7[[#This Row],[Type]]="KILL",IF(_xlfn.NUMBERVALUE(RIGHT(Table7[[#This Row],[Min]],LEN(Table7[[#This Row],[Min]])-FIND("-",Table7[[#This Row],[Min]])))&gt;INDIRECT(ADDRESS(11+MATCH(LEFT(Table7[[#This Row],[Min]],FIND("-",Table7[[#This Row],[Min]])-1),Table1[Content Sku],0),14,1,1,"Entities")),"review","ok"),"ok")</f>
        <v>ok</v>
      </c>
      <c r="U892" t="s">
        <v>122</v>
      </c>
      <c r="V892">
        <v>0</v>
      </c>
      <c r="W892">
        <v>0</v>
      </c>
      <c r="X892" t="s">
        <v>8</v>
      </c>
      <c r="Y892" s="75" t="str">
        <f ca="1">IF(Table15[[#This Row],[Type]]="KILL",IF(_xlfn.NUMBERVALUE(RIGHT(Table15[[#This Row],[Min]],LEN(Table15[[#This Row],[Min]])-FIND("-",Table15[[#This Row],[Min]])))&gt;INDIRECT(ADDRESS(11+MATCH(LEFT(Table15[[#This Row],[Min]],FIND("-",Table15[[#This Row],[Min]])-1),Table1[Content Sku],0),16,1,1,"Entities")),"review","ok"),"ok")</f>
        <v>ok</v>
      </c>
      <c r="AK892" t="s">
        <v>2750</v>
      </c>
      <c r="AL892">
        <v>33000</v>
      </c>
      <c r="AM892">
        <v>0</v>
      </c>
      <c r="AN892" t="s">
        <v>205</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205</v>
      </c>
      <c r="I893" s="75" t="str">
        <f ca="1">IF(Table7[[#This Row],[Type]]="KILL",IF(_xlfn.NUMBERVALUE(RIGHT(Table7[[#This Row],[Min]],LEN(Table7[[#This Row],[Min]])-FIND("-",Table7[[#This Row],[Min]])))&gt;INDIRECT(ADDRESS(11+MATCH(LEFT(Table7[[#This Row],[Min]],FIND("-",Table7[[#This Row],[Min]])-1),Table1[Content Sku],0),14,1,1,"Entities")),"review","ok"),"ok")</f>
        <v>ok</v>
      </c>
      <c r="U893" t="s">
        <v>122</v>
      </c>
      <c r="V893">
        <v>0</v>
      </c>
      <c r="W893">
        <v>0</v>
      </c>
      <c r="X893" t="s">
        <v>8</v>
      </c>
      <c r="Y893" s="75" t="str">
        <f ca="1">IF(Table15[[#This Row],[Type]]="KILL",IF(_xlfn.NUMBERVALUE(RIGHT(Table15[[#This Row],[Min]],LEN(Table15[[#This Row],[Min]])-FIND("-",Table15[[#This Row],[Min]])))&gt;INDIRECT(ADDRESS(11+MATCH(LEFT(Table15[[#This Row],[Min]],FIND("-",Table15[[#This Row],[Min]])-1),Table1[Content Sku],0),16,1,1,"Entities")),"review","ok"),"ok")</f>
        <v>ok</v>
      </c>
      <c r="AK893" t="s">
        <v>2750</v>
      </c>
      <c r="AL893">
        <v>31000</v>
      </c>
      <c r="AM893">
        <v>0</v>
      </c>
      <c r="AN893" t="s">
        <v>205</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122</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2682</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0</v>
      </c>
      <c r="G895">
        <v>0</v>
      </c>
      <c r="H895" t="s">
        <v>8</v>
      </c>
      <c r="I895" s="75" t="str">
        <f ca="1">IF(Table7[[#This Row],[Type]]="KILL",IF(_xlfn.NUMBERVALUE(RIGHT(Table7[[#This Row],[Min]],LEN(Table7[[#This Row],[Min]])-FIND("-",Table7[[#This Row],[Min]])))&gt;INDIRECT(ADDRESS(11+MATCH(LEFT(Table7[[#This Row],[Min]],FIND("-",Table7[[#This Row],[Min]])-1),Table1[Content Sku],0),14,1,1,"Entities")),"review","ok"),"ok")</f>
        <v>ok</v>
      </c>
      <c r="U895" t="s">
        <v>2733</v>
      </c>
      <c r="V895">
        <v>0</v>
      </c>
      <c r="W895">
        <v>0</v>
      </c>
      <c r="X895" t="s">
        <v>8</v>
      </c>
      <c r="Y895" s="75" t="str">
        <f ca="1">IF(Table15[[#This Row],[Type]]="KILL",IF(_xlfn.NUMBERVALUE(RIGHT(Table15[[#This Row],[Min]],LEN(Table15[[#This Row],[Min]])-FIND("-",Table15[[#This Row],[Min]])))&gt;INDIRECT(ADDRESS(11+MATCH(LEFT(Table15[[#This Row],[Min]],FIND("-",Table15[[#This Row],[Min]])-1),Table1[Content Sku],0),16,1,1,"Entities")),"review","ok"),"ok")</f>
        <v>ok</v>
      </c>
      <c r="AK895" t="s">
        <v>2682</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2733</v>
      </c>
      <c r="V896">
        <v>0</v>
      </c>
      <c r="W896">
        <v>0</v>
      </c>
      <c r="X896" t="s">
        <v>8</v>
      </c>
      <c r="Y896" s="75" t="str">
        <f ca="1">IF(Table15[[#This Row],[Type]]="KILL",IF(_xlfn.NUMBERVALUE(RIGHT(Table15[[#This Row],[Min]],LEN(Table15[[#This Row],[Min]])-FIND("-",Table15[[#This Row],[Min]])))&gt;INDIRECT(ADDRESS(11+MATCH(LEFT(Table15[[#This Row],[Min]],FIND("-",Table15[[#This Row],[Min]])-1),Table1[Content Sku],0),16,1,1,"Entities")),"review","ok"),"ok")</f>
        <v>ok</v>
      </c>
      <c r="AK896" t="s">
        <v>2682</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2733</v>
      </c>
      <c r="V897">
        <v>0</v>
      </c>
      <c r="W897">
        <v>0</v>
      </c>
      <c r="X897" t="s">
        <v>8</v>
      </c>
      <c r="Y897" s="75" t="str">
        <f ca="1">IF(Table15[[#This Row],[Type]]="KILL",IF(_xlfn.NUMBERVALUE(RIGHT(Table15[[#This Row],[Min]],LEN(Table15[[#This Row],[Min]])-FIND("-",Table15[[#This Row],[Min]])))&gt;INDIRECT(ADDRESS(11+MATCH(LEFT(Table15[[#This Row],[Min]],FIND("-",Table15[[#This Row],[Min]])-1),Table1[Content Sku],0),16,1,1,"Entities")),"review","ok"),"ok")</f>
        <v>ok</v>
      </c>
      <c r="AK897" t="s">
        <v>2682</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2733</v>
      </c>
      <c r="V898">
        <v>0</v>
      </c>
      <c r="W898">
        <v>0</v>
      </c>
      <c r="X898" t="s">
        <v>8</v>
      </c>
      <c r="Y898" s="75" t="str">
        <f ca="1">IF(Table15[[#This Row],[Type]]="KILL",IF(_xlfn.NUMBERVALUE(RIGHT(Table15[[#This Row],[Min]],LEN(Table15[[#This Row],[Min]])-FIND("-",Table15[[#This Row],[Min]])))&gt;INDIRECT(ADDRESS(11+MATCH(LEFT(Table15[[#This Row],[Min]],FIND("-",Table15[[#This Row],[Min]])-1),Table1[Content Sku],0),16,1,1,"Entities")),"review","ok"),"ok")</f>
        <v>ok</v>
      </c>
      <c r="AK898" t="s">
        <v>2682</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2733</v>
      </c>
      <c r="V899">
        <v>0</v>
      </c>
      <c r="W899">
        <v>0</v>
      </c>
      <c r="X899" t="s">
        <v>8</v>
      </c>
      <c r="Y899" s="75" t="str">
        <f ca="1">IF(Table15[[#This Row],[Type]]="KILL",IF(_xlfn.NUMBERVALUE(RIGHT(Table15[[#This Row],[Min]],LEN(Table15[[#This Row],[Min]])-FIND("-",Table15[[#This Row],[Min]])))&gt;INDIRECT(ADDRESS(11+MATCH(LEFT(Table15[[#This Row],[Min]],FIND("-",Table15[[#This Row],[Min]])-1),Table1[Content Sku],0),16,1,1,"Entities")),"review","ok"),"ok")</f>
        <v>ok</v>
      </c>
      <c r="AK899" t="s">
        <v>2682</v>
      </c>
      <c r="AL899">
        <v>0</v>
      </c>
      <c r="AM899">
        <v>30000</v>
      </c>
      <c r="AN899" t="s">
        <v>205</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2733</v>
      </c>
      <c r="V900">
        <v>0</v>
      </c>
      <c r="W900">
        <v>0</v>
      </c>
      <c r="X900" t="s">
        <v>8</v>
      </c>
      <c r="Y900" s="75" t="str">
        <f ca="1">IF(Table15[[#This Row],[Type]]="KILL",IF(_xlfn.NUMBERVALUE(RIGHT(Table15[[#This Row],[Min]],LEN(Table15[[#This Row],[Min]])-FIND("-",Table15[[#This Row],[Min]])))&gt;INDIRECT(ADDRESS(11+MATCH(LEFT(Table15[[#This Row],[Min]],FIND("-",Table15[[#This Row],[Min]])-1),Table1[Content Sku],0),16,1,1,"Entities")),"review","ok"),"ok")</f>
        <v>ok</v>
      </c>
      <c r="AK900" t="s">
        <v>2682</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8250</v>
      </c>
      <c r="G901">
        <v>0</v>
      </c>
      <c r="H901" t="s">
        <v>205</v>
      </c>
      <c r="I901" s="75" t="str">
        <f ca="1">IF(Table7[[#This Row],[Type]]="KILL",IF(_xlfn.NUMBERVALUE(RIGHT(Table7[[#This Row],[Min]],LEN(Table7[[#This Row],[Min]])-FIND("-",Table7[[#This Row],[Min]])))&gt;INDIRECT(ADDRESS(11+MATCH(LEFT(Table7[[#This Row],[Min]],FIND("-",Table7[[#This Row],[Min]])-1),Table1[Content Sku],0),14,1,1,"Entities")),"review","ok"),"ok")</f>
        <v>ok</v>
      </c>
      <c r="U901" t="s">
        <v>2736</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2752</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256</v>
      </c>
      <c r="F902">
        <v>1000</v>
      </c>
      <c r="G902">
        <v>0</v>
      </c>
      <c r="H902" t="s">
        <v>205</v>
      </c>
      <c r="I902" s="75" t="str">
        <f ca="1">IF(Table7[[#This Row],[Type]]="KILL",IF(_xlfn.NUMBERVALUE(RIGHT(Table7[[#This Row],[Min]],LEN(Table7[[#This Row],[Min]])-FIND("-",Table7[[#This Row],[Min]])))&gt;INDIRECT(ADDRESS(11+MATCH(LEFT(Table7[[#This Row],[Min]],FIND("-",Table7[[#This Row],[Min]])-1),Table1[Content Sku],0),14,1,1,"Entities")),"review","ok"),"ok")</f>
        <v>ok</v>
      </c>
      <c r="U902" t="s">
        <v>2736</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2752</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256</v>
      </c>
      <c r="F903">
        <v>0</v>
      </c>
      <c r="G903">
        <v>0</v>
      </c>
      <c r="H903" t="s">
        <v>8</v>
      </c>
      <c r="I903" s="75" t="str">
        <f ca="1">IF(Table7[[#This Row],[Type]]="KILL",IF(_xlfn.NUMBERVALUE(RIGHT(Table7[[#This Row],[Min]],LEN(Table7[[#This Row],[Min]])-FIND("-",Table7[[#This Row],[Min]])))&gt;INDIRECT(ADDRESS(11+MATCH(LEFT(Table7[[#This Row],[Min]],FIND("-",Table7[[#This Row],[Min]])-1),Table1[Content Sku],0),14,1,1,"Entities")),"review","ok"),"ok")</f>
        <v>ok</v>
      </c>
      <c r="U903" t="s">
        <v>2736</v>
      </c>
      <c r="V903">
        <v>0</v>
      </c>
      <c r="W903">
        <v>0</v>
      </c>
      <c r="X903" t="s">
        <v>8</v>
      </c>
      <c r="Y903" s="75" t="str">
        <f ca="1">IF(Table15[[#This Row],[Type]]="KILL",IF(_xlfn.NUMBERVALUE(RIGHT(Table15[[#This Row],[Min]],LEN(Table15[[#This Row],[Min]])-FIND("-",Table15[[#This Row],[Min]])))&gt;INDIRECT(ADDRESS(11+MATCH(LEFT(Table15[[#This Row],[Min]],FIND("-",Table15[[#This Row],[Min]])-1),Table1[Content Sku],0),16,1,1,"Entities")),"review","ok"),"ok")</f>
        <v>ok</v>
      </c>
      <c r="AK903" t="s">
        <v>2752</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256</v>
      </c>
      <c r="F904">
        <v>0</v>
      </c>
      <c r="G904">
        <v>0</v>
      </c>
      <c r="H904" t="s">
        <v>8</v>
      </c>
      <c r="I904" s="75" t="str">
        <f ca="1">IF(Table7[[#This Row],[Type]]="KILL",IF(_xlfn.NUMBERVALUE(RIGHT(Table7[[#This Row],[Min]],LEN(Table7[[#This Row],[Min]])-FIND("-",Table7[[#This Row],[Min]])))&gt;INDIRECT(ADDRESS(11+MATCH(LEFT(Table7[[#This Row],[Min]],FIND("-",Table7[[#This Row],[Min]])-1),Table1[Content Sku],0),14,1,1,"Entities")),"review","ok"),"ok")</f>
        <v>ok</v>
      </c>
      <c r="U904" t="s">
        <v>2736</v>
      </c>
      <c r="V904">
        <v>0</v>
      </c>
      <c r="W904">
        <v>0</v>
      </c>
      <c r="X904" t="s">
        <v>8</v>
      </c>
      <c r="Y904" s="75" t="str">
        <f ca="1">IF(Table15[[#This Row],[Type]]="KILL",IF(_xlfn.NUMBERVALUE(RIGHT(Table15[[#This Row],[Min]],LEN(Table15[[#This Row],[Min]])-FIND("-",Table15[[#This Row],[Min]])))&gt;INDIRECT(ADDRESS(11+MATCH(LEFT(Table15[[#This Row],[Min]],FIND("-",Table15[[#This Row],[Min]])-1),Table1[Content Sku],0),16,1,1,"Entities")),"review","ok"),"ok")</f>
        <v>ok</v>
      </c>
      <c r="AK904" t="s">
        <v>2752</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256</v>
      </c>
      <c r="F905">
        <v>6000</v>
      </c>
      <c r="G905">
        <v>0</v>
      </c>
      <c r="H905" t="s">
        <v>205</v>
      </c>
      <c r="I905" s="75" t="str">
        <f ca="1">IF(Table7[[#This Row],[Type]]="KILL",IF(_xlfn.NUMBERVALUE(RIGHT(Table7[[#This Row],[Min]],LEN(Table7[[#This Row],[Min]])-FIND("-",Table7[[#This Row],[Min]])))&gt;INDIRECT(ADDRESS(11+MATCH(LEFT(Table7[[#This Row],[Min]],FIND("-",Table7[[#This Row],[Min]])-1),Table1[Content Sku],0),14,1,1,"Entities")),"review","ok"),"ok")</f>
        <v>ok</v>
      </c>
      <c r="U905" t="s">
        <v>2739</v>
      </c>
      <c r="V905">
        <v>0</v>
      </c>
      <c r="W905">
        <v>0</v>
      </c>
      <c r="X905" t="s">
        <v>8</v>
      </c>
      <c r="Y905" s="75" t="str">
        <f ca="1">IF(Table15[[#This Row],[Type]]="KILL",IF(_xlfn.NUMBERVALUE(RIGHT(Table15[[#This Row],[Min]],LEN(Table15[[#This Row],[Min]])-FIND("-",Table15[[#This Row],[Min]])))&gt;INDIRECT(ADDRESS(11+MATCH(LEFT(Table15[[#This Row],[Min]],FIND("-",Table15[[#This Row],[Min]])-1),Table1[Content Sku],0),16,1,1,"Entities")),"review","ok"),"ok")</f>
        <v>ok</v>
      </c>
      <c r="AK905" t="s">
        <v>2752</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256</v>
      </c>
      <c r="F906">
        <v>10500</v>
      </c>
      <c r="G906">
        <v>0</v>
      </c>
      <c r="H906" t="s">
        <v>205</v>
      </c>
      <c r="I906" s="75" t="str">
        <f ca="1">IF(Table7[[#This Row],[Type]]="KILL",IF(_xlfn.NUMBERVALUE(RIGHT(Table7[[#This Row],[Min]],LEN(Table7[[#This Row],[Min]])-FIND("-",Table7[[#This Row],[Min]])))&gt;INDIRECT(ADDRESS(11+MATCH(LEFT(Table7[[#This Row],[Min]],FIND("-",Table7[[#This Row],[Min]])-1),Table1[Content Sku],0),14,1,1,"Entities")),"review","ok"),"ok")</f>
        <v>ok</v>
      </c>
      <c r="U906" t="s">
        <v>2739</v>
      </c>
      <c r="V906">
        <v>0</v>
      </c>
      <c r="W906">
        <v>0</v>
      </c>
      <c r="X906" t="s">
        <v>8</v>
      </c>
      <c r="Y906" s="75" t="str">
        <f ca="1">IF(Table15[[#This Row],[Type]]="KILL",IF(_xlfn.NUMBERVALUE(RIGHT(Table15[[#This Row],[Min]],LEN(Table15[[#This Row],[Min]])-FIND("-",Table15[[#This Row],[Min]])))&gt;INDIRECT(ADDRESS(11+MATCH(LEFT(Table15[[#This Row],[Min]],FIND("-",Table15[[#This Row],[Min]])-1),Table1[Content Sku],0),16,1,1,"Entities")),"review","ok"),"ok")</f>
        <v>ok</v>
      </c>
      <c r="AK906" t="s">
        <v>2752</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256</v>
      </c>
      <c r="F907">
        <v>0</v>
      </c>
      <c r="G907">
        <v>5800</v>
      </c>
      <c r="H907" t="s">
        <v>205</v>
      </c>
      <c r="I907" s="75" t="str">
        <f ca="1">IF(Table7[[#This Row],[Type]]="KILL",IF(_xlfn.NUMBERVALUE(RIGHT(Table7[[#This Row],[Min]],LEN(Table7[[#This Row],[Min]])-FIND("-",Table7[[#This Row],[Min]])))&gt;INDIRECT(ADDRESS(11+MATCH(LEFT(Table7[[#This Row],[Min]],FIND("-",Table7[[#This Row],[Min]])-1),Table1[Content Sku],0),14,1,1,"Entities")),"review","ok"),"ok")</f>
        <v>ok</v>
      </c>
      <c r="U907" t="s">
        <v>2739</v>
      </c>
      <c r="V907">
        <v>0</v>
      </c>
      <c r="W907">
        <v>0</v>
      </c>
      <c r="X907" t="s">
        <v>8</v>
      </c>
      <c r="Y907" s="75" t="str">
        <f ca="1">IF(Table15[[#This Row],[Type]]="KILL",IF(_xlfn.NUMBERVALUE(RIGHT(Table15[[#This Row],[Min]],LEN(Table15[[#This Row],[Min]])-FIND("-",Table15[[#This Row],[Min]])))&gt;INDIRECT(ADDRESS(11+MATCH(LEFT(Table15[[#This Row],[Min]],FIND("-",Table15[[#This Row],[Min]])-1),Table1[Content Sku],0),16,1,1,"Entities")),"review","ok"),"ok")</f>
        <v>ok</v>
      </c>
      <c r="AK907" t="s">
        <v>2752</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256</v>
      </c>
      <c r="F908">
        <v>0</v>
      </c>
      <c r="G908">
        <v>0</v>
      </c>
      <c r="H908" t="s">
        <v>8</v>
      </c>
      <c r="I908" s="75" t="str">
        <f ca="1">IF(Table7[[#This Row],[Type]]="KILL",IF(_xlfn.NUMBERVALUE(RIGHT(Table7[[#This Row],[Min]],LEN(Table7[[#This Row],[Min]])-FIND("-",Table7[[#This Row],[Min]])))&gt;INDIRECT(ADDRESS(11+MATCH(LEFT(Table7[[#This Row],[Min]],FIND("-",Table7[[#This Row],[Min]])-1),Table1[Content Sku],0),14,1,1,"Entities")),"review","ok"),"ok")</f>
        <v>ok</v>
      </c>
      <c r="U908" t="s">
        <v>2739</v>
      </c>
      <c r="V908">
        <v>0</v>
      </c>
      <c r="W908">
        <v>0</v>
      </c>
      <c r="X908" t="s">
        <v>8</v>
      </c>
      <c r="Y908" s="75" t="str">
        <f ca="1">IF(Table15[[#This Row],[Type]]="KILL",IF(_xlfn.NUMBERVALUE(RIGHT(Table15[[#This Row],[Min]],LEN(Table15[[#This Row],[Min]])-FIND("-",Table15[[#This Row],[Min]])))&gt;INDIRECT(ADDRESS(11+MATCH(LEFT(Table15[[#This Row],[Min]],FIND("-",Table15[[#This Row],[Min]])-1),Table1[Content Sku],0),16,1,1,"Entities")),"review","ok"),"ok")</f>
        <v>ok</v>
      </c>
      <c r="AK908" t="s">
        <v>2673</v>
      </c>
      <c r="AL908">
        <v>0</v>
      </c>
      <c r="AM908">
        <v>40000</v>
      </c>
      <c r="AN908" t="s">
        <v>205</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256</v>
      </c>
      <c r="F909">
        <v>0</v>
      </c>
      <c r="G909">
        <v>0</v>
      </c>
      <c r="H909" t="s">
        <v>8</v>
      </c>
      <c r="I909" s="75" t="str">
        <f ca="1">IF(Table7[[#This Row],[Type]]="KILL",IF(_xlfn.NUMBERVALUE(RIGHT(Table7[[#This Row],[Min]],LEN(Table7[[#This Row],[Min]])-FIND("-",Table7[[#This Row],[Min]])))&gt;INDIRECT(ADDRESS(11+MATCH(LEFT(Table7[[#This Row],[Min]],FIND("-",Table7[[#This Row],[Min]])-1),Table1[Content Sku],0),14,1,1,"Entities")),"review","ok"),"ok")</f>
        <v>ok</v>
      </c>
      <c r="U909" t="s">
        <v>2741</v>
      </c>
      <c r="V909">
        <v>0</v>
      </c>
      <c r="W909">
        <v>0</v>
      </c>
      <c r="X909" t="s">
        <v>8</v>
      </c>
      <c r="Y909" s="75" t="str">
        <f ca="1">IF(Table15[[#This Row],[Type]]="KILL",IF(_xlfn.NUMBERVALUE(RIGHT(Table15[[#This Row],[Min]],LEN(Table15[[#This Row],[Min]])-FIND("-",Table15[[#This Row],[Min]])))&gt;INDIRECT(ADDRESS(11+MATCH(LEFT(Table15[[#This Row],[Min]],FIND("-",Table15[[#This Row],[Min]])-1),Table1[Content Sku],0),16,1,1,"Entities")),"review","ok"),"ok")</f>
        <v>ok</v>
      </c>
      <c r="AK909" t="s">
        <v>2673</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256</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2743</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2673</v>
      </c>
      <c r="AL910">
        <v>40000</v>
      </c>
      <c r="AM910">
        <v>0</v>
      </c>
      <c r="AN910" t="s">
        <v>205</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256</v>
      </c>
      <c r="F911">
        <v>21000</v>
      </c>
      <c r="G911">
        <v>0</v>
      </c>
      <c r="H911" t="s">
        <v>205</v>
      </c>
      <c r="I911" s="75" t="str">
        <f ca="1">IF(Table7[[#This Row],[Type]]="KILL",IF(_xlfn.NUMBERVALUE(RIGHT(Table7[[#This Row],[Min]],LEN(Table7[[#This Row],[Min]])-FIND("-",Table7[[#This Row],[Min]])))&gt;INDIRECT(ADDRESS(11+MATCH(LEFT(Table7[[#This Row],[Min]],FIND("-",Table7[[#This Row],[Min]])-1),Table1[Content Sku],0),14,1,1,"Entities")),"review","ok"),"ok")</f>
        <v>ok</v>
      </c>
      <c r="U911" t="s">
        <v>2743</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2673</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256</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2743</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2673</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256</v>
      </c>
      <c r="F913">
        <v>0</v>
      </c>
      <c r="G913">
        <v>5700</v>
      </c>
      <c r="H913" t="s">
        <v>205</v>
      </c>
      <c r="I913" s="75" t="str">
        <f ca="1">IF(Table7[[#This Row],[Type]]="KILL",IF(_xlfn.NUMBERVALUE(RIGHT(Table7[[#This Row],[Min]],LEN(Table7[[#This Row],[Min]])-FIND("-",Table7[[#This Row],[Min]])))&gt;INDIRECT(ADDRESS(11+MATCH(LEFT(Table7[[#This Row],[Min]],FIND("-",Table7[[#This Row],[Min]])-1),Table1[Content Sku],0),14,1,1,"Entities")),"review","ok"),"ok")</f>
        <v>ok</v>
      </c>
      <c r="U913" t="s">
        <v>2743</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4436</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256</v>
      </c>
      <c r="F914">
        <v>0</v>
      </c>
      <c r="G914">
        <v>2500</v>
      </c>
      <c r="H914" t="s">
        <v>205</v>
      </c>
      <c r="I914" s="75" t="str">
        <f ca="1">IF(Table7[[#This Row],[Type]]="KILL",IF(_xlfn.NUMBERVALUE(RIGHT(Table7[[#This Row],[Min]],LEN(Table7[[#This Row],[Min]])-FIND("-",Table7[[#This Row],[Min]])))&gt;INDIRECT(ADDRESS(11+MATCH(LEFT(Table7[[#This Row],[Min]],FIND("-",Table7[[#This Row],[Min]])-1),Table1[Content Sku],0),14,1,1,"Entities")),"review","ok"),"ok")</f>
        <v>ok</v>
      </c>
      <c r="U914" t="s">
        <v>2743</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4436</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256</v>
      </c>
      <c r="F915">
        <v>17000</v>
      </c>
      <c r="G915">
        <v>0</v>
      </c>
      <c r="H915" t="s">
        <v>205</v>
      </c>
      <c r="I915" s="75" t="str">
        <f ca="1">IF(Table7[[#This Row],[Type]]="KILL",IF(_xlfn.NUMBERVALUE(RIGHT(Table7[[#This Row],[Min]],LEN(Table7[[#This Row],[Min]])-FIND("-",Table7[[#This Row],[Min]])))&gt;INDIRECT(ADDRESS(11+MATCH(LEFT(Table7[[#This Row],[Min]],FIND("-",Table7[[#This Row],[Min]])-1),Table1[Content Sku],0),14,1,1,"Entities")),"review","ok"),"ok")</f>
        <v>ok</v>
      </c>
      <c r="U915" t="s">
        <v>2743</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4436</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256</v>
      </c>
      <c r="F916">
        <v>0</v>
      </c>
      <c r="G916">
        <v>0</v>
      </c>
      <c r="H916" t="s">
        <v>8</v>
      </c>
      <c r="I916" s="75" t="str">
        <f ca="1">IF(Table7[[#This Row],[Type]]="KILL",IF(_xlfn.NUMBERVALUE(RIGHT(Table7[[#This Row],[Min]],LEN(Table7[[#This Row],[Min]])-FIND("-",Table7[[#This Row],[Min]])))&gt;INDIRECT(ADDRESS(11+MATCH(LEFT(Table7[[#This Row],[Min]],FIND("-",Table7[[#This Row],[Min]])-1),Table1[Content Sku],0),14,1,1,"Entities")),"review","ok"),"ok")</f>
        <v>ok</v>
      </c>
      <c r="U916" t="s">
        <v>2743</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4436</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256</v>
      </c>
      <c r="F917">
        <v>25000</v>
      </c>
      <c r="G917">
        <v>0</v>
      </c>
      <c r="H917" t="s">
        <v>205</v>
      </c>
      <c r="I917" s="75" t="str">
        <f ca="1">IF(Table7[[#This Row],[Type]]="KILL",IF(_xlfn.NUMBERVALUE(RIGHT(Table7[[#This Row],[Min]],LEN(Table7[[#This Row],[Min]])-FIND("-",Table7[[#This Row],[Min]])))&gt;INDIRECT(ADDRESS(11+MATCH(LEFT(Table7[[#This Row],[Min]],FIND("-",Table7[[#This Row],[Min]])-1),Table1[Content Sku],0),14,1,1,"Entities")),"review","ok"),"ok")</f>
        <v>ok</v>
      </c>
      <c r="U917" t="s">
        <v>2743</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4436</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256</v>
      </c>
      <c r="F918">
        <v>6000</v>
      </c>
      <c r="G918">
        <v>0</v>
      </c>
      <c r="H918" t="s">
        <v>205</v>
      </c>
      <c r="I918" s="75" t="str">
        <f ca="1">IF(Table7[[#This Row],[Type]]="KILL",IF(_xlfn.NUMBERVALUE(RIGHT(Table7[[#This Row],[Min]],LEN(Table7[[#This Row],[Min]])-FIND("-",Table7[[#This Row],[Min]])))&gt;INDIRECT(ADDRESS(11+MATCH(LEFT(Table7[[#This Row],[Min]],FIND("-",Table7[[#This Row],[Min]])-1),Table1[Content Sku],0),14,1,1,"Entities")),"review","ok"),"ok")</f>
        <v>ok</v>
      </c>
      <c r="U918" t="s">
        <v>2743</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4436</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256</v>
      </c>
      <c r="F919">
        <v>0</v>
      </c>
      <c r="G919">
        <v>0</v>
      </c>
      <c r="H919" t="s">
        <v>8</v>
      </c>
      <c r="I919" s="75" t="str">
        <f ca="1">IF(Table7[[#This Row],[Type]]="KILL",IF(_xlfn.NUMBERVALUE(RIGHT(Table7[[#This Row],[Min]],LEN(Table7[[#This Row],[Min]])-FIND("-",Table7[[#This Row],[Min]])))&gt;INDIRECT(ADDRESS(11+MATCH(LEFT(Table7[[#This Row],[Min]],FIND("-",Table7[[#This Row],[Min]])-1),Table1[Content Sku],0),14,1,1,"Entities")),"review","ok"),"ok")</f>
        <v>ok</v>
      </c>
      <c r="U919" t="s">
        <v>2743</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4436</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256</v>
      </c>
      <c r="F920">
        <v>3500</v>
      </c>
      <c r="G920">
        <v>0</v>
      </c>
      <c r="H920" t="s">
        <v>205</v>
      </c>
      <c r="I920" s="75" t="str">
        <f ca="1">IF(Table7[[#This Row],[Type]]="KILL",IF(_xlfn.NUMBERVALUE(RIGHT(Table7[[#This Row],[Min]],LEN(Table7[[#This Row],[Min]])-FIND("-",Table7[[#This Row],[Min]])))&gt;INDIRECT(ADDRESS(11+MATCH(LEFT(Table7[[#This Row],[Min]],FIND("-",Table7[[#This Row],[Min]])-1),Table1[Content Sku],0),14,1,1,"Entities")),"review","ok"),"ok")</f>
        <v>ok</v>
      </c>
      <c r="U920" t="s">
        <v>2743</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4436</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256</v>
      </c>
      <c r="F921">
        <v>18000</v>
      </c>
      <c r="G921">
        <v>0</v>
      </c>
      <c r="H921" t="s">
        <v>205</v>
      </c>
      <c r="I921" s="75" t="str">
        <f ca="1">IF(Table7[[#This Row],[Type]]="KILL",IF(_xlfn.NUMBERVALUE(RIGHT(Table7[[#This Row],[Min]],LEN(Table7[[#This Row],[Min]])-FIND("-",Table7[[#This Row],[Min]])))&gt;INDIRECT(ADDRESS(11+MATCH(LEFT(Table7[[#This Row],[Min]],FIND("-",Table7[[#This Row],[Min]])-1),Table1[Content Sku],0),14,1,1,"Entities")),"review","ok"),"ok")</f>
        <v>ok</v>
      </c>
      <c r="U921" t="s">
        <v>2743</v>
      </c>
      <c r="V921">
        <v>0</v>
      </c>
      <c r="W921">
        <v>0</v>
      </c>
      <c r="X921" t="s">
        <v>8</v>
      </c>
      <c r="Y921" s="75" t="str">
        <f ca="1">IF(Table15[[#This Row],[Type]]="KILL",IF(_xlfn.NUMBERVALUE(RIGHT(Table15[[#This Row],[Min]],LEN(Table15[[#This Row],[Min]])-FIND("-",Table15[[#This Row],[Min]])))&gt;INDIRECT(ADDRESS(11+MATCH(LEFT(Table15[[#This Row],[Min]],FIND("-",Table15[[#This Row],[Min]])-1),Table1[Content Sku],0),16,1,1,"Entities")),"review","ok"),"ok")</f>
        <v>ok</v>
      </c>
      <c r="AK921" t="s">
        <v>4436</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256</v>
      </c>
      <c r="F922">
        <v>0</v>
      </c>
      <c r="G922">
        <v>0</v>
      </c>
      <c r="H922" t="s">
        <v>8</v>
      </c>
      <c r="I922" s="75" t="str">
        <f ca="1">IF(Table7[[#This Row],[Type]]="KILL",IF(_xlfn.NUMBERVALUE(RIGHT(Table7[[#This Row],[Min]],LEN(Table7[[#This Row],[Min]])-FIND("-",Table7[[#This Row],[Min]])))&gt;INDIRECT(ADDRESS(11+MATCH(LEFT(Table7[[#This Row],[Min]],FIND("-",Table7[[#This Row],[Min]])-1),Table1[Content Sku],0),14,1,1,"Entities")),"review","ok"),"ok")</f>
        <v>ok</v>
      </c>
      <c r="U922" t="s">
        <v>2743</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4436</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256</v>
      </c>
      <c r="F923">
        <v>24000</v>
      </c>
      <c r="G923">
        <v>0</v>
      </c>
      <c r="H923" t="s">
        <v>205</v>
      </c>
      <c r="I923" s="75" t="str">
        <f ca="1">IF(Table7[[#This Row],[Type]]="KILL",IF(_xlfn.NUMBERVALUE(RIGHT(Table7[[#This Row],[Min]],LEN(Table7[[#This Row],[Min]])-FIND("-",Table7[[#This Row],[Min]])))&gt;INDIRECT(ADDRESS(11+MATCH(LEFT(Table7[[#This Row],[Min]],FIND("-",Table7[[#This Row],[Min]])-1),Table1[Content Sku],0),14,1,1,"Entities")),"review","ok"),"ok")</f>
        <v>ok</v>
      </c>
      <c r="U923" t="s">
        <v>2743</v>
      </c>
      <c r="V923">
        <v>0</v>
      </c>
      <c r="W923">
        <v>0</v>
      </c>
      <c r="X923" t="s">
        <v>8</v>
      </c>
      <c r="Y923" s="75" t="str">
        <f ca="1">IF(Table15[[#This Row],[Type]]="KILL",IF(_xlfn.NUMBERVALUE(RIGHT(Table15[[#This Row],[Min]],LEN(Table15[[#This Row],[Min]])-FIND("-",Table15[[#This Row],[Min]])))&gt;INDIRECT(ADDRESS(11+MATCH(LEFT(Table15[[#This Row],[Min]],FIND("-",Table15[[#This Row],[Min]])-1),Table1[Content Sku],0),16,1,1,"Entities")),"review","ok"),"ok")</f>
        <v>ok</v>
      </c>
      <c r="AK923" t="s">
        <v>4436</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256</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2745</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4436</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256</v>
      </c>
      <c r="F925">
        <v>0</v>
      </c>
      <c r="G925">
        <v>0</v>
      </c>
      <c r="H925" t="s">
        <v>8</v>
      </c>
      <c r="I925" s="75" t="str">
        <f ca="1">IF(Table7[[#This Row],[Type]]="KILL",IF(_xlfn.NUMBERVALUE(RIGHT(Table7[[#This Row],[Min]],LEN(Table7[[#This Row],[Min]])-FIND("-",Table7[[#This Row],[Min]])))&gt;INDIRECT(ADDRESS(11+MATCH(LEFT(Table7[[#This Row],[Min]],FIND("-",Table7[[#This Row],[Min]])-1),Table1[Content Sku],0),14,1,1,"Entities")),"review","ok"),"ok")</f>
        <v>ok</v>
      </c>
      <c r="U925" t="s">
        <v>2745</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419</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256</v>
      </c>
      <c r="F926">
        <v>16000</v>
      </c>
      <c r="G926">
        <v>0</v>
      </c>
      <c r="H926" t="s">
        <v>205</v>
      </c>
      <c r="I926" s="75" t="str">
        <f ca="1">IF(Table7[[#This Row],[Type]]="KILL",IF(_xlfn.NUMBERVALUE(RIGHT(Table7[[#This Row],[Min]],LEN(Table7[[#This Row],[Min]])-FIND("-",Table7[[#This Row],[Min]])))&gt;INDIRECT(ADDRESS(11+MATCH(LEFT(Table7[[#This Row],[Min]],FIND("-",Table7[[#This Row],[Min]])-1),Table1[Content Sku],0),14,1,1,"Entities")),"review","ok"),"ok")</f>
        <v>ok</v>
      </c>
      <c r="U926" t="s">
        <v>551</v>
      </c>
      <c r="V926">
        <v>0</v>
      </c>
      <c r="W926">
        <v>0</v>
      </c>
      <c r="X926" t="s">
        <v>8</v>
      </c>
      <c r="Y926" s="75" t="str">
        <f ca="1">IF(Table15[[#This Row],[Type]]="KILL",IF(_xlfn.NUMBERVALUE(RIGHT(Table15[[#This Row],[Min]],LEN(Table15[[#This Row],[Min]])-FIND("-",Table15[[#This Row],[Min]])))&gt;INDIRECT(ADDRESS(11+MATCH(LEFT(Table15[[#This Row],[Min]],FIND("-",Table15[[#This Row],[Min]])-1),Table1[Content Sku],0),16,1,1,"Entities")),"review","ok"),"ok")</f>
        <v>ok</v>
      </c>
      <c r="AK926" t="s">
        <v>419</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256</v>
      </c>
      <c r="F927">
        <v>25000</v>
      </c>
      <c r="G927">
        <v>0</v>
      </c>
      <c r="H927" t="s">
        <v>205</v>
      </c>
      <c r="I927" s="75" t="str">
        <f ca="1">IF(Table7[[#This Row],[Type]]="KILL",IF(_xlfn.NUMBERVALUE(RIGHT(Table7[[#This Row],[Min]],LEN(Table7[[#This Row],[Min]])-FIND("-",Table7[[#This Row],[Min]])))&gt;INDIRECT(ADDRESS(11+MATCH(LEFT(Table7[[#This Row],[Min]],FIND("-",Table7[[#This Row],[Min]])-1),Table1[Content Sku],0),14,1,1,"Entities")),"review","ok"),"ok")</f>
        <v>ok</v>
      </c>
      <c r="U927" t="s">
        <v>551</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419</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40</v>
      </c>
      <c r="F928">
        <v>0</v>
      </c>
      <c r="G928">
        <v>0</v>
      </c>
      <c r="H928" t="s">
        <v>8</v>
      </c>
      <c r="I928" s="75" t="str">
        <f ca="1">IF(Table7[[#This Row],[Type]]="KILL",IF(_xlfn.NUMBERVALUE(RIGHT(Table7[[#This Row],[Min]],LEN(Table7[[#This Row],[Min]])-FIND("-",Table7[[#This Row],[Min]])))&gt;INDIRECT(ADDRESS(11+MATCH(LEFT(Table7[[#This Row],[Min]],FIND("-",Table7[[#This Row],[Min]])-1),Table1[Content Sku],0),14,1,1,"Entities")),"review","ok"),"ok")</f>
        <v>ok</v>
      </c>
      <c r="U928" t="s">
        <v>551</v>
      </c>
      <c r="V928">
        <v>0</v>
      </c>
      <c r="W928">
        <v>0</v>
      </c>
      <c r="X928" t="s">
        <v>8</v>
      </c>
      <c r="Y928" s="75" t="str">
        <f ca="1">IF(Table15[[#This Row],[Type]]="KILL",IF(_xlfn.NUMBERVALUE(RIGHT(Table15[[#This Row],[Min]],LEN(Table15[[#This Row],[Min]])-FIND("-",Table15[[#This Row],[Min]])))&gt;INDIRECT(ADDRESS(11+MATCH(LEFT(Table15[[#This Row],[Min]],FIND("-",Table15[[#This Row],[Min]])-1),Table1[Content Sku],0),16,1,1,"Entities")),"review","ok"),"ok")</f>
        <v>ok</v>
      </c>
      <c r="AK928" t="s">
        <v>419</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40</v>
      </c>
      <c r="F929">
        <v>0</v>
      </c>
      <c r="G929">
        <v>0</v>
      </c>
      <c r="H929" t="s">
        <v>8</v>
      </c>
      <c r="I929" s="75" t="str">
        <f ca="1">IF(Table7[[#This Row],[Type]]="KILL",IF(_xlfn.NUMBERVALUE(RIGHT(Table7[[#This Row],[Min]],LEN(Table7[[#This Row],[Min]])-FIND("-",Table7[[#This Row],[Min]])))&gt;INDIRECT(ADDRESS(11+MATCH(LEFT(Table7[[#This Row],[Min]],FIND("-",Table7[[#This Row],[Min]])-1),Table1[Content Sku],0),14,1,1,"Entities")),"review","ok"),"ok")</f>
        <v>ok</v>
      </c>
      <c r="U929" t="s">
        <v>551</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419</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17000</v>
      </c>
      <c r="G930">
        <v>0</v>
      </c>
      <c r="H930" t="s">
        <v>205</v>
      </c>
      <c r="I930" s="75" t="str">
        <f ca="1">IF(Table7[[#This Row],[Type]]="KILL",IF(_xlfn.NUMBERVALUE(RIGHT(Table7[[#This Row],[Min]],LEN(Table7[[#This Row],[Min]])-FIND("-",Table7[[#This Row],[Min]])))&gt;INDIRECT(ADDRESS(11+MATCH(LEFT(Table7[[#This Row],[Min]],FIND("-",Table7[[#This Row],[Min]])-1),Table1[Content Sku],0),14,1,1,"Entities")),"review","ok"),"ok")</f>
        <v>ok</v>
      </c>
      <c r="U930" t="s">
        <v>551</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2670</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551</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2670</v>
      </c>
      <c r="AL931" t="s">
        <v>5020</v>
      </c>
      <c r="AM931" t="s">
        <v>4477</v>
      </c>
      <c r="AN931" t="s">
        <v>4478</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11000</v>
      </c>
      <c r="G932">
        <v>0</v>
      </c>
      <c r="H932" t="s">
        <v>205</v>
      </c>
      <c r="I932" s="75" t="str">
        <f ca="1">IF(Table7[[#This Row],[Type]]="KILL",IF(_xlfn.NUMBERVALUE(RIGHT(Table7[[#This Row],[Min]],LEN(Table7[[#This Row],[Min]])-FIND("-",Table7[[#This Row],[Min]])))&gt;INDIRECT(ADDRESS(11+MATCH(LEFT(Table7[[#This Row],[Min]],FIND("-",Table7[[#This Row],[Min]])-1),Table1[Content Sku],0),14,1,1,"Entities")),"review","ok"),"ok")</f>
        <v>ok</v>
      </c>
      <c r="U932" t="s">
        <v>551</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2670</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10000</v>
      </c>
      <c r="H933" t="s">
        <v>205</v>
      </c>
      <c r="I933" s="75" t="str">
        <f ca="1">IF(Table7[[#This Row],[Type]]="KILL",IF(_xlfn.NUMBERVALUE(RIGHT(Table7[[#This Row],[Min]],LEN(Table7[[#This Row],[Min]])-FIND("-",Table7[[#This Row],[Min]])))&gt;INDIRECT(ADDRESS(11+MATCH(LEFT(Table7[[#This Row],[Min]],FIND("-",Table7[[#This Row],[Min]])-1),Table1[Content Sku],0),14,1,1,"Entities")),"review","ok"),"ok")</f>
        <v>ok</v>
      </c>
      <c r="U933" t="s">
        <v>551</v>
      </c>
      <c r="V933">
        <v>35000</v>
      </c>
      <c r="W933">
        <v>0</v>
      </c>
      <c r="Y933" s="75" t="str">
        <f ca="1">IF(Table15[[#This Row],[Type]]="KILL",IF(_xlfn.NUMBERVALUE(RIGHT(Table15[[#This Row],[Min]],LEN(Table15[[#This Row],[Min]])-FIND("-",Table15[[#This Row],[Min]])))&gt;INDIRECT(ADDRESS(11+MATCH(LEFT(Table15[[#This Row],[Min]],FIND("-",Table15[[#This Row],[Min]])-1),Table1[Content Sku],0),16,1,1,"Entities")),"review","ok"),"ok")</f>
        <v>ok</v>
      </c>
      <c r="AK933" t="s">
        <v>2670</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0</v>
      </c>
      <c r="G934">
        <v>0</v>
      </c>
      <c r="H934" t="s">
        <v>8</v>
      </c>
      <c r="I934" s="75" t="str">
        <f ca="1">IF(Table7[[#This Row],[Type]]="KILL",IF(_xlfn.NUMBERVALUE(RIGHT(Table7[[#This Row],[Min]],LEN(Table7[[#This Row],[Min]])-FIND("-",Table7[[#This Row],[Min]])))&gt;INDIRECT(ADDRESS(11+MATCH(LEFT(Table7[[#This Row],[Min]],FIND("-",Table7[[#This Row],[Min]])-1),Table1[Content Sku],0),14,1,1,"Entities")),"review","ok"),"ok")</f>
        <v>ok</v>
      </c>
      <c r="U934" t="s">
        <v>551</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2670</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5400</v>
      </c>
      <c r="G935">
        <v>0</v>
      </c>
      <c r="H935" t="s">
        <v>205</v>
      </c>
      <c r="I935" s="75" t="str">
        <f ca="1">IF(Table7[[#This Row],[Type]]="KILL",IF(_xlfn.NUMBERVALUE(RIGHT(Table7[[#This Row],[Min]],LEN(Table7[[#This Row],[Min]])-FIND("-",Table7[[#This Row],[Min]])))&gt;INDIRECT(ADDRESS(11+MATCH(LEFT(Table7[[#This Row],[Min]],FIND("-",Table7[[#This Row],[Min]])-1),Table1[Content Sku],0),14,1,1,"Entities")),"review","ok"),"ok")</f>
        <v>ok</v>
      </c>
      <c r="U935" t="s">
        <v>551</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2670</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5400</v>
      </c>
      <c r="G936">
        <v>0</v>
      </c>
      <c r="H936" t="s">
        <v>205</v>
      </c>
      <c r="I936" s="75" t="str">
        <f ca="1">IF(Table7[[#This Row],[Type]]="KILL",IF(_xlfn.NUMBERVALUE(RIGHT(Table7[[#This Row],[Min]],LEN(Table7[[#This Row],[Min]])-FIND("-",Table7[[#This Row],[Min]])))&gt;INDIRECT(ADDRESS(11+MATCH(LEFT(Table7[[#This Row],[Min]],FIND("-",Table7[[#This Row],[Min]])-1),Table1[Content Sku],0),14,1,1,"Entities")),"review","ok"),"ok")</f>
        <v>ok</v>
      </c>
      <c r="U936" t="s">
        <v>551</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2670</v>
      </c>
      <c r="AL936">
        <v>0</v>
      </c>
      <c r="AM936">
        <v>30000</v>
      </c>
      <c r="AN936" t="s">
        <v>205</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10000</v>
      </c>
      <c r="G937">
        <v>0</v>
      </c>
      <c r="H937" t="s">
        <v>205</v>
      </c>
      <c r="I937" s="75" t="str">
        <f ca="1">IF(Table7[[#This Row],[Type]]="KILL",IF(_xlfn.NUMBERVALUE(RIGHT(Table7[[#This Row],[Min]],LEN(Table7[[#This Row],[Min]])-FIND("-",Table7[[#This Row],[Min]])))&gt;INDIRECT(ADDRESS(11+MATCH(LEFT(Table7[[#This Row],[Min]],FIND("-",Table7[[#This Row],[Min]])-1),Table1[Content Sku],0),14,1,1,"Entities")),"review","ok"),"ok")</f>
        <v>ok</v>
      </c>
      <c r="U937" t="s">
        <v>551</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2670</v>
      </c>
      <c r="AL937" t="s">
        <v>4476</v>
      </c>
      <c r="AM937" t="s">
        <v>4477</v>
      </c>
      <c r="AN937" t="s">
        <v>4478</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0</v>
      </c>
      <c r="G938">
        <v>0</v>
      </c>
      <c r="H938" t="s">
        <v>8</v>
      </c>
      <c r="I938" s="75" t="str">
        <f ca="1">IF(Table7[[#This Row],[Type]]="KILL",IF(_xlfn.NUMBERVALUE(RIGHT(Table7[[#This Row],[Min]],LEN(Table7[[#This Row],[Min]])-FIND("-",Table7[[#This Row],[Min]])))&gt;INDIRECT(ADDRESS(11+MATCH(LEFT(Table7[[#This Row],[Min]],FIND("-",Table7[[#This Row],[Min]])-1),Table1[Content Sku],0),14,1,1,"Entities")),"review","ok"),"ok")</f>
        <v>ok</v>
      </c>
      <c r="U938" t="s">
        <v>551</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2670</v>
      </c>
      <c r="AL938" t="s">
        <v>5026</v>
      </c>
      <c r="AM938" t="s">
        <v>4477</v>
      </c>
      <c r="AN938" t="s">
        <v>4478</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0</v>
      </c>
      <c r="G939">
        <v>0</v>
      </c>
      <c r="H939" t="s">
        <v>8</v>
      </c>
      <c r="I939" s="75" t="str">
        <f ca="1">IF(Table7[[#This Row],[Type]]="KILL",IF(_xlfn.NUMBERVALUE(RIGHT(Table7[[#This Row],[Min]],LEN(Table7[[#This Row],[Min]])-FIND("-",Table7[[#This Row],[Min]])))&gt;INDIRECT(ADDRESS(11+MATCH(LEFT(Table7[[#This Row],[Min]],FIND("-",Table7[[#This Row],[Min]])-1),Table1[Content Sku],0),14,1,1,"Entities")),"review","ok"),"ok")</f>
        <v>ok</v>
      </c>
      <c r="U939" t="s">
        <v>551</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2670</v>
      </c>
      <c r="AL939" t="s">
        <v>4480</v>
      </c>
      <c r="AM939" t="s">
        <v>4477</v>
      </c>
      <c r="AN939" t="s">
        <v>4478</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21000</v>
      </c>
      <c r="G940">
        <v>0</v>
      </c>
      <c r="H940" t="s">
        <v>205</v>
      </c>
      <c r="I940" s="75" t="str">
        <f ca="1">IF(Table7[[#This Row],[Type]]="KILL",IF(_xlfn.NUMBERVALUE(RIGHT(Table7[[#This Row],[Min]],LEN(Table7[[#This Row],[Min]])-FIND("-",Table7[[#This Row],[Min]])))&gt;INDIRECT(ADDRESS(11+MATCH(LEFT(Table7[[#This Row],[Min]],FIND("-",Table7[[#This Row],[Min]])-1),Table1[Content Sku],0),14,1,1,"Entities")),"review","ok"),"ok")</f>
        <v>ok</v>
      </c>
      <c r="U940" t="s">
        <v>551</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2670</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21000</v>
      </c>
      <c r="G941">
        <v>0</v>
      </c>
      <c r="H941" t="s">
        <v>205</v>
      </c>
      <c r="I941" s="75" t="str">
        <f ca="1">IF(Table7[[#This Row],[Type]]="KILL",IF(_xlfn.NUMBERVALUE(RIGHT(Table7[[#This Row],[Min]],LEN(Table7[[#This Row],[Min]])-FIND("-",Table7[[#This Row],[Min]])))&gt;INDIRECT(ADDRESS(11+MATCH(LEFT(Table7[[#This Row],[Min]],FIND("-",Table7[[#This Row],[Min]])-1),Table1[Content Sku],0),14,1,1,"Entities")),"review","ok"),"ok")</f>
        <v>ok</v>
      </c>
      <c r="U941" t="s">
        <v>551</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2670</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6500</v>
      </c>
      <c r="G942">
        <v>0</v>
      </c>
      <c r="H942" t="s">
        <v>205</v>
      </c>
      <c r="I942" s="75" t="str">
        <f ca="1">IF(Table7[[#This Row],[Type]]="KILL",IF(_xlfn.NUMBERVALUE(RIGHT(Table7[[#This Row],[Min]],LEN(Table7[[#This Row],[Min]])-FIND("-",Table7[[#This Row],[Min]])))&gt;INDIRECT(ADDRESS(11+MATCH(LEFT(Table7[[#This Row],[Min]],FIND("-",Table7[[#This Row],[Min]])-1),Table1[Content Sku],0),14,1,1,"Entities")),"review","ok"),"ok")</f>
        <v>ok</v>
      </c>
      <c r="U942" t="s">
        <v>551</v>
      </c>
      <c r="V942">
        <v>0</v>
      </c>
      <c r="W942">
        <v>0</v>
      </c>
      <c r="X942" t="s">
        <v>8</v>
      </c>
      <c r="Y942" s="75" t="str">
        <f ca="1">IF(Table15[[#This Row],[Type]]="KILL",IF(_xlfn.NUMBERVALUE(RIGHT(Table15[[#This Row],[Min]],LEN(Table15[[#This Row],[Min]])-FIND("-",Table15[[#This Row],[Min]])))&gt;INDIRECT(ADDRESS(11+MATCH(LEFT(Table15[[#This Row],[Min]],FIND("-",Table15[[#This Row],[Min]])-1),Table1[Content Sku],0),16,1,1,"Entities")),"review","ok"),"ok")</f>
        <v>ok</v>
      </c>
      <c r="AK942" t="s">
        <v>2670</v>
      </c>
      <c r="AL942" t="s">
        <v>5028</v>
      </c>
      <c r="AM942" t="s">
        <v>4477</v>
      </c>
      <c r="AN942" t="s">
        <v>4478</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0</v>
      </c>
      <c r="G943">
        <v>0</v>
      </c>
      <c r="H943" t="s">
        <v>8</v>
      </c>
      <c r="I943" s="75" t="str">
        <f ca="1">IF(Table7[[#This Row],[Type]]="KILL",IF(_xlfn.NUMBERVALUE(RIGHT(Table7[[#This Row],[Min]],LEN(Table7[[#This Row],[Min]])-FIND("-",Table7[[#This Row],[Min]])))&gt;INDIRECT(ADDRESS(11+MATCH(LEFT(Table7[[#This Row],[Min]],FIND("-",Table7[[#This Row],[Min]])-1),Table1[Content Sku],0),14,1,1,"Entities")),"review","ok"),"ok")</f>
        <v>ok</v>
      </c>
      <c r="U943" t="s">
        <v>551</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2670</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0</v>
      </c>
      <c r="G944">
        <v>0</v>
      </c>
      <c r="H944" t="s">
        <v>8</v>
      </c>
      <c r="I944" s="75" t="str">
        <f ca="1">IF(Table7[[#This Row],[Type]]="KILL",IF(_xlfn.NUMBERVALUE(RIGHT(Table7[[#This Row],[Min]],LEN(Table7[[#This Row],[Min]])-FIND("-",Table7[[#This Row],[Min]])))&gt;INDIRECT(ADDRESS(11+MATCH(LEFT(Table7[[#This Row],[Min]],FIND("-",Table7[[#This Row],[Min]])-1),Table1[Content Sku],0),14,1,1,"Entities")),"review","ok"),"ok")</f>
        <v>ok</v>
      </c>
      <c r="U944" t="s">
        <v>551</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2670</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8000</v>
      </c>
      <c r="G945">
        <v>0</v>
      </c>
      <c r="H945" t="s">
        <v>205</v>
      </c>
      <c r="I945" s="75" t="str">
        <f ca="1">IF(Table7[[#This Row],[Type]]="KILL",IF(_xlfn.NUMBERVALUE(RIGHT(Table7[[#This Row],[Min]],LEN(Table7[[#This Row],[Min]])-FIND("-",Table7[[#This Row],[Min]])))&gt;INDIRECT(ADDRESS(11+MATCH(LEFT(Table7[[#This Row],[Min]],FIND("-",Table7[[#This Row],[Min]])-1),Table1[Content Sku],0),14,1,1,"Entities")),"review","ok"),"ok")</f>
        <v>ok</v>
      </c>
      <c r="U945" t="s">
        <v>551</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2670</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551</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2676</v>
      </c>
      <c r="AL946">
        <v>30000</v>
      </c>
      <c r="AM946">
        <v>0</v>
      </c>
      <c r="AN946" t="s">
        <v>205</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0</v>
      </c>
      <c r="G947">
        <v>0</v>
      </c>
      <c r="H947" t="s">
        <v>8</v>
      </c>
      <c r="I947" s="75" t="str">
        <f ca="1">IF(Table7[[#This Row],[Type]]="KILL",IF(_xlfn.NUMBERVALUE(RIGHT(Table7[[#This Row],[Min]],LEN(Table7[[#This Row],[Min]])-FIND("-",Table7[[#This Row],[Min]])))&gt;INDIRECT(ADDRESS(11+MATCH(LEFT(Table7[[#This Row],[Min]],FIND("-",Table7[[#This Row],[Min]])-1),Table1[Content Sku],0),14,1,1,"Entities")),"review","ok"),"ok")</f>
        <v>ok</v>
      </c>
      <c r="U947" t="s">
        <v>551</v>
      </c>
      <c r="V947">
        <v>0</v>
      </c>
      <c r="W947">
        <v>0</v>
      </c>
      <c r="X947" t="s">
        <v>8</v>
      </c>
      <c r="Y947" s="75" t="str">
        <f ca="1">IF(Table15[[#This Row],[Type]]="KILL",IF(_xlfn.NUMBERVALUE(RIGHT(Table15[[#This Row],[Min]],LEN(Table15[[#This Row],[Min]])-FIND("-",Table15[[#This Row],[Min]])))&gt;INDIRECT(ADDRESS(11+MATCH(LEFT(Table15[[#This Row],[Min]],FIND("-",Table15[[#This Row],[Min]])-1),Table1[Content Sku],0),16,1,1,"Entities")),"review","ok"),"ok")</f>
        <v>ok</v>
      </c>
      <c r="AK947" t="s">
        <v>2676</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551</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2676</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551</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2676</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20000</v>
      </c>
      <c r="G950">
        <v>0</v>
      </c>
      <c r="H950" t="s">
        <v>205</v>
      </c>
      <c r="I950" s="75" t="str">
        <f ca="1">IF(Table7[[#This Row],[Type]]="KILL",IF(_xlfn.NUMBERVALUE(RIGHT(Table7[[#This Row],[Min]],LEN(Table7[[#This Row],[Min]])-FIND("-",Table7[[#This Row],[Min]])))&gt;INDIRECT(ADDRESS(11+MATCH(LEFT(Table7[[#This Row],[Min]],FIND("-",Table7[[#This Row],[Min]])-1),Table1[Content Sku],0),14,1,1,"Entities")),"review","ok"),"ok")</f>
        <v>ok</v>
      </c>
      <c r="U950" t="s">
        <v>551</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2676</v>
      </c>
      <c r="AL950" t="s">
        <v>5025</v>
      </c>
      <c r="AM950" t="s">
        <v>4477</v>
      </c>
      <c r="AN950" t="s">
        <v>4478</v>
      </c>
      <c r="AO950" s="75" t="str">
        <f ca="1">IF(Table20[[#This Row],[Type]]="KILL",IF(_xlfn.NUMBERVALUE(RIGHT(Table20[[#This Row],[Min]],LEN(Table20[[#This Row],[Min]])-FIND("-",Table20[[#This Row],[Min]])))&gt;INDIRECT(ADDRESS(11+MATCH(LEFT(Table20[[#This Row],[Min]],FIND("-",Table20[[#This Row],[Min]])-1),Table1[Content Sku],0),18,1,1,"Entities")),"review","ok"),"ok")</f>
        <v>review</v>
      </c>
    </row>
    <row r="951" spans="5:41" x14ac:dyDescent="0.25">
      <c r="E951" t="s">
        <v>40</v>
      </c>
      <c r="F951">
        <v>4200</v>
      </c>
      <c r="G951">
        <v>0</v>
      </c>
      <c r="H951" t="s">
        <v>205</v>
      </c>
      <c r="I951" s="75" t="str">
        <f ca="1">IF(Table7[[#This Row],[Type]]="KILL",IF(_xlfn.NUMBERVALUE(RIGHT(Table7[[#This Row],[Min]],LEN(Table7[[#This Row],[Min]])-FIND("-",Table7[[#This Row],[Min]])))&gt;INDIRECT(ADDRESS(11+MATCH(LEFT(Table7[[#This Row],[Min]],FIND("-",Table7[[#This Row],[Min]])-1),Table1[Content Sku],0),14,1,1,"Entities")),"review","ok"),"ok")</f>
        <v>ok</v>
      </c>
      <c r="U951" t="s">
        <v>551</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2676</v>
      </c>
      <c r="AL951">
        <v>30000</v>
      </c>
      <c r="AM951">
        <v>0</v>
      </c>
      <c r="AN951" t="s">
        <v>205</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0</v>
      </c>
      <c r="G952">
        <v>0</v>
      </c>
      <c r="H952" t="s">
        <v>8</v>
      </c>
      <c r="I952" s="75" t="str">
        <f ca="1">IF(Table7[[#This Row],[Type]]="KILL",IF(_xlfn.NUMBERVALUE(RIGHT(Table7[[#This Row],[Min]],LEN(Table7[[#This Row],[Min]])-FIND("-",Table7[[#This Row],[Min]])))&gt;INDIRECT(ADDRESS(11+MATCH(LEFT(Table7[[#This Row],[Min]],FIND("-",Table7[[#This Row],[Min]])-1),Table1[Content Sku],0),14,1,1,"Entities")),"review","ok"),"ok")</f>
        <v>ok</v>
      </c>
      <c r="U952" t="s">
        <v>551</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2676</v>
      </c>
      <c r="AL952" t="s">
        <v>5025</v>
      </c>
      <c r="AM952" t="s">
        <v>4477</v>
      </c>
      <c r="AN952" t="s">
        <v>4478</v>
      </c>
      <c r="AO952" s="75" t="str">
        <f ca="1">IF(Table20[[#This Row],[Type]]="KILL",IF(_xlfn.NUMBERVALUE(RIGHT(Table20[[#This Row],[Min]],LEN(Table20[[#This Row],[Min]])-FIND("-",Table20[[#This Row],[Min]])))&gt;INDIRECT(ADDRESS(11+MATCH(LEFT(Table20[[#This Row],[Min]],FIND("-",Table20[[#This Row],[Min]])-1),Table1[Content Sku],0),18,1,1,"Entities")),"review","ok"),"ok")</f>
        <v>review</v>
      </c>
    </row>
    <row r="953" spans="5:41" x14ac:dyDescent="0.25">
      <c r="E953" t="s">
        <v>40</v>
      </c>
      <c r="F953">
        <v>4000</v>
      </c>
      <c r="G953">
        <v>0</v>
      </c>
      <c r="H953" t="s">
        <v>205</v>
      </c>
      <c r="I953" s="75" t="str">
        <f ca="1">IF(Table7[[#This Row],[Type]]="KILL",IF(_xlfn.NUMBERVALUE(RIGHT(Table7[[#This Row],[Min]],LEN(Table7[[#This Row],[Min]])-FIND("-",Table7[[#This Row],[Min]])))&gt;INDIRECT(ADDRESS(11+MATCH(LEFT(Table7[[#This Row],[Min]],FIND("-",Table7[[#This Row],[Min]])-1),Table1[Content Sku],0),14,1,1,"Entities")),"review","ok"),"ok")</f>
        <v>ok</v>
      </c>
      <c r="U953" t="s">
        <v>551</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2676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551</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543</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22000</v>
      </c>
      <c r="G955">
        <v>0</v>
      </c>
      <c r="H955" t="s">
        <v>205</v>
      </c>
      <c r="I955" s="75" t="str">
        <f ca="1">IF(Table7[[#This Row],[Type]]="KILL",IF(_xlfn.NUMBERVALUE(RIGHT(Table7[[#This Row],[Min]],LEN(Table7[[#This Row],[Min]])-FIND("-",Table7[[#This Row],[Min]])))&gt;INDIRECT(ADDRESS(11+MATCH(LEFT(Table7[[#This Row],[Min]],FIND("-",Table7[[#This Row],[Min]])-1),Table1[Content Sku],0),14,1,1,"Entities")),"review","ok"),"ok")</f>
        <v>ok</v>
      </c>
      <c r="U955" t="s">
        <v>551</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543</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5000</v>
      </c>
      <c r="G956">
        <v>0</v>
      </c>
      <c r="H956" t="s">
        <v>205</v>
      </c>
      <c r="I956" s="75" t="str">
        <f ca="1">IF(Table7[[#This Row],[Type]]="KILL",IF(_xlfn.NUMBERVALUE(RIGHT(Table7[[#This Row],[Min]],LEN(Table7[[#This Row],[Min]])-FIND("-",Table7[[#This Row],[Min]])))&gt;INDIRECT(ADDRESS(11+MATCH(LEFT(Table7[[#This Row],[Min]],FIND("-",Table7[[#This Row],[Min]])-1),Table1[Content Sku],0),14,1,1,"Entities")),"review","ok"),"ok")</f>
        <v>ok</v>
      </c>
      <c r="U956" t="s">
        <v>551</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543</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23000</v>
      </c>
      <c r="G957">
        <v>0</v>
      </c>
      <c r="H957" t="s">
        <v>205</v>
      </c>
      <c r="I957" s="75" t="str">
        <f ca="1">IF(Table7[[#This Row],[Type]]="KILL",IF(_xlfn.NUMBERVALUE(RIGHT(Table7[[#This Row],[Min]],LEN(Table7[[#This Row],[Min]])-FIND("-",Table7[[#This Row],[Min]])))&gt;INDIRECT(ADDRESS(11+MATCH(LEFT(Table7[[#This Row],[Min]],FIND("-",Table7[[#This Row],[Min]])-1),Table1[Content Sku],0),14,1,1,"Entities")),"review","ok"),"ok")</f>
        <v>ok</v>
      </c>
      <c r="U957" t="s">
        <v>551</v>
      </c>
      <c r="V957">
        <v>0</v>
      </c>
      <c r="W957">
        <v>0</v>
      </c>
      <c r="X957" t="s">
        <v>8</v>
      </c>
      <c r="Y957" s="75" t="str">
        <f ca="1">IF(Table15[[#This Row],[Type]]="KILL",IF(_xlfn.NUMBERVALUE(RIGHT(Table15[[#This Row],[Min]],LEN(Table15[[#This Row],[Min]])-FIND("-",Table15[[#This Row],[Min]])))&gt;INDIRECT(ADDRESS(11+MATCH(LEFT(Table15[[#This Row],[Min]],FIND("-",Table15[[#This Row],[Min]])-1),Table1[Content Sku],0),16,1,1,"Entities")),"review","ok"),"ok")</f>
        <v>ok</v>
      </c>
      <c r="AK957" t="s">
        <v>543</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257</v>
      </c>
      <c r="F958">
        <v>19000</v>
      </c>
      <c r="G958">
        <v>0</v>
      </c>
      <c r="H958" t="s">
        <v>205</v>
      </c>
      <c r="I958" s="75" t="str">
        <f ca="1">IF(Table7[[#This Row],[Type]]="KILL",IF(_xlfn.NUMBERVALUE(RIGHT(Table7[[#This Row],[Min]],LEN(Table7[[#This Row],[Min]])-FIND("-",Table7[[#This Row],[Min]])))&gt;INDIRECT(ADDRESS(11+MATCH(LEFT(Table7[[#This Row],[Min]],FIND("-",Table7[[#This Row],[Min]])-1),Table1[Content Sku],0),14,1,1,"Entities")),"review","ok"),"ok")</f>
        <v>ok</v>
      </c>
      <c r="U958" t="s">
        <v>551</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543</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257</v>
      </c>
      <c r="F959">
        <v>0</v>
      </c>
      <c r="G959">
        <v>0</v>
      </c>
      <c r="H959" t="s">
        <v>8</v>
      </c>
      <c r="I959" s="75" t="str">
        <f ca="1">IF(Table7[[#This Row],[Type]]="KILL",IF(_xlfn.NUMBERVALUE(RIGHT(Table7[[#This Row],[Min]],LEN(Table7[[#This Row],[Min]])-FIND("-",Table7[[#This Row],[Min]])))&gt;INDIRECT(ADDRESS(11+MATCH(LEFT(Table7[[#This Row],[Min]],FIND("-",Table7[[#This Row],[Min]])-1),Table1[Content Sku],0),14,1,1,"Entities")),"review","ok"),"ok")</f>
        <v>ok</v>
      </c>
      <c r="U959" t="s">
        <v>551</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543</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257</v>
      </c>
      <c r="F960">
        <v>0</v>
      </c>
      <c r="G960">
        <v>0</v>
      </c>
      <c r="H960" t="s">
        <v>8</v>
      </c>
      <c r="I960" s="75" t="str">
        <f ca="1">IF(Table7[[#This Row],[Type]]="KILL",IF(_xlfn.NUMBERVALUE(RIGHT(Table7[[#This Row],[Min]],LEN(Table7[[#This Row],[Min]])-FIND("-",Table7[[#This Row],[Min]])))&gt;INDIRECT(ADDRESS(11+MATCH(LEFT(Table7[[#This Row],[Min]],FIND("-",Table7[[#This Row],[Min]])-1),Table1[Content Sku],0),14,1,1,"Entities")),"review","ok"),"ok")</f>
        <v>ok</v>
      </c>
      <c r="U960" t="s">
        <v>551</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543</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257</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551</v>
      </c>
      <c r="V961">
        <v>0</v>
      </c>
      <c r="W961">
        <v>0</v>
      </c>
      <c r="X961" t="s">
        <v>8</v>
      </c>
      <c r="Y961" s="75" t="str">
        <f ca="1">IF(Table15[[#This Row],[Type]]="KILL",IF(_xlfn.NUMBERVALUE(RIGHT(Table15[[#This Row],[Min]],LEN(Table15[[#This Row],[Min]])-FIND("-",Table15[[#This Row],[Min]])))&gt;INDIRECT(ADDRESS(11+MATCH(LEFT(Table15[[#This Row],[Min]],FIND("-",Table15[[#This Row],[Min]])-1),Table1[Content Sku],0),16,1,1,"Entities")),"review","ok"),"ok")</f>
        <v>ok</v>
      </c>
      <c r="AK961" t="s">
        <v>543</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257</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551</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543</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257</v>
      </c>
      <c r="F963">
        <v>18000</v>
      </c>
      <c r="G963">
        <v>0</v>
      </c>
      <c r="H963" t="s">
        <v>205</v>
      </c>
      <c r="I963" s="75" t="str">
        <f ca="1">IF(Table7[[#This Row],[Type]]="KILL",IF(_xlfn.NUMBERVALUE(RIGHT(Table7[[#This Row],[Min]],LEN(Table7[[#This Row],[Min]])-FIND("-",Table7[[#This Row],[Min]])))&gt;INDIRECT(ADDRESS(11+MATCH(LEFT(Table7[[#This Row],[Min]],FIND("-",Table7[[#This Row],[Min]])-1),Table1[Content Sku],0),14,1,1,"Entities")),"review","ok"),"ok")</f>
        <v>ok</v>
      </c>
      <c r="U963" t="s">
        <v>551</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543</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257</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551</v>
      </c>
      <c r="V964">
        <v>0</v>
      </c>
      <c r="W964">
        <v>0</v>
      </c>
      <c r="X964" t="s">
        <v>8</v>
      </c>
      <c r="Y964" s="75" t="str">
        <f ca="1">IF(Table15[[#This Row],[Type]]="KILL",IF(_xlfn.NUMBERVALUE(RIGHT(Table15[[#This Row],[Min]],LEN(Table15[[#This Row],[Min]])-FIND("-",Table15[[#This Row],[Min]])))&gt;INDIRECT(ADDRESS(11+MATCH(LEFT(Table15[[#This Row],[Min]],FIND("-",Table15[[#This Row],[Min]])-1),Table1[Content Sku],0),16,1,1,"Entities")),"review","ok"),"ok")</f>
        <v>ok</v>
      </c>
      <c r="AK964" t="s">
        <v>543</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257</v>
      </c>
      <c r="F965">
        <v>0</v>
      </c>
      <c r="G965">
        <v>0</v>
      </c>
      <c r="H965" t="s">
        <v>8</v>
      </c>
      <c r="I965" s="75" t="str">
        <f ca="1">IF(Table7[[#This Row],[Type]]="KILL",IF(_xlfn.NUMBERVALUE(RIGHT(Table7[[#This Row],[Min]],LEN(Table7[[#This Row],[Min]])-FIND("-",Table7[[#This Row],[Min]])))&gt;INDIRECT(ADDRESS(11+MATCH(LEFT(Table7[[#This Row],[Min]],FIND("-",Table7[[#This Row],[Min]])-1),Table1[Content Sku],0),14,1,1,"Entities")),"review","ok"),"ok")</f>
        <v>ok</v>
      </c>
      <c r="U965" t="s">
        <v>551</v>
      </c>
      <c r="V965">
        <v>0</v>
      </c>
      <c r="W965">
        <v>0</v>
      </c>
      <c r="X965" t="s">
        <v>8</v>
      </c>
      <c r="Y965" s="75" t="str">
        <f ca="1">IF(Table15[[#This Row],[Type]]="KILL",IF(_xlfn.NUMBERVALUE(RIGHT(Table15[[#This Row],[Min]],LEN(Table15[[#This Row],[Min]])-FIND("-",Table15[[#This Row],[Min]])))&gt;INDIRECT(ADDRESS(11+MATCH(LEFT(Table15[[#This Row],[Min]],FIND("-",Table15[[#This Row],[Min]])-1),Table1[Content Sku],0),16,1,1,"Entities")),"review","ok"),"ok")</f>
        <v>ok</v>
      </c>
      <c r="AK965" t="s">
        <v>543</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257</v>
      </c>
      <c r="F966">
        <v>16000</v>
      </c>
      <c r="G966">
        <v>0</v>
      </c>
      <c r="H966" t="s">
        <v>205</v>
      </c>
      <c r="I966" s="75" t="str">
        <f ca="1">IF(Table7[[#This Row],[Type]]="KILL",IF(_xlfn.NUMBERVALUE(RIGHT(Table7[[#This Row],[Min]],LEN(Table7[[#This Row],[Min]])-FIND("-",Table7[[#This Row],[Min]])))&gt;INDIRECT(ADDRESS(11+MATCH(LEFT(Table7[[#This Row],[Min]],FIND("-",Table7[[#This Row],[Min]])-1),Table1[Content Sku],0),14,1,1,"Entities")),"review","ok"),"ok")</f>
        <v>ok</v>
      </c>
      <c r="U966" t="s">
        <v>551</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543</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257</v>
      </c>
      <c r="F967">
        <v>19000</v>
      </c>
      <c r="G967">
        <v>0</v>
      </c>
      <c r="H967" t="s">
        <v>205</v>
      </c>
      <c r="I967" s="75" t="str">
        <f ca="1">IF(Table7[[#This Row],[Type]]="KILL",IF(_xlfn.NUMBERVALUE(RIGHT(Table7[[#This Row],[Min]],LEN(Table7[[#This Row],[Min]])-FIND("-",Table7[[#This Row],[Min]])))&gt;INDIRECT(ADDRESS(11+MATCH(LEFT(Table7[[#This Row],[Min]],FIND("-",Table7[[#This Row],[Min]])-1),Table1[Content Sku],0),14,1,1,"Entities")),"review","ok"),"ok")</f>
        <v>ok</v>
      </c>
      <c r="U967" t="s">
        <v>551</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543</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257</v>
      </c>
      <c r="F968">
        <v>20000</v>
      </c>
      <c r="G968">
        <v>0</v>
      </c>
      <c r="H968" t="s">
        <v>205</v>
      </c>
      <c r="I968" s="75" t="str">
        <f ca="1">IF(Table7[[#This Row],[Type]]="KILL",IF(_xlfn.NUMBERVALUE(RIGHT(Table7[[#This Row],[Min]],LEN(Table7[[#This Row],[Min]])-FIND("-",Table7[[#This Row],[Min]])))&gt;INDIRECT(ADDRESS(11+MATCH(LEFT(Table7[[#This Row],[Min]],FIND("-",Table7[[#This Row],[Min]])-1),Table1[Content Sku],0),14,1,1,"Entities")),"review","ok"),"ok")</f>
        <v>ok</v>
      </c>
      <c r="U968" t="s">
        <v>551</v>
      </c>
      <c r="V968">
        <v>0</v>
      </c>
      <c r="W968">
        <v>0</v>
      </c>
      <c r="X968" t="s">
        <v>8</v>
      </c>
      <c r="Y968" s="75" t="str">
        <f ca="1">IF(Table15[[#This Row],[Type]]="KILL",IF(_xlfn.NUMBERVALUE(RIGHT(Table15[[#This Row],[Min]],LEN(Table15[[#This Row],[Min]])-FIND("-",Table15[[#This Row],[Min]])))&gt;INDIRECT(ADDRESS(11+MATCH(LEFT(Table15[[#This Row],[Min]],FIND("-",Table15[[#This Row],[Min]])-1),Table1[Content Sku],0),16,1,1,"Entities")),"review","ok"),"ok")</f>
        <v>ok</v>
      </c>
      <c r="AK968" t="s">
        <v>543</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257</v>
      </c>
      <c r="F969">
        <v>24000</v>
      </c>
      <c r="G969">
        <v>0</v>
      </c>
      <c r="H969" t="s">
        <v>205</v>
      </c>
      <c r="I969" s="75" t="str">
        <f ca="1">IF(Table7[[#This Row],[Type]]="KILL",IF(_xlfn.NUMBERVALUE(RIGHT(Table7[[#This Row],[Min]],LEN(Table7[[#This Row],[Min]])-FIND("-",Table7[[#This Row],[Min]])))&gt;INDIRECT(ADDRESS(11+MATCH(LEFT(Table7[[#This Row],[Min]],FIND("-",Table7[[#This Row],[Min]])-1),Table1[Content Sku],0),14,1,1,"Entities")),"review","ok"),"ok")</f>
        <v>ok</v>
      </c>
      <c r="U969" t="s">
        <v>2748</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543</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257</v>
      </c>
      <c r="F970">
        <v>0</v>
      </c>
      <c r="G970">
        <v>0</v>
      </c>
      <c r="H970" t="s">
        <v>8</v>
      </c>
      <c r="I970" s="75" t="str">
        <f ca="1">IF(Table7[[#This Row],[Type]]="KILL",IF(_xlfn.NUMBERVALUE(RIGHT(Table7[[#This Row],[Min]],LEN(Table7[[#This Row],[Min]])-FIND("-",Table7[[#This Row],[Min]])))&gt;INDIRECT(ADDRESS(11+MATCH(LEFT(Table7[[#This Row],[Min]],FIND("-",Table7[[#This Row],[Min]])-1),Table1[Content Sku],0),14,1,1,"Entities")),"review","ok"),"ok")</f>
        <v>ok</v>
      </c>
      <c r="U970" t="s">
        <v>2748</v>
      </c>
      <c r="V970">
        <v>0</v>
      </c>
      <c r="W970">
        <v>0</v>
      </c>
      <c r="X970" t="s">
        <v>8</v>
      </c>
      <c r="Y970" s="75" t="str">
        <f ca="1">IF(Table15[[#This Row],[Type]]="KILL",IF(_xlfn.NUMBERVALUE(RIGHT(Table15[[#This Row],[Min]],LEN(Table15[[#This Row],[Min]])-FIND("-",Table15[[#This Row],[Min]])))&gt;INDIRECT(ADDRESS(11+MATCH(LEFT(Table15[[#This Row],[Min]],FIND("-",Table15[[#This Row],[Min]])-1),Table1[Content Sku],0),16,1,1,"Entities")),"review","ok"),"ok")</f>
        <v>ok</v>
      </c>
      <c r="AK970" t="s">
        <v>543</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257</v>
      </c>
      <c r="F971">
        <v>0</v>
      </c>
      <c r="G971">
        <v>0</v>
      </c>
      <c r="H971" t="s">
        <v>8</v>
      </c>
      <c r="I971" s="75" t="str">
        <f ca="1">IF(Table7[[#This Row],[Type]]="KILL",IF(_xlfn.NUMBERVALUE(RIGHT(Table7[[#This Row],[Min]],LEN(Table7[[#This Row],[Min]])-FIND("-",Table7[[#This Row],[Min]])))&gt;INDIRECT(ADDRESS(11+MATCH(LEFT(Table7[[#This Row],[Min]],FIND("-",Table7[[#This Row],[Min]])-1),Table1[Content Sku],0),14,1,1,"Entities")),"review","ok"),"ok")</f>
        <v>ok</v>
      </c>
      <c r="U971" t="s">
        <v>2748</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543</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257</v>
      </c>
      <c r="F972">
        <v>25000</v>
      </c>
      <c r="G972">
        <v>0</v>
      </c>
      <c r="H972" t="s">
        <v>205</v>
      </c>
      <c r="I972" s="75" t="str">
        <f ca="1">IF(Table7[[#This Row],[Type]]="KILL",IF(_xlfn.NUMBERVALUE(RIGHT(Table7[[#This Row],[Min]],LEN(Table7[[#This Row],[Min]])-FIND("-",Table7[[#This Row],[Min]])))&gt;INDIRECT(ADDRESS(11+MATCH(LEFT(Table7[[#This Row],[Min]],FIND("-",Table7[[#This Row],[Min]])-1),Table1[Content Sku],0),14,1,1,"Entities")),"review","ok"),"ok")</f>
        <v>ok</v>
      </c>
      <c r="U972" t="s">
        <v>2748</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543</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257</v>
      </c>
      <c r="F973">
        <v>28000</v>
      </c>
      <c r="G973">
        <v>0</v>
      </c>
      <c r="H973" t="s">
        <v>205</v>
      </c>
      <c r="I973" s="75" t="str">
        <f ca="1">IF(Table7[[#This Row],[Type]]="KILL",IF(_xlfn.NUMBERVALUE(RIGHT(Table7[[#This Row],[Min]],LEN(Table7[[#This Row],[Min]])-FIND("-",Table7[[#This Row],[Min]])))&gt;INDIRECT(ADDRESS(11+MATCH(LEFT(Table7[[#This Row],[Min]],FIND("-",Table7[[#This Row],[Min]])-1),Table1[Content Sku],0),14,1,1,"Entities")),"review","ok"),"ok")</f>
        <v>ok</v>
      </c>
      <c r="U973" t="s">
        <v>2748</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543</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257</v>
      </c>
      <c r="F974">
        <v>0</v>
      </c>
      <c r="G974">
        <v>0</v>
      </c>
      <c r="H974" t="s">
        <v>8</v>
      </c>
      <c r="I974" s="75" t="str">
        <f ca="1">IF(Table7[[#This Row],[Type]]="KILL",IF(_xlfn.NUMBERVALUE(RIGHT(Table7[[#This Row],[Min]],LEN(Table7[[#This Row],[Min]])-FIND("-",Table7[[#This Row],[Min]])))&gt;INDIRECT(ADDRESS(11+MATCH(LEFT(Table7[[#This Row],[Min]],FIND("-",Table7[[#This Row],[Min]])-1),Table1[Content Sku],0),14,1,1,"Entities")),"review","ok"),"ok")</f>
        <v>ok</v>
      </c>
      <c r="U974" t="s">
        <v>2748</v>
      </c>
      <c r="V974">
        <v>0</v>
      </c>
      <c r="W974">
        <v>0</v>
      </c>
      <c r="X974" t="s">
        <v>8</v>
      </c>
      <c r="Y974" s="75" t="str">
        <f ca="1">IF(Table15[[#This Row],[Type]]="KILL",IF(_xlfn.NUMBERVALUE(RIGHT(Table15[[#This Row],[Min]],LEN(Table15[[#This Row],[Min]])-FIND("-",Table15[[#This Row],[Min]])))&gt;INDIRECT(ADDRESS(11+MATCH(LEFT(Table15[[#This Row],[Min]],FIND("-",Table15[[#This Row],[Min]])-1),Table1[Content Sku],0),16,1,1,"Entities")),"review","ok"),"ok")</f>
        <v>ok</v>
      </c>
      <c r="AK974" t="s">
        <v>543</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257</v>
      </c>
      <c r="F975">
        <v>25000</v>
      </c>
      <c r="G975">
        <v>0</v>
      </c>
      <c r="H975" t="s">
        <v>205</v>
      </c>
      <c r="I975" s="75" t="str">
        <f ca="1">IF(Table7[[#This Row],[Type]]="KILL",IF(_xlfn.NUMBERVALUE(RIGHT(Table7[[#This Row],[Min]],LEN(Table7[[#This Row],[Min]])-FIND("-",Table7[[#This Row],[Min]])))&gt;INDIRECT(ADDRESS(11+MATCH(LEFT(Table7[[#This Row],[Min]],FIND("-",Table7[[#This Row],[Min]])-1),Table1[Content Sku],0),14,1,1,"Entities")),"review","ok"),"ok")</f>
        <v>ok</v>
      </c>
      <c r="U975" t="s">
        <v>2748</v>
      </c>
      <c r="V975">
        <v>0</v>
      </c>
      <c r="W975">
        <v>0</v>
      </c>
      <c r="X975" t="s">
        <v>8</v>
      </c>
      <c r="Y975" s="75" t="str">
        <f ca="1">IF(Table15[[#This Row],[Type]]="KILL",IF(_xlfn.NUMBERVALUE(RIGHT(Table15[[#This Row],[Min]],LEN(Table15[[#This Row],[Min]])-FIND("-",Table15[[#This Row],[Min]])))&gt;INDIRECT(ADDRESS(11+MATCH(LEFT(Table15[[#This Row],[Min]],FIND("-",Table15[[#This Row],[Min]])-1),Table1[Content Sku],0),16,1,1,"Entities")),"review","ok"),"ok")</f>
        <v>ok</v>
      </c>
      <c r="AK975" t="s">
        <v>546</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257</v>
      </c>
      <c r="F976">
        <v>10000</v>
      </c>
      <c r="G976">
        <v>0</v>
      </c>
      <c r="H976" t="s">
        <v>205</v>
      </c>
      <c r="I976" s="75" t="str">
        <f ca="1">IF(Table7[[#This Row],[Type]]="KILL",IF(_xlfn.NUMBERVALUE(RIGHT(Table7[[#This Row],[Min]],LEN(Table7[[#This Row],[Min]])-FIND("-",Table7[[#This Row],[Min]])))&gt;INDIRECT(ADDRESS(11+MATCH(LEFT(Table7[[#This Row],[Min]],FIND("-",Table7[[#This Row],[Min]])-1),Table1[Content Sku],0),14,1,1,"Entities")),"review","ok"),"ok")</f>
        <v>ok</v>
      </c>
      <c r="U976" t="s">
        <v>2748</v>
      </c>
      <c r="V976">
        <v>0</v>
      </c>
      <c r="W976">
        <v>0</v>
      </c>
      <c r="X976" t="s">
        <v>8</v>
      </c>
      <c r="Y976" s="75" t="str">
        <f ca="1">IF(Table15[[#This Row],[Type]]="KILL",IF(_xlfn.NUMBERVALUE(RIGHT(Table15[[#This Row],[Min]],LEN(Table15[[#This Row],[Min]])-FIND("-",Table15[[#This Row],[Min]])))&gt;INDIRECT(ADDRESS(11+MATCH(LEFT(Table15[[#This Row],[Min]],FIND("-",Table15[[#This Row],[Min]])-1),Table1[Content Sku],0),16,1,1,"Entities")),"review","ok"),"ok")</f>
        <v>ok</v>
      </c>
      <c r="AK976" t="s">
        <v>546</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257</v>
      </c>
      <c r="F977">
        <v>0</v>
      </c>
      <c r="G977">
        <v>0</v>
      </c>
      <c r="H977" t="s">
        <v>8</v>
      </c>
      <c r="I977" s="75" t="str">
        <f ca="1">IF(Table7[[#This Row],[Type]]="KILL",IF(_xlfn.NUMBERVALUE(RIGHT(Table7[[#This Row],[Min]],LEN(Table7[[#This Row],[Min]])-FIND("-",Table7[[#This Row],[Min]])))&gt;INDIRECT(ADDRESS(11+MATCH(LEFT(Table7[[#This Row],[Min]],FIND("-",Table7[[#This Row],[Min]])-1),Table1[Content Sku],0),14,1,1,"Entities")),"review","ok"),"ok")</f>
        <v>ok</v>
      </c>
      <c r="U977" t="s">
        <v>2748</v>
      </c>
      <c r="V977">
        <v>0</v>
      </c>
      <c r="W977">
        <v>0</v>
      </c>
      <c r="X977" t="s">
        <v>8</v>
      </c>
      <c r="Y977" s="75" t="str">
        <f ca="1">IF(Table15[[#This Row],[Type]]="KILL",IF(_xlfn.NUMBERVALUE(RIGHT(Table15[[#This Row],[Min]],LEN(Table15[[#This Row],[Min]])-FIND("-",Table15[[#This Row],[Min]])))&gt;INDIRECT(ADDRESS(11+MATCH(LEFT(Table15[[#This Row],[Min]],FIND("-",Table15[[#This Row],[Min]])-1),Table1[Content Sku],0),16,1,1,"Entities")),"review","ok"),"ok")</f>
        <v>ok</v>
      </c>
      <c r="AK977" t="s">
        <v>546</v>
      </c>
      <c r="AL977">
        <v>24000</v>
      </c>
      <c r="AM977">
        <v>0</v>
      </c>
      <c r="AN977" t="s">
        <v>205</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257</v>
      </c>
      <c r="F978">
        <v>14000</v>
      </c>
      <c r="G978">
        <v>0</v>
      </c>
      <c r="H978" t="s">
        <v>205</v>
      </c>
      <c r="I978" s="75" t="str">
        <f ca="1">IF(Table7[[#This Row],[Type]]="KILL",IF(_xlfn.NUMBERVALUE(RIGHT(Table7[[#This Row],[Min]],LEN(Table7[[#This Row],[Min]])-FIND("-",Table7[[#This Row],[Min]])))&gt;INDIRECT(ADDRESS(11+MATCH(LEFT(Table7[[#This Row],[Min]],FIND("-",Table7[[#This Row],[Min]])-1),Table1[Content Sku],0),14,1,1,"Entities")),"review","ok"),"ok")</f>
        <v>ok</v>
      </c>
      <c r="U978" t="s">
        <v>2748</v>
      </c>
      <c r="V978">
        <v>0</v>
      </c>
      <c r="W978">
        <v>0</v>
      </c>
      <c r="X978" t="s">
        <v>8</v>
      </c>
      <c r="Y978" s="75" t="str">
        <f ca="1">IF(Table15[[#This Row],[Type]]="KILL",IF(_xlfn.NUMBERVALUE(RIGHT(Table15[[#This Row],[Min]],LEN(Table15[[#This Row],[Min]])-FIND("-",Table15[[#This Row],[Min]])))&gt;INDIRECT(ADDRESS(11+MATCH(LEFT(Table15[[#This Row],[Min]],FIND("-",Table15[[#This Row],[Min]])-1),Table1[Content Sku],0),16,1,1,"Entities")),"review","ok"),"ok")</f>
        <v>ok</v>
      </c>
      <c r="AK978" t="s">
        <v>546</v>
      </c>
      <c r="AL978">
        <v>20000</v>
      </c>
      <c r="AM978">
        <v>0</v>
      </c>
      <c r="AN978" t="s">
        <v>205</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257</v>
      </c>
      <c r="F979">
        <v>7400</v>
      </c>
      <c r="G979">
        <v>0</v>
      </c>
      <c r="H979" t="s">
        <v>205</v>
      </c>
      <c r="I979" s="75" t="str">
        <f ca="1">IF(Table7[[#This Row],[Type]]="KILL",IF(_xlfn.NUMBERVALUE(RIGHT(Table7[[#This Row],[Min]],LEN(Table7[[#This Row],[Min]])-FIND("-",Table7[[#This Row],[Min]])))&gt;INDIRECT(ADDRESS(11+MATCH(LEFT(Table7[[#This Row],[Min]],FIND("-",Table7[[#This Row],[Min]])-1),Table1[Content Sku],0),14,1,1,"Entities")),"review","ok"),"ok")</f>
        <v>ok</v>
      </c>
      <c r="U979" t="s">
        <v>2748</v>
      </c>
      <c r="V979">
        <v>0</v>
      </c>
      <c r="W979">
        <v>0</v>
      </c>
      <c r="X979" t="s">
        <v>8</v>
      </c>
      <c r="Y979" s="75" t="str">
        <f ca="1">IF(Table15[[#This Row],[Type]]="KILL",IF(_xlfn.NUMBERVALUE(RIGHT(Table15[[#This Row],[Min]],LEN(Table15[[#This Row],[Min]])-FIND("-",Table15[[#This Row],[Min]])))&gt;INDIRECT(ADDRESS(11+MATCH(LEFT(Table15[[#This Row],[Min]],FIND("-",Table15[[#This Row],[Min]])-1),Table1[Content Sku],0),16,1,1,"Entities")),"review","ok"),"ok")</f>
        <v>ok</v>
      </c>
      <c r="AK979" t="s">
        <v>546</v>
      </c>
      <c r="AL979">
        <v>42000</v>
      </c>
      <c r="AM979">
        <v>0</v>
      </c>
      <c r="AN979" t="s">
        <v>205</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257</v>
      </c>
      <c r="F980">
        <v>6000</v>
      </c>
      <c r="G980">
        <v>0</v>
      </c>
      <c r="H980" t="s">
        <v>205</v>
      </c>
      <c r="I980" s="75" t="str">
        <f ca="1">IF(Table7[[#This Row],[Type]]="KILL",IF(_xlfn.NUMBERVALUE(RIGHT(Table7[[#This Row],[Min]],LEN(Table7[[#This Row],[Min]])-FIND("-",Table7[[#This Row],[Min]])))&gt;INDIRECT(ADDRESS(11+MATCH(LEFT(Table7[[#This Row],[Min]],FIND("-",Table7[[#This Row],[Min]])-1),Table1[Content Sku],0),14,1,1,"Entities")),"review","ok"),"ok")</f>
        <v>ok</v>
      </c>
      <c r="U980" t="s">
        <v>2748</v>
      </c>
      <c r="V980">
        <v>0</v>
      </c>
      <c r="W980">
        <v>0</v>
      </c>
      <c r="X980" t="s">
        <v>8</v>
      </c>
      <c r="Y980" s="75" t="str">
        <f ca="1">IF(Table15[[#This Row],[Type]]="KILL",IF(_xlfn.NUMBERVALUE(RIGHT(Table15[[#This Row],[Min]],LEN(Table15[[#This Row],[Min]])-FIND("-",Table15[[#This Row],[Min]])))&gt;INDIRECT(ADDRESS(11+MATCH(LEFT(Table15[[#This Row],[Min]],FIND("-",Table15[[#This Row],[Min]])-1),Table1[Content Sku],0),16,1,1,"Entities")),"review","ok"),"ok")</f>
        <v>ok</v>
      </c>
      <c r="AK980" t="s">
        <v>546</v>
      </c>
      <c r="AL980">
        <v>28000</v>
      </c>
      <c r="AM980">
        <v>0</v>
      </c>
      <c r="AN980" t="s">
        <v>205</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257</v>
      </c>
      <c r="F981">
        <v>90</v>
      </c>
      <c r="G981">
        <v>0</v>
      </c>
      <c r="H981" t="s">
        <v>4439</v>
      </c>
      <c r="I981" s="75" t="str">
        <f ca="1">IF(Table7[[#This Row],[Type]]="KILL",IF(_xlfn.NUMBERVALUE(RIGHT(Table7[[#This Row],[Min]],LEN(Table7[[#This Row],[Min]])-FIND("-",Table7[[#This Row],[Min]])))&gt;INDIRECT(ADDRESS(11+MATCH(LEFT(Table7[[#This Row],[Min]],FIND("-",Table7[[#This Row],[Min]])-1),Table1[Content Sku],0),14,1,1,"Entities")),"review","ok"),"ok")</f>
        <v>ok</v>
      </c>
      <c r="U981" t="s">
        <v>2748</v>
      </c>
      <c r="V981">
        <v>0</v>
      </c>
      <c r="W981">
        <v>0</v>
      </c>
      <c r="X981" t="s">
        <v>8</v>
      </c>
      <c r="Y981" s="75" t="str">
        <f ca="1">IF(Table15[[#This Row],[Type]]="KILL",IF(_xlfn.NUMBERVALUE(RIGHT(Table15[[#This Row],[Min]],LEN(Table15[[#This Row],[Min]])-FIND("-",Table15[[#This Row],[Min]])))&gt;INDIRECT(ADDRESS(11+MATCH(LEFT(Table15[[#This Row],[Min]],FIND("-",Table15[[#This Row],[Min]])-1),Table1[Content Sku],0),16,1,1,"Entities")),"review","ok"),"ok")</f>
        <v>ok</v>
      </c>
      <c r="AK981" t="s">
        <v>546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257</v>
      </c>
      <c r="F982">
        <v>0</v>
      </c>
      <c r="G982">
        <v>0</v>
      </c>
      <c r="H982" t="s">
        <v>8</v>
      </c>
      <c r="I982" s="75" t="str">
        <f ca="1">IF(Table7[[#This Row],[Type]]="KILL",IF(_xlfn.NUMBERVALUE(RIGHT(Table7[[#This Row],[Min]],LEN(Table7[[#This Row],[Min]])-FIND("-",Table7[[#This Row],[Min]])))&gt;INDIRECT(ADDRESS(11+MATCH(LEFT(Table7[[#This Row],[Min]],FIND("-",Table7[[#This Row],[Min]])-1),Table1[Content Sku],0),14,1,1,"Entities")),"review","ok"),"ok")</f>
        <v>ok</v>
      </c>
      <c r="U982" t="s">
        <v>2748</v>
      </c>
      <c r="V982">
        <v>0</v>
      </c>
      <c r="W982">
        <v>0</v>
      </c>
      <c r="X982" t="s">
        <v>8</v>
      </c>
      <c r="Y982" s="75" t="str">
        <f ca="1">IF(Table15[[#This Row],[Type]]="KILL",IF(_xlfn.NUMBERVALUE(RIGHT(Table15[[#This Row],[Min]],LEN(Table15[[#This Row],[Min]])-FIND("-",Table15[[#This Row],[Min]])))&gt;INDIRECT(ADDRESS(11+MATCH(LEFT(Table15[[#This Row],[Min]],FIND("-",Table15[[#This Row],[Min]])-1),Table1[Content Sku],0),16,1,1,"Entities")),"review","ok"),"ok")</f>
        <v>ok</v>
      </c>
      <c r="AK982" t="s">
        <v>583</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257</v>
      </c>
      <c r="F983">
        <v>17000</v>
      </c>
      <c r="G983">
        <v>0</v>
      </c>
      <c r="H983" t="s">
        <v>205</v>
      </c>
      <c r="I983" s="75" t="str">
        <f ca="1">IF(Table7[[#This Row],[Type]]="KILL",IF(_xlfn.NUMBERVALUE(RIGHT(Table7[[#This Row],[Min]],LEN(Table7[[#This Row],[Min]])-FIND("-",Table7[[#This Row],[Min]])))&gt;INDIRECT(ADDRESS(11+MATCH(LEFT(Table7[[#This Row],[Min]],FIND("-",Table7[[#This Row],[Min]])-1),Table1[Content Sku],0),14,1,1,"Entities")),"review","ok"),"ok")</f>
        <v>ok</v>
      </c>
      <c r="U983" t="s">
        <v>2748</v>
      </c>
      <c r="V983">
        <v>0</v>
      </c>
      <c r="W983">
        <v>0</v>
      </c>
      <c r="X983" t="s">
        <v>8</v>
      </c>
      <c r="Y983" s="75" t="str">
        <f ca="1">IF(Table15[[#This Row],[Type]]="KILL",IF(_xlfn.NUMBERVALUE(RIGHT(Table15[[#This Row],[Min]],LEN(Table15[[#This Row],[Min]])-FIND("-",Table15[[#This Row],[Min]])))&gt;INDIRECT(ADDRESS(11+MATCH(LEFT(Table15[[#This Row],[Min]],FIND("-",Table15[[#This Row],[Min]])-1),Table1[Content Sku],0),16,1,1,"Entities")),"review","ok"),"ok")</f>
        <v>ok</v>
      </c>
      <c r="AK983" t="s">
        <v>583</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257</v>
      </c>
      <c r="F984">
        <v>30000</v>
      </c>
      <c r="G984">
        <v>0</v>
      </c>
      <c r="H984" t="s">
        <v>205</v>
      </c>
      <c r="I984" s="75" t="str">
        <f ca="1">IF(Table7[[#This Row],[Type]]="KILL",IF(_xlfn.NUMBERVALUE(RIGHT(Table7[[#This Row],[Min]],LEN(Table7[[#This Row],[Min]])-FIND("-",Table7[[#This Row],[Min]])))&gt;INDIRECT(ADDRESS(11+MATCH(LEFT(Table7[[#This Row],[Min]],FIND("-",Table7[[#This Row],[Min]])-1),Table1[Content Sku],0),14,1,1,"Entities")),"review","ok"),"ok")</f>
        <v>ok</v>
      </c>
      <c r="U984" t="s">
        <v>2748</v>
      </c>
      <c r="V984">
        <v>0</v>
      </c>
      <c r="W984">
        <v>0</v>
      </c>
      <c r="X984" t="s">
        <v>8</v>
      </c>
      <c r="Y984" s="75" t="str">
        <f ca="1">IF(Table15[[#This Row],[Type]]="KILL",IF(_xlfn.NUMBERVALUE(RIGHT(Table15[[#This Row],[Min]],LEN(Table15[[#This Row],[Min]])-FIND("-",Table15[[#This Row],[Min]])))&gt;INDIRECT(ADDRESS(11+MATCH(LEFT(Table15[[#This Row],[Min]],FIND("-",Table15[[#This Row],[Min]])-1),Table1[Content Sku],0),16,1,1,"Entities")),"review","ok"),"ok")</f>
        <v>ok</v>
      </c>
      <c r="AK984" t="s">
        <v>583</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257</v>
      </c>
      <c r="F985">
        <v>16000</v>
      </c>
      <c r="G985">
        <v>0</v>
      </c>
      <c r="H985" t="s">
        <v>205</v>
      </c>
      <c r="I985" s="75" t="str">
        <f ca="1">IF(Table7[[#This Row],[Type]]="KILL",IF(_xlfn.NUMBERVALUE(RIGHT(Table7[[#This Row],[Min]],LEN(Table7[[#This Row],[Min]])-FIND("-",Table7[[#This Row],[Min]])))&gt;INDIRECT(ADDRESS(11+MATCH(LEFT(Table7[[#This Row],[Min]],FIND("-",Table7[[#This Row],[Min]])-1),Table1[Content Sku],0),14,1,1,"Entities")),"review","ok"),"ok")</f>
        <v>ok</v>
      </c>
      <c r="U985" t="s">
        <v>2748</v>
      </c>
      <c r="V985">
        <v>0</v>
      </c>
      <c r="W985">
        <v>0</v>
      </c>
      <c r="X985" t="s">
        <v>8</v>
      </c>
      <c r="Y985" s="75" t="str">
        <f ca="1">IF(Table15[[#This Row],[Type]]="KILL",IF(_xlfn.NUMBERVALUE(RIGHT(Table15[[#This Row],[Min]],LEN(Table15[[#This Row],[Min]])-FIND("-",Table15[[#This Row],[Min]])))&gt;INDIRECT(ADDRESS(11+MATCH(LEFT(Table15[[#This Row],[Min]],FIND("-",Table15[[#This Row],[Min]])-1),Table1[Content Sku],0),16,1,1,"Entities")),"review","ok"),"ok")</f>
        <v>ok</v>
      </c>
      <c r="AK985" t="s">
        <v>583</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257</v>
      </c>
      <c r="F986">
        <v>9000</v>
      </c>
      <c r="G986">
        <v>0</v>
      </c>
      <c r="H986" t="s">
        <v>205</v>
      </c>
      <c r="I986" s="75" t="str">
        <f ca="1">IF(Table7[[#This Row],[Type]]="KILL",IF(_xlfn.NUMBERVALUE(RIGHT(Table7[[#This Row],[Min]],LEN(Table7[[#This Row],[Min]])-FIND("-",Table7[[#This Row],[Min]])))&gt;INDIRECT(ADDRESS(11+MATCH(LEFT(Table7[[#This Row],[Min]],FIND("-",Table7[[#This Row],[Min]])-1),Table1[Content Sku],0),14,1,1,"Entities")),"review","ok"),"ok")</f>
        <v>ok</v>
      </c>
      <c r="U986" t="s">
        <v>2748</v>
      </c>
      <c r="V986">
        <v>0</v>
      </c>
      <c r="W986">
        <v>0</v>
      </c>
      <c r="X986" t="s">
        <v>8</v>
      </c>
      <c r="Y986" s="75" t="str">
        <f ca="1">IF(Table15[[#This Row],[Type]]="KILL",IF(_xlfn.NUMBERVALUE(RIGHT(Table15[[#This Row],[Min]],LEN(Table15[[#This Row],[Min]])-FIND("-",Table15[[#This Row],[Min]])))&gt;INDIRECT(ADDRESS(11+MATCH(LEFT(Table15[[#This Row],[Min]],FIND("-",Table15[[#This Row],[Min]])-1),Table1[Content Sku],0),16,1,1,"Entities")),"review","ok"),"ok")</f>
        <v>ok</v>
      </c>
      <c r="AK986" t="s">
        <v>309</v>
      </c>
      <c r="AL986">
        <v>30000</v>
      </c>
      <c r="AM986">
        <v>0</v>
      </c>
      <c r="AN986" t="s">
        <v>205</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257</v>
      </c>
      <c r="F987">
        <v>0</v>
      </c>
      <c r="G987">
        <v>0</v>
      </c>
      <c r="H987" t="s">
        <v>8</v>
      </c>
      <c r="I987" s="75" t="str">
        <f ca="1">IF(Table7[[#This Row],[Type]]="KILL",IF(_xlfn.NUMBERVALUE(RIGHT(Table7[[#This Row],[Min]],LEN(Table7[[#This Row],[Min]])-FIND("-",Table7[[#This Row],[Min]])))&gt;INDIRECT(ADDRESS(11+MATCH(LEFT(Table7[[#This Row],[Min]],FIND("-",Table7[[#This Row],[Min]])-1),Table1[Content Sku],0),14,1,1,"Entities")),"review","ok"),"ok")</f>
        <v>ok</v>
      </c>
      <c r="U987" t="s">
        <v>452</v>
      </c>
      <c r="V987">
        <v>420</v>
      </c>
      <c r="W987">
        <v>0</v>
      </c>
      <c r="X987" t="s">
        <v>4439</v>
      </c>
      <c r="Y987" s="75" t="str">
        <f ca="1">IF(Table15[[#This Row],[Type]]="KILL",IF(_xlfn.NUMBERVALUE(RIGHT(Table15[[#This Row],[Min]],LEN(Table15[[#This Row],[Min]])-FIND("-",Table15[[#This Row],[Min]])))&gt;INDIRECT(ADDRESS(11+MATCH(LEFT(Table15[[#This Row],[Min]],FIND("-",Table15[[#This Row],[Min]])-1),Table1[Content Sku],0),16,1,1,"Entities")),"review","ok"),"ok")</f>
        <v>ok</v>
      </c>
      <c r="AK987" t="s">
        <v>309</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257</v>
      </c>
      <c r="F988">
        <v>0</v>
      </c>
      <c r="G988">
        <v>0</v>
      </c>
      <c r="H988" t="s">
        <v>8</v>
      </c>
      <c r="I988" s="75" t="str">
        <f ca="1">IF(Table7[[#This Row],[Type]]="KILL",IF(_xlfn.NUMBERVALUE(RIGHT(Table7[[#This Row],[Min]],LEN(Table7[[#This Row],[Min]])-FIND("-",Table7[[#This Row],[Min]])))&gt;INDIRECT(ADDRESS(11+MATCH(LEFT(Table7[[#This Row],[Min]],FIND("-",Table7[[#This Row],[Min]])-1),Table1[Content Sku],0),14,1,1,"Entities")),"review","ok"),"ok")</f>
        <v>ok</v>
      </c>
      <c r="U988" t="s">
        <v>452</v>
      </c>
      <c r="V988">
        <v>0</v>
      </c>
      <c r="W988">
        <v>0</v>
      </c>
      <c r="X988" t="s">
        <v>8</v>
      </c>
      <c r="Y988" s="75" t="str">
        <f ca="1">IF(Table15[[#This Row],[Type]]="KILL",IF(_xlfn.NUMBERVALUE(RIGHT(Table15[[#This Row],[Min]],LEN(Table15[[#This Row],[Min]])-FIND("-",Table15[[#This Row],[Min]])))&gt;INDIRECT(ADDRESS(11+MATCH(LEFT(Table15[[#This Row],[Min]],FIND("-",Table15[[#This Row],[Min]])-1),Table1[Content Sku],0),16,1,1,"Entities")),"review","ok"),"ok")</f>
        <v>ok</v>
      </c>
      <c r="AK988" t="s">
        <v>311</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257</v>
      </c>
      <c r="F989">
        <v>3800</v>
      </c>
      <c r="G989">
        <v>0</v>
      </c>
      <c r="H989" t="s">
        <v>205</v>
      </c>
      <c r="I989" s="75" t="str">
        <f ca="1">IF(Table7[[#This Row],[Type]]="KILL",IF(_xlfn.NUMBERVALUE(RIGHT(Table7[[#This Row],[Min]],LEN(Table7[[#This Row],[Min]])-FIND("-",Table7[[#This Row],[Min]])))&gt;INDIRECT(ADDRESS(11+MATCH(LEFT(Table7[[#This Row],[Min]],FIND("-",Table7[[#This Row],[Min]])-1),Table1[Content Sku],0),14,1,1,"Entities")),"review","ok"),"ok")</f>
        <v>ok</v>
      </c>
      <c r="U989" t="s">
        <v>452</v>
      </c>
      <c r="V989">
        <v>0</v>
      </c>
      <c r="W989">
        <v>0</v>
      </c>
      <c r="X989" t="s">
        <v>8</v>
      </c>
      <c r="Y989" s="75" t="str">
        <f ca="1">IF(Table15[[#This Row],[Type]]="KILL",IF(_xlfn.NUMBERVALUE(RIGHT(Table15[[#This Row],[Min]],LEN(Table15[[#This Row],[Min]])-FIND("-",Table15[[#This Row],[Min]])))&gt;INDIRECT(ADDRESS(11+MATCH(LEFT(Table15[[#This Row],[Min]],FIND("-",Table15[[#This Row],[Min]])-1),Table1[Content Sku],0),16,1,1,"Entities")),"review","ok"),"ok")</f>
        <v>ok</v>
      </c>
      <c r="AK989" t="s">
        <v>311</v>
      </c>
      <c r="AL989">
        <v>0</v>
      </c>
      <c r="AM989">
        <v>27000</v>
      </c>
      <c r="AN989" t="s">
        <v>205</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257</v>
      </c>
      <c r="F990">
        <v>33000</v>
      </c>
      <c r="G990">
        <v>0</v>
      </c>
      <c r="H990" t="s">
        <v>205</v>
      </c>
      <c r="I990" s="75" t="str">
        <f ca="1">IF(Table7[[#This Row],[Type]]="KILL",IF(_xlfn.NUMBERVALUE(RIGHT(Table7[[#This Row],[Min]],LEN(Table7[[#This Row],[Min]])-FIND("-",Table7[[#This Row],[Min]])))&gt;INDIRECT(ADDRESS(11+MATCH(LEFT(Table7[[#This Row],[Min]],FIND("-",Table7[[#This Row],[Min]])-1),Table1[Content Sku],0),14,1,1,"Entities")),"review","ok"),"ok")</f>
        <v>ok</v>
      </c>
      <c r="U990" t="s">
        <v>452</v>
      </c>
      <c r="V990">
        <v>0</v>
      </c>
      <c r="W990">
        <v>0</v>
      </c>
      <c r="X990" t="s">
        <v>8</v>
      </c>
      <c r="Y990" s="75" t="str">
        <f ca="1">IF(Table15[[#This Row],[Type]]="KILL",IF(_xlfn.NUMBERVALUE(RIGHT(Table15[[#This Row],[Min]],LEN(Table15[[#This Row],[Min]])-FIND("-",Table15[[#This Row],[Min]])))&gt;INDIRECT(ADDRESS(11+MATCH(LEFT(Table15[[#This Row],[Min]],FIND("-",Table15[[#This Row],[Min]])-1),Table1[Content Sku],0),16,1,1,"Entities")),"review","ok"),"ok")</f>
        <v>ok</v>
      </c>
      <c r="AK990" t="s">
        <v>311</v>
      </c>
      <c r="AL990">
        <v>25500</v>
      </c>
      <c r="AM990">
        <v>0</v>
      </c>
      <c r="AN990" t="s">
        <v>205</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257</v>
      </c>
      <c r="F991">
        <v>0</v>
      </c>
      <c r="G991">
        <v>0</v>
      </c>
      <c r="H991" t="s">
        <v>8</v>
      </c>
      <c r="I991" s="75" t="str">
        <f ca="1">IF(Table7[[#This Row],[Type]]="KILL",IF(_xlfn.NUMBERVALUE(RIGHT(Table7[[#This Row],[Min]],LEN(Table7[[#This Row],[Min]])-FIND("-",Table7[[#This Row],[Min]])))&gt;INDIRECT(ADDRESS(11+MATCH(LEFT(Table7[[#This Row],[Min]],FIND("-",Table7[[#This Row],[Min]])-1),Table1[Content Sku],0),14,1,1,"Entities")),"review","ok"),"ok")</f>
        <v>ok</v>
      </c>
      <c r="U991" t="s">
        <v>452</v>
      </c>
      <c r="V991">
        <v>0</v>
      </c>
      <c r="W991">
        <v>0</v>
      </c>
      <c r="X991" t="s">
        <v>8</v>
      </c>
      <c r="Y991" s="75" t="str">
        <f ca="1">IF(Table15[[#This Row],[Type]]="KILL",IF(_xlfn.NUMBERVALUE(RIGHT(Table15[[#This Row],[Min]],LEN(Table15[[#This Row],[Min]])-FIND("-",Table15[[#This Row],[Min]])))&gt;INDIRECT(ADDRESS(11+MATCH(LEFT(Table15[[#This Row],[Min]],FIND("-",Table15[[#This Row],[Min]])-1),Table1[Content Sku],0),16,1,1,"Entities")),"review","ok"),"ok")</f>
        <v>ok</v>
      </c>
      <c r="AK991" t="s">
        <v>311</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257</v>
      </c>
      <c r="F992">
        <v>0</v>
      </c>
      <c r="G992">
        <v>0</v>
      </c>
      <c r="H992" t="s">
        <v>8</v>
      </c>
      <c r="I992" s="75" t="str">
        <f ca="1">IF(Table7[[#This Row],[Type]]="KILL",IF(_xlfn.NUMBERVALUE(RIGHT(Table7[[#This Row],[Min]],LEN(Table7[[#This Row],[Min]])-FIND("-",Table7[[#This Row],[Min]])))&gt;INDIRECT(ADDRESS(11+MATCH(LEFT(Table7[[#This Row],[Min]],FIND("-",Table7[[#This Row],[Min]])-1),Table1[Content Sku],0),14,1,1,"Entities")),"review","ok"),"ok")</f>
        <v>ok</v>
      </c>
      <c r="U992" t="s">
        <v>452</v>
      </c>
      <c r="V992">
        <v>360</v>
      </c>
      <c r="W992">
        <v>0</v>
      </c>
      <c r="X992" t="s">
        <v>4439</v>
      </c>
      <c r="Y992" s="75" t="str">
        <f ca="1">IF(Table15[[#This Row],[Type]]="KILL",IF(_xlfn.NUMBERVALUE(RIGHT(Table15[[#This Row],[Min]],LEN(Table15[[#This Row],[Min]])-FIND("-",Table15[[#This Row],[Min]])))&gt;INDIRECT(ADDRESS(11+MATCH(LEFT(Table15[[#This Row],[Min]],FIND("-",Table15[[#This Row],[Min]])-1),Table1[Content Sku],0),16,1,1,"Entities")),"review","ok"),"ok")</f>
        <v>ok</v>
      </c>
      <c r="AK992" t="s">
        <v>311</v>
      </c>
      <c r="AL992">
        <v>28000</v>
      </c>
      <c r="AM992">
        <v>0</v>
      </c>
      <c r="AN992" t="s">
        <v>205</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41</v>
      </c>
      <c r="F993">
        <v>10000</v>
      </c>
      <c r="G993">
        <v>0</v>
      </c>
      <c r="H993" t="s">
        <v>205</v>
      </c>
      <c r="I993" s="75" t="str">
        <f ca="1">IF(Table7[[#This Row],[Type]]="KILL",IF(_xlfn.NUMBERVALUE(RIGHT(Table7[[#This Row],[Min]],LEN(Table7[[#This Row],[Min]])-FIND("-",Table7[[#This Row],[Min]])))&gt;INDIRECT(ADDRESS(11+MATCH(LEFT(Table7[[#This Row],[Min]],FIND("-",Table7[[#This Row],[Min]])-1),Table1[Content Sku],0),14,1,1,"Entities")),"review","ok"),"ok")</f>
        <v>ok</v>
      </c>
      <c r="U993" t="s">
        <v>452</v>
      </c>
      <c r="V993">
        <v>30000</v>
      </c>
      <c r="W993">
        <v>0</v>
      </c>
      <c r="X993" t="s">
        <v>205</v>
      </c>
      <c r="Y993" s="75" t="str">
        <f ca="1">IF(Table15[[#This Row],[Type]]="KILL",IF(_xlfn.NUMBERVALUE(RIGHT(Table15[[#This Row],[Min]],LEN(Table15[[#This Row],[Min]])-FIND("-",Table15[[#This Row],[Min]])))&gt;INDIRECT(ADDRESS(11+MATCH(LEFT(Table15[[#This Row],[Min]],FIND("-",Table15[[#This Row],[Min]])-1),Table1[Content Sku],0),16,1,1,"Entities")),"review","ok"),"ok")</f>
        <v>ok</v>
      </c>
      <c r="AK993" t="s">
        <v>311</v>
      </c>
      <c r="AL993">
        <v>0</v>
      </c>
      <c r="AM993">
        <v>34000</v>
      </c>
      <c r="AN993" t="s">
        <v>205</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41</v>
      </c>
      <c r="F994">
        <v>8400</v>
      </c>
      <c r="G994">
        <v>0</v>
      </c>
      <c r="H994" t="s">
        <v>205</v>
      </c>
      <c r="I994" s="75" t="str">
        <f ca="1">IF(Table7[[#This Row],[Type]]="KILL",IF(_xlfn.NUMBERVALUE(RIGHT(Table7[[#This Row],[Min]],LEN(Table7[[#This Row],[Min]])-FIND("-",Table7[[#This Row],[Min]])))&gt;INDIRECT(ADDRESS(11+MATCH(LEFT(Table7[[#This Row],[Min]],FIND("-",Table7[[#This Row],[Min]])-1),Table1[Content Sku],0),14,1,1,"Entities")),"review","ok"),"ok")</f>
        <v>ok</v>
      </c>
      <c r="U994" t="s">
        <v>452</v>
      </c>
      <c r="V994">
        <v>45000</v>
      </c>
      <c r="W994">
        <v>0</v>
      </c>
      <c r="X994" t="s">
        <v>205</v>
      </c>
      <c r="Y994" s="75" t="str">
        <f ca="1">IF(Table15[[#This Row],[Type]]="KILL",IF(_xlfn.NUMBERVALUE(RIGHT(Table15[[#This Row],[Min]],LEN(Table15[[#This Row],[Min]])-FIND("-",Table15[[#This Row],[Min]])))&gt;INDIRECT(ADDRESS(11+MATCH(LEFT(Table15[[#This Row],[Min]],FIND("-",Table15[[#This Row],[Min]])-1),Table1[Content Sku],0),16,1,1,"Entities")),"review","ok"),"ok")</f>
        <v>ok</v>
      </c>
      <c r="AK994" t="s">
        <v>311</v>
      </c>
      <c r="AL994">
        <v>26000</v>
      </c>
      <c r="AM994">
        <v>0</v>
      </c>
      <c r="AN994" t="s">
        <v>205</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35000</v>
      </c>
      <c r="G995">
        <v>0</v>
      </c>
      <c r="H995" t="s">
        <v>205</v>
      </c>
      <c r="I995" s="75" t="str">
        <f ca="1">IF(Table7[[#This Row],[Type]]="KILL",IF(_xlfn.NUMBERVALUE(RIGHT(Table7[[#This Row],[Min]],LEN(Table7[[#This Row],[Min]])-FIND("-",Table7[[#This Row],[Min]])))&gt;INDIRECT(ADDRESS(11+MATCH(LEFT(Table7[[#This Row],[Min]],FIND("-",Table7[[#This Row],[Min]])-1),Table1[Content Sku],0),14,1,1,"Entities")),"review","ok"),"ok")</f>
        <v>ok</v>
      </c>
      <c r="U995" t="s">
        <v>452</v>
      </c>
      <c r="V995">
        <v>45000</v>
      </c>
      <c r="W995">
        <v>0</v>
      </c>
      <c r="X995" t="s">
        <v>205</v>
      </c>
      <c r="Y995" s="75" t="str">
        <f ca="1">IF(Table15[[#This Row],[Type]]="KILL",IF(_xlfn.NUMBERVALUE(RIGHT(Table15[[#This Row],[Min]],LEN(Table15[[#This Row],[Min]])-FIND("-",Table15[[#This Row],[Min]])))&gt;INDIRECT(ADDRESS(11+MATCH(LEFT(Table15[[#This Row],[Min]],FIND("-",Table15[[#This Row],[Min]])-1),Table1[Content Sku],0),16,1,1,"Entities")),"review","ok"),"ok")</f>
        <v>ok</v>
      </c>
      <c r="AK995" t="s">
        <v>311</v>
      </c>
      <c r="AL995">
        <v>35000</v>
      </c>
      <c r="AM995">
        <v>0</v>
      </c>
      <c r="AN995" t="s">
        <v>205</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9000</v>
      </c>
      <c r="G996">
        <v>0</v>
      </c>
      <c r="H996" t="s">
        <v>205</v>
      </c>
      <c r="I996" s="75" t="str">
        <f ca="1">IF(Table7[[#This Row],[Type]]="KILL",IF(_xlfn.NUMBERVALUE(RIGHT(Table7[[#This Row],[Min]],LEN(Table7[[#This Row],[Min]])-FIND("-",Table7[[#This Row],[Min]])))&gt;INDIRECT(ADDRESS(11+MATCH(LEFT(Table7[[#This Row],[Min]],FIND("-",Table7[[#This Row],[Min]])-1),Table1[Content Sku],0),14,1,1,"Entities")),"review","ok"),"ok")</f>
        <v>ok</v>
      </c>
      <c r="U996" t="s">
        <v>452</v>
      </c>
      <c r="V996">
        <v>0</v>
      </c>
      <c r="W996">
        <v>0</v>
      </c>
      <c r="X996" t="s">
        <v>8</v>
      </c>
      <c r="Y996" s="75" t="str">
        <f ca="1">IF(Table15[[#This Row],[Type]]="KILL",IF(_xlfn.NUMBERVALUE(RIGHT(Table15[[#This Row],[Min]],LEN(Table15[[#This Row],[Min]])-FIND("-",Table15[[#This Row],[Min]])))&gt;INDIRECT(ADDRESS(11+MATCH(LEFT(Table15[[#This Row],[Min]],FIND("-",Table15[[#This Row],[Min]])-1),Table1[Content Sku],0),16,1,1,"Entities")),"review","ok"),"ok")</f>
        <v>ok</v>
      </c>
      <c r="AK996" t="s">
        <v>311</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15000</v>
      </c>
      <c r="G997">
        <v>0</v>
      </c>
      <c r="H997" t="s">
        <v>205</v>
      </c>
      <c r="I997" s="75" t="str">
        <f ca="1">IF(Table7[[#This Row],[Type]]="KILL",IF(_xlfn.NUMBERVALUE(RIGHT(Table7[[#This Row],[Min]],LEN(Table7[[#This Row],[Min]])-FIND("-",Table7[[#This Row],[Min]])))&gt;INDIRECT(ADDRESS(11+MATCH(LEFT(Table7[[#This Row],[Min]],FIND("-",Table7[[#This Row],[Min]])-1),Table1[Content Sku],0),14,1,1,"Entities")),"review","ok"),"ok")</f>
        <v>ok</v>
      </c>
      <c r="U997" t="s">
        <v>452</v>
      </c>
      <c r="V997">
        <v>45000</v>
      </c>
      <c r="W997">
        <v>0</v>
      </c>
      <c r="X997" t="s">
        <v>205</v>
      </c>
      <c r="Y997" s="75" t="str">
        <f ca="1">IF(Table15[[#This Row],[Type]]="KILL",IF(_xlfn.NUMBERVALUE(RIGHT(Table15[[#This Row],[Min]],LEN(Table15[[#This Row],[Min]])-FIND("-",Table15[[#This Row],[Min]])))&gt;INDIRECT(ADDRESS(11+MATCH(LEFT(Table15[[#This Row],[Min]],FIND("-",Table15[[#This Row],[Min]])-1),Table1[Content Sku],0),16,1,1,"Entities")),"review","ok"),"ok")</f>
        <v>ok</v>
      </c>
      <c r="AK997" t="s">
        <v>313</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12000</v>
      </c>
      <c r="G998">
        <v>0</v>
      </c>
      <c r="H998" t="s">
        <v>205</v>
      </c>
      <c r="I998" s="75" t="str">
        <f ca="1">IF(Table7[[#This Row],[Type]]="KILL",IF(_xlfn.NUMBERVALUE(RIGHT(Table7[[#This Row],[Min]],LEN(Table7[[#This Row],[Min]])-FIND("-",Table7[[#This Row],[Min]])))&gt;INDIRECT(ADDRESS(11+MATCH(LEFT(Table7[[#This Row],[Min]],FIND("-",Table7[[#This Row],[Min]])-1),Table1[Content Sku],0),14,1,1,"Entities")),"review","ok"),"ok")</f>
        <v>ok</v>
      </c>
      <c r="U998" t="s">
        <v>452</v>
      </c>
      <c r="V998">
        <v>0</v>
      </c>
      <c r="W998">
        <v>0</v>
      </c>
      <c r="X998" t="s">
        <v>8</v>
      </c>
      <c r="Y998" s="75" t="str">
        <f ca="1">IF(Table15[[#This Row],[Type]]="KILL",IF(_xlfn.NUMBERVALUE(RIGHT(Table15[[#This Row],[Min]],LEN(Table15[[#This Row],[Min]])-FIND("-",Table15[[#This Row],[Min]])))&gt;INDIRECT(ADDRESS(11+MATCH(LEFT(Table15[[#This Row],[Min]],FIND("-",Table15[[#This Row],[Min]])-1),Table1[Content Sku],0),16,1,1,"Entities")),"review","ok"),"ok")</f>
        <v>ok</v>
      </c>
      <c r="AK998" t="s">
        <v>313</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10000</v>
      </c>
      <c r="G999">
        <v>0</v>
      </c>
      <c r="H999" t="s">
        <v>205</v>
      </c>
      <c r="I999" s="75" t="str">
        <f ca="1">IF(Table7[[#This Row],[Type]]="KILL",IF(_xlfn.NUMBERVALUE(RIGHT(Table7[[#This Row],[Min]],LEN(Table7[[#This Row],[Min]])-FIND("-",Table7[[#This Row],[Min]])))&gt;INDIRECT(ADDRESS(11+MATCH(LEFT(Table7[[#This Row],[Min]],FIND("-",Table7[[#This Row],[Min]])-1),Table1[Content Sku],0),14,1,1,"Entities")),"review","ok"),"ok")</f>
        <v>ok</v>
      </c>
      <c r="U999" t="s">
        <v>452</v>
      </c>
      <c r="V999" t="s">
        <v>8039</v>
      </c>
      <c r="W999" t="s">
        <v>4477</v>
      </c>
      <c r="X999" t="s">
        <v>4478</v>
      </c>
      <c r="Y999" s="75" t="str">
        <f ca="1">IF(Table15[[#This Row],[Type]]="KILL",IF(_xlfn.NUMBERVALUE(RIGHT(Table15[[#This Row],[Min]],LEN(Table15[[#This Row],[Min]])-FIND("-",Table15[[#This Row],[Min]])))&gt;INDIRECT(ADDRESS(11+MATCH(LEFT(Table15[[#This Row],[Min]],FIND("-",Table15[[#This Row],[Min]])-1),Table1[Content Sku],0),16,1,1,"Entities")),"review","ok"),"ok")</f>
        <v>review</v>
      </c>
      <c r="AK999" t="s">
        <v>313</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8000</v>
      </c>
      <c r="G1000">
        <v>0</v>
      </c>
      <c r="H1000" t="s">
        <v>205</v>
      </c>
      <c r="I1000" s="75" t="str">
        <f ca="1">IF(Table7[[#This Row],[Type]]="KILL",IF(_xlfn.NUMBERVALUE(RIGHT(Table7[[#This Row],[Min]],LEN(Table7[[#This Row],[Min]])-FIND("-",Table7[[#This Row],[Min]])))&gt;INDIRECT(ADDRESS(11+MATCH(LEFT(Table7[[#This Row],[Min]],FIND("-",Table7[[#This Row],[Min]])-1),Table1[Content Sku],0),14,1,1,"Entities")),"review","ok"),"ok")</f>
        <v>ok</v>
      </c>
      <c r="U1000" t="s">
        <v>137</v>
      </c>
      <c r="V1000">
        <v>0</v>
      </c>
      <c r="W1000">
        <v>0</v>
      </c>
      <c r="X1000" t="s">
        <v>8</v>
      </c>
      <c r="Y1000" s="75" t="str">
        <f ca="1">IF(Table15[[#This Row],[Type]]="KILL",IF(_xlfn.NUMBERVALUE(RIGHT(Table15[[#This Row],[Min]],LEN(Table15[[#This Row],[Min]])-FIND("-",Table15[[#This Row],[Min]])))&gt;INDIRECT(ADDRESS(11+MATCH(LEFT(Table15[[#This Row],[Min]],FIND("-",Table15[[#This Row],[Min]])-1),Table1[Content Sku],0),16,1,1,"Entities")),"review","ok"),"ok")</f>
        <v>ok</v>
      </c>
      <c r="AK1000" t="s">
        <v>313</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45000</v>
      </c>
      <c r="G1001">
        <v>0</v>
      </c>
      <c r="H1001" t="s">
        <v>205</v>
      </c>
      <c r="I1001" s="75" t="str">
        <f ca="1">IF(Table7[[#This Row],[Type]]="KILL",IF(_xlfn.NUMBERVALUE(RIGHT(Table7[[#This Row],[Min]],LEN(Table7[[#This Row],[Min]])-FIND("-",Table7[[#This Row],[Min]])))&gt;INDIRECT(ADDRESS(11+MATCH(LEFT(Table7[[#This Row],[Min]],FIND("-",Table7[[#This Row],[Min]])-1),Table1[Content Sku],0),14,1,1,"Entities")),"review","ok"),"ok")</f>
        <v>ok</v>
      </c>
      <c r="U1001" t="s">
        <v>137</v>
      </c>
      <c r="V1001">
        <v>0</v>
      </c>
      <c r="W1001">
        <v>0</v>
      </c>
      <c r="X1001" t="s">
        <v>8</v>
      </c>
      <c r="Y1001" s="75" t="str">
        <f ca="1">IF(Table15[[#This Row],[Type]]="KILL",IF(_xlfn.NUMBERVALUE(RIGHT(Table15[[#This Row],[Min]],LEN(Table15[[#This Row],[Min]])-FIND("-",Table15[[#This Row],[Min]])))&gt;INDIRECT(ADDRESS(11+MATCH(LEFT(Table15[[#This Row],[Min]],FIND("-",Table15[[#This Row],[Min]])-1),Table1[Content Sku],0),16,1,1,"Entities")),"review","ok"),"ok")</f>
        <v>ok</v>
      </c>
      <c r="AK1001" t="s">
        <v>313</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40000</v>
      </c>
      <c r="G1002">
        <v>0</v>
      </c>
      <c r="H1002" t="s">
        <v>205</v>
      </c>
      <c r="I1002" s="75" t="str">
        <f ca="1">IF(Table7[[#This Row],[Type]]="KILL",IF(_xlfn.NUMBERVALUE(RIGHT(Table7[[#This Row],[Min]],LEN(Table7[[#This Row],[Min]])-FIND("-",Table7[[#This Row],[Min]])))&gt;INDIRECT(ADDRESS(11+MATCH(LEFT(Table7[[#This Row],[Min]],FIND("-",Table7[[#This Row],[Min]])-1),Table1[Content Sku],0),14,1,1,"Entities")),"review","ok"),"ok")</f>
        <v>ok</v>
      </c>
      <c r="U1002" t="s">
        <v>137</v>
      </c>
      <c r="V1002">
        <v>0</v>
      </c>
      <c r="W1002">
        <v>0</v>
      </c>
      <c r="X1002" t="s">
        <v>8</v>
      </c>
      <c r="Y1002" s="75" t="str">
        <f ca="1">IF(Table15[[#This Row],[Type]]="KILL",IF(_xlfn.NUMBERVALUE(RIGHT(Table15[[#This Row],[Min]],LEN(Table15[[#This Row],[Min]])-FIND("-",Table15[[#This Row],[Min]])))&gt;INDIRECT(ADDRESS(11+MATCH(LEFT(Table15[[#This Row],[Min]],FIND("-",Table15[[#This Row],[Min]])-1),Table1[Content Sku],0),16,1,1,"Entities")),"review","ok"),"ok")</f>
        <v>ok</v>
      </c>
      <c r="AK1002" t="s">
        <v>313</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9000</v>
      </c>
      <c r="G1003">
        <v>0</v>
      </c>
      <c r="H1003" t="s">
        <v>205</v>
      </c>
      <c r="I1003" s="75" t="str">
        <f ca="1">IF(Table7[[#This Row],[Type]]="KILL",IF(_xlfn.NUMBERVALUE(RIGHT(Table7[[#This Row],[Min]],LEN(Table7[[#This Row],[Min]])-FIND("-",Table7[[#This Row],[Min]])))&gt;INDIRECT(ADDRESS(11+MATCH(LEFT(Table7[[#This Row],[Min]],FIND("-",Table7[[#This Row],[Min]])-1),Table1[Content Sku],0),14,1,1,"Entities")),"review","ok"),"ok")</f>
        <v>ok</v>
      </c>
      <c r="U1003" t="s">
        <v>137</v>
      </c>
      <c r="V1003">
        <v>0</v>
      </c>
      <c r="W1003">
        <v>0</v>
      </c>
      <c r="X1003" t="s">
        <v>8</v>
      </c>
      <c r="Y1003" s="75" t="str">
        <f ca="1">IF(Table15[[#This Row],[Type]]="KILL",IF(_xlfn.NUMBERVALUE(RIGHT(Table15[[#This Row],[Min]],LEN(Table15[[#This Row],[Min]])-FIND("-",Table15[[#This Row],[Min]])))&gt;INDIRECT(ADDRESS(11+MATCH(LEFT(Table15[[#This Row],[Min]],FIND("-",Table15[[#This Row],[Min]])-1),Table1[Content Sku],0),16,1,1,"Entities")),"review","ok"),"ok")</f>
        <v>ok</v>
      </c>
      <c r="AK1003" t="s">
        <v>313</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5000</v>
      </c>
      <c r="G1004">
        <v>0</v>
      </c>
      <c r="H1004" t="s">
        <v>205</v>
      </c>
      <c r="I1004" s="75" t="str">
        <f ca="1">IF(Table7[[#This Row],[Type]]="KILL",IF(_xlfn.NUMBERVALUE(RIGHT(Table7[[#This Row],[Min]],LEN(Table7[[#This Row],[Min]])-FIND("-",Table7[[#This Row],[Min]])))&gt;INDIRECT(ADDRESS(11+MATCH(LEFT(Table7[[#This Row],[Min]],FIND("-",Table7[[#This Row],[Min]])-1),Table1[Content Sku],0),14,1,1,"Entities")),"review","ok"),"ok")</f>
        <v>ok</v>
      </c>
      <c r="U1004" t="s">
        <v>137</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313</v>
      </c>
      <c r="AL1004">
        <v>28000</v>
      </c>
      <c r="AM1004">
        <v>0</v>
      </c>
      <c r="AN1004" t="s">
        <v>205</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18000</v>
      </c>
      <c r="G1005">
        <v>0</v>
      </c>
      <c r="H1005" t="s">
        <v>205</v>
      </c>
      <c r="I1005" s="75" t="str">
        <f ca="1">IF(Table7[[#This Row],[Type]]="KILL",IF(_xlfn.NUMBERVALUE(RIGHT(Table7[[#This Row],[Min]],LEN(Table7[[#This Row],[Min]])-FIND("-",Table7[[#This Row],[Min]])))&gt;INDIRECT(ADDRESS(11+MATCH(LEFT(Table7[[#This Row],[Min]],FIND("-",Table7[[#This Row],[Min]])-1),Table1[Content Sku],0),14,1,1,"Entities")),"review","ok"),"ok")</f>
        <v>ok</v>
      </c>
      <c r="U1005" t="s">
        <v>137</v>
      </c>
      <c r="V1005">
        <v>0</v>
      </c>
      <c r="W1005">
        <v>0</v>
      </c>
      <c r="X1005" t="s">
        <v>8</v>
      </c>
      <c r="Y1005" s="75" t="str">
        <f ca="1">IF(Table15[[#This Row],[Type]]="KILL",IF(_xlfn.NUMBERVALUE(RIGHT(Table15[[#This Row],[Min]],LEN(Table15[[#This Row],[Min]])-FIND("-",Table15[[#This Row],[Min]])))&gt;INDIRECT(ADDRESS(11+MATCH(LEFT(Table15[[#This Row],[Min]],FIND("-",Table15[[#This Row],[Min]])-1),Table1[Content Sku],0),16,1,1,"Entities")),"review","ok"),"ok")</f>
        <v>ok</v>
      </c>
      <c r="AK1005" t="s">
        <v>313</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258</v>
      </c>
      <c r="F1006">
        <v>30000</v>
      </c>
      <c r="G1006">
        <v>0</v>
      </c>
      <c r="H1006" t="s">
        <v>205</v>
      </c>
      <c r="I1006" s="75" t="str">
        <f ca="1">IF(Table7[[#This Row],[Type]]="KILL",IF(_xlfn.NUMBERVALUE(RIGHT(Table7[[#This Row],[Min]],LEN(Table7[[#This Row],[Min]])-FIND("-",Table7[[#This Row],[Min]])))&gt;INDIRECT(ADDRESS(11+MATCH(LEFT(Table7[[#This Row],[Min]],FIND("-",Table7[[#This Row],[Min]])-1),Table1[Content Sku],0),14,1,1,"Entities")),"review","ok"),"ok")</f>
        <v>ok</v>
      </c>
      <c r="U1006" t="s">
        <v>137</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313</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258</v>
      </c>
      <c r="F1007">
        <v>25000</v>
      </c>
      <c r="G1007">
        <v>0</v>
      </c>
      <c r="H1007" t="s">
        <v>205</v>
      </c>
      <c r="I1007" s="75" t="str">
        <f ca="1">IF(Table7[[#This Row],[Type]]="KILL",IF(_xlfn.NUMBERVALUE(RIGHT(Table7[[#This Row],[Min]],LEN(Table7[[#This Row],[Min]])-FIND("-",Table7[[#This Row],[Min]])))&gt;INDIRECT(ADDRESS(11+MATCH(LEFT(Table7[[#This Row],[Min]],FIND("-",Table7[[#This Row],[Min]])-1),Table1[Content Sku],0),14,1,1,"Entities")),"review","ok"),"ok")</f>
        <v>ok</v>
      </c>
      <c r="U1007" t="s">
        <v>45</v>
      </c>
      <c r="V1007">
        <v>0</v>
      </c>
      <c r="W1007">
        <v>0</v>
      </c>
      <c r="X1007" t="s">
        <v>8</v>
      </c>
      <c r="Y1007" s="75" t="str">
        <f ca="1">IF(Table15[[#This Row],[Type]]="KILL",IF(_xlfn.NUMBERVALUE(RIGHT(Table15[[#This Row],[Min]],LEN(Table15[[#This Row],[Min]])-FIND("-",Table15[[#This Row],[Min]])))&gt;INDIRECT(ADDRESS(11+MATCH(LEFT(Table15[[#This Row],[Min]],FIND("-",Table15[[#This Row],[Min]])-1),Table1[Content Sku],0),16,1,1,"Entities")),"review","ok"),"ok")</f>
        <v>ok</v>
      </c>
      <c r="AK1007" t="s">
        <v>313</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258</v>
      </c>
      <c r="F1008">
        <v>29000</v>
      </c>
      <c r="G1008">
        <v>0</v>
      </c>
      <c r="H1008" t="s">
        <v>205</v>
      </c>
      <c r="I1008" s="75" t="str">
        <f ca="1">IF(Table7[[#This Row],[Type]]="KILL",IF(_xlfn.NUMBERVALUE(RIGHT(Table7[[#This Row],[Min]],LEN(Table7[[#This Row],[Min]])-FIND("-",Table7[[#This Row],[Min]])))&gt;INDIRECT(ADDRESS(11+MATCH(LEFT(Table7[[#This Row],[Min]],FIND("-",Table7[[#This Row],[Min]])-1),Table1[Content Sku],0),14,1,1,"Entities")),"review","ok"),"ok")</f>
        <v>ok</v>
      </c>
      <c r="U1008" t="s">
        <v>45</v>
      </c>
      <c r="V1008">
        <v>24000</v>
      </c>
      <c r="W1008">
        <v>0</v>
      </c>
      <c r="X1008" t="s">
        <v>205</v>
      </c>
      <c r="Y1008" s="75" t="str">
        <f ca="1">IF(Table15[[#This Row],[Type]]="KILL",IF(_xlfn.NUMBERVALUE(RIGHT(Table15[[#This Row],[Min]],LEN(Table15[[#This Row],[Min]])-FIND("-",Table15[[#This Row],[Min]])))&gt;INDIRECT(ADDRESS(11+MATCH(LEFT(Table15[[#This Row],[Min]],FIND("-",Table15[[#This Row],[Min]])-1),Table1[Content Sku],0),16,1,1,"Entities")),"review","ok"),"ok")</f>
        <v>ok</v>
      </c>
      <c r="AK1008" t="s">
        <v>313</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258</v>
      </c>
      <c r="F1009">
        <v>55000</v>
      </c>
      <c r="G1009">
        <v>0</v>
      </c>
      <c r="H1009" t="s">
        <v>205</v>
      </c>
      <c r="I1009" s="75" t="str">
        <f ca="1">IF(Table7[[#This Row],[Type]]="KILL",IF(_xlfn.NUMBERVALUE(RIGHT(Table7[[#This Row],[Min]],LEN(Table7[[#This Row],[Min]])-FIND("-",Table7[[#This Row],[Min]])))&gt;INDIRECT(ADDRESS(11+MATCH(LEFT(Table7[[#This Row],[Min]],FIND("-",Table7[[#This Row],[Min]])-1),Table1[Content Sku],0),14,1,1,"Entities")),"review","ok"),"ok")</f>
        <v>ok</v>
      </c>
      <c r="U1009" t="s">
        <v>45</v>
      </c>
      <c r="V1009">
        <v>14000</v>
      </c>
      <c r="W1009">
        <v>0</v>
      </c>
      <c r="X1009" t="s">
        <v>205</v>
      </c>
      <c r="Y1009" s="75" t="str">
        <f ca="1">IF(Table15[[#This Row],[Type]]="KILL",IF(_xlfn.NUMBERVALUE(RIGHT(Table15[[#This Row],[Min]],LEN(Table15[[#This Row],[Min]])-FIND("-",Table15[[#This Row],[Min]])))&gt;INDIRECT(ADDRESS(11+MATCH(LEFT(Table15[[#This Row],[Min]],FIND("-",Table15[[#This Row],[Min]])-1),Table1[Content Sku],0),16,1,1,"Entities")),"review","ok"),"ok")</f>
        <v>ok</v>
      </c>
      <c r="AK1009" t="s">
        <v>313</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258</v>
      </c>
      <c r="F1010">
        <v>25000</v>
      </c>
      <c r="G1010">
        <v>0</v>
      </c>
      <c r="H1010" t="s">
        <v>205</v>
      </c>
      <c r="I1010" s="75" t="str">
        <f ca="1">IF(Table7[[#This Row],[Type]]="KILL",IF(_xlfn.NUMBERVALUE(RIGHT(Table7[[#This Row],[Min]],LEN(Table7[[#This Row],[Min]])-FIND("-",Table7[[#This Row],[Min]])))&gt;INDIRECT(ADDRESS(11+MATCH(LEFT(Table7[[#This Row],[Min]],FIND("-",Table7[[#This Row],[Min]])-1),Table1[Content Sku],0),14,1,1,"Entities")),"review","ok"),"ok")</f>
        <v>ok</v>
      </c>
      <c r="U1010" t="s">
        <v>45</v>
      </c>
      <c r="V1010">
        <v>18000</v>
      </c>
      <c r="W1010">
        <v>0</v>
      </c>
      <c r="X1010" t="s">
        <v>205</v>
      </c>
      <c r="Y1010" s="75" t="str">
        <f ca="1">IF(Table15[[#This Row],[Type]]="KILL",IF(_xlfn.NUMBERVALUE(RIGHT(Table15[[#This Row],[Min]],LEN(Table15[[#This Row],[Min]])-FIND("-",Table15[[#This Row],[Min]])))&gt;INDIRECT(ADDRESS(11+MATCH(LEFT(Table15[[#This Row],[Min]],FIND("-",Table15[[#This Row],[Min]])-1),Table1[Content Sku],0),16,1,1,"Entities")),"review","ok"),"ok")</f>
        <v>ok</v>
      </c>
      <c r="AK1010" t="s">
        <v>313</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258</v>
      </c>
      <c r="F1011">
        <v>27000</v>
      </c>
      <c r="G1011">
        <v>0</v>
      </c>
      <c r="H1011" t="s">
        <v>205</v>
      </c>
      <c r="I1011" s="75" t="str">
        <f ca="1">IF(Table7[[#This Row],[Type]]="KILL",IF(_xlfn.NUMBERVALUE(RIGHT(Table7[[#This Row],[Min]],LEN(Table7[[#This Row],[Min]])-FIND("-",Table7[[#This Row],[Min]])))&gt;INDIRECT(ADDRESS(11+MATCH(LEFT(Table7[[#This Row],[Min]],FIND("-",Table7[[#This Row],[Min]])-1),Table1[Content Sku],0),14,1,1,"Entities")),"review","ok"),"ok")</f>
        <v>ok</v>
      </c>
      <c r="U1011" t="s">
        <v>45</v>
      </c>
      <c r="V1011">
        <v>18000</v>
      </c>
      <c r="W1011">
        <v>0</v>
      </c>
      <c r="X1011" t="s">
        <v>205</v>
      </c>
      <c r="Y1011" s="75" t="str">
        <f ca="1">IF(Table15[[#This Row],[Type]]="KILL",IF(_xlfn.NUMBERVALUE(RIGHT(Table15[[#This Row],[Min]],LEN(Table15[[#This Row],[Min]])-FIND("-",Table15[[#This Row],[Min]])))&gt;INDIRECT(ADDRESS(11+MATCH(LEFT(Table15[[#This Row],[Min]],FIND("-",Table15[[#This Row],[Min]])-1),Table1[Content Sku],0),16,1,1,"Entities")),"review","ok"),"ok")</f>
        <v>ok</v>
      </c>
      <c r="AK1011" t="s">
        <v>313</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258</v>
      </c>
      <c r="F1012">
        <v>26000</v>
      </c>
      <c r="G1012">
        <v>0</v>
      </c>
      <c r="H1012" t="s">
        <v>205</v>
      </c>
      <c r="I1012" s="75" t="str">
        <f ca="1">IF(Table7[[#This Row],[Type]]="KILL",IF(_xlfn.NUMBERVALUE(RIGHT(Table7[[#This Row],[Min]],LEN(Table7[[#This Row],[Min]])-FIND("-",Table7[[#This Row],[Min]])))&gt;INDIRECT(ADDRESS(11+MATCH(LEFT(Table7[[#This Row],[Min]],FIND("-",Table7[[#This Row],[Min]])-1),Table1[Content Sku],0),14,1,1,"Entities")),"review","ok"),"ok")</f>
        <v>ok</v>
      </c>
      <c r="U1012" t="s">
        <v>45</v>
      </c>
      <c r="V1012">
        <v>12000</v>
      </c>
      <c r="W1012">
        <v>0</v>
      </c>
      <c r="X1012" t="s">
        <v>205</v>
      </c>
      <c r="Y1012" s="75" t="str">
        <f ca="1">IF(Table15[[#This Row],[Type]]="KILL",IF(_xlfn.NUMBERVALUE(RIGHT(Table15[[#This Row],[Min]],LEN(Table15[[#This Row],[Min]])-FIND("-",Table15[[#This Row],[Min]])))&gt;INDIRECT(ADDRESS(11+MATCH(LEFT(Table15[[#This Row],[Min]],FIND("-",Table15[[#This Row],[Min]])-1),Table1[Content Sku],0),16,1,1,"Entities")),"review","ok"),"ok")</f>
        <v>ok</v>
      </c>
      <c r="AK1012" t="s">
        <v>313</v>
      </c>
      <c r="AL1012">
        <v>0</v>
      </c>
      <c r="AM1012">
        <v>20000</v>
      </c>
      <c r="AN1012" t="s">
        <v>205</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258</v>
      </c>
      <c r="F1013">
        <v>50000</v>
      </c>
      <c r="G1013">
        <v>0</v>
      </c>
      <c r="H1013" t="s">
        <v>205</v>
      </c>
      <c r="I1013" s="75" t="str">
        <f ca="1">IF(Table7[[#This Row],[Type]]="KILL",IF(_xlfn.NUMBERVALUE(RIGHT(Table7[[#This Row],[Min]],LEN(Table7[[#This Row],[Min]])-FIND("-",Table7[[#This Row],[Min]])))&gt;INDIRECT(ADDRESS(11+MATCH(LEFT(Table7[[#This Row],[Min]],FIND("-",Table7[[#This Row],[Min]])-1),Table1[Content Sku],0),14,1,1,"Entities")),"review","ok"),"ok")</f>
        <v>ok</v>
      </c>
      <c r="U1013" t="s">
        <v>45</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313</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258</v>
      </c>
      <c r="F1014">
        <v>25000</v>
      </c>
      <c r="G1014">
        <v>0</v>
      </c>
      <c r="H1014" t="s">
        <v>205</v>
      </c>
      <c r="I1014" s="75" t="str">
        <f ca="1">IF(Table7[[#This Row],[Type]]="KILL",IF(_xlfn.NUMBERVALUE(RIGHT(Table7[[#This Row],[Min]],LEN(Table7[[#This Row],[Min]])-FIND("-",Table7[[#This Row],[Min]])))&gt;INDIRECT(ADDRESS(11+MATCH(LEFT(Table7[[#This Row],[Min]],FIND("-",Table7[[#This Row],[Min]])-1),Table1[Content Sku],0),14,1,1,"Entities")),"review","ok"),"ok")</f>
        <v>ok</v>
      </c>
      <c r="U1014" t="s">
        <v>45</v>
      </c>
      <c r="V1014">
        <v>16000</v>
      </c>
      <c r="W1014">
        <v>0</v>
      </c>
      <c r="X1014" t="s">
        <v>205</v>
      </c>
      <c r="Y1014" s="75" t="str">
        <f ca="1">IF(Table15[[#This Row],[Type]]="KILL",IF(_xlfn.NUMBERVALUE(RIGHT(Table15[[#This Row],[Min]],LEN(Table15[[#This Row],[Min]])-FIND("-",Table15[[#This Row],[Min]])))&gt;INDIRECT(ADDRESS(11+MATCH(LEFT(Table15[[#This Row],[Min]],FIND("-",Table15[[#This Row],[Min]])-1),Table1[Content Sku],0),16,1,1,"Entities")),"review","ok"),"ok")</f>
        <v>ok</v>
      </c>
      <c r="AK1014" t="s">
        <v>313</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258</v>
      </c>
      <c r="F1015">
        <v>40000</v>
      </c>
      <c r="G1015">
        <v>0</v>
      </c>
      <c r="H1015" t="s">
        <v>205</v>
      </c>
      <c r="I1015" s="75" t="str">
        <f ca="1">IF(Table7[[#This Row],[Type]]="KILL",IF(_xlfn.NUMBERVALUE(RIGHT(Table7[[#This Row],[Min]],LEN(Table7[[#This Row],[Min]])-FIND("-",Table7[[#This Row],[Min]])))&gt;INDIRECT(ADDRESS(11+MATCH(LEFT(Table7[[#This Row],[Min]],FIND("-",Table7[[#This Row],[Min]])-1),Table1[Content Sku],0),14,1,1,"Entities")),"review","ok"),"ok")</f>
        <v>ok</v>
      </c>
      <c r="U1015" t="s">
        <v>17</v>
      </c>
      <c r="V1015">
        <v>0</v>
      </c>
      <c r="W1015">
        <v>13000</v>
      </c>
      <c r="X1015" t="s">
        <v>205</v>
      </c>
      <c r="Y1015" s="75" t="str">
        <f ca="1">IF(Table15[[#This Row],[Type]]="KILL",IF(_xlfn.NUMBERVALUE(RIGHT(Table15[[#This Row],[Min]],LEN(Table15[[#This Row],[Min]])-FIND("-",Table15[[#This Row],[Min]])))&gt;INDIRECT(ADDRESS(11+MATCH(LEFT(Table15[[#This Row],[Min]],FIND("-",Table15[[#This Row],[Min]])-1),Table1[Content Sku],0),16,1,1,"Entities")),"review","ok"),"ok")</f>
        <v>ok</v>
      </c>
      <c r="AK1015" t="s">
        <v>313</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258</v>
      </c>
      <c r="F1016">
        <v>45000</v>
      </c>
      <c r="G1016">
        <v>0</v>
      </c>
      <c r="H1016" t="s">
        <v>205</v>
      </c>
      <c r="I1016" s="75" t="str">
        <f ca="1">IF(Table7[[#This Row],[Type]]="KILL",IF(_xlfn.NUMBERVALUE(RIGHT(Table7[[#This Row],[Min]],LEN(Table7[[#This Row],[Min]])-FIND("-",Table7[[#This Row],[Min]])))&gt;INDIRECT(ADDRESS(11+MATCH(LEFT(Table7[[#This Row],[Min]],FIND("-",Table7[[#This Row],[Min]])-1),Table1[Content Sku],0),14,1,1,"Entities")),"review","ok"),"ok")</f>
        <v>ok</v>
      </c>
      <c r="U1016" t="s">
        <v>17</v>
      </c>
      <c r="V1016">
        <v>0</v>
      </c>
      <c r="W1016">
        <v>19000</v>
      </c>
      <c r="X1016" t="s">
        <v>205</v>
      </c>
      <c r="Y1016" s="75" t="str">
        <f ca="1">IF(Table15[[#This Row],[Type]]="KILL",IF(_xlfn.NUMBERVALUE(RIGHT(Table15[[#This Row],[Min]],LEN(Table15[[#This Row],[Min]])-FIND("-",Table15[[#This Row],[Min]])))&gt;INDIRECT(ADDRESS(11+MATCH(LEFT(Table15[[#This Row],[Min]],FIND("-",Table15[[#This Row],[Min]])-1),Table1[Content Sku],0),16,1,1,"Entities")),"review","ok"),"ok")</f>
        <v>ok</v>
      </c>
      <c r="AK1016" t="s">
        <v>313</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258</v>
      </c>
      <c r="F1017">
        <v>28000</v>
      </c>
      <c r="G1017">
        <v>0</v>
      </c>
      <c r="H1017" t="s">
        <v>205</v>
      </c>
      <c r="I1017" s="75" t="str">
        <f ca="1">IF(Table7[[#This Row],[Type]]="KILL",IF(_xlfn.NUMBERVALUE(RIGHT(Table7[[#This Row],[Min]],LEN(Table7[[#This Row],[Min]])-FIND("-",Table7[[#This Row],[Min]])))&gt;INDIRECT(ADDRESS(11+MATCH(LEFT(Table7[[#This Row],[Min]],FIND("-",Table7[[#This Row],[Min]])-1),Table1[Content Sku],0),14,1,1,"Entities")),"review","ok"),"ok")</f>
        <v>ok</v>
      </c>
      <c r="U1017" t="s">
        <v>17</v>
      </c>
      <c r="V1017">
        <v>0</v>
      </c>
      <c r="W1017">
        <v>0</v>
      </c>
      <c r="X1017" t="s">
        <v>8</v>
      </c>
      <c r="Y1017" s="75" t="str">
        <f ca="1">IF(Table15[[#This Row],[Type]]="KILL",IF(_xlfn.NUMBERVALUE(RIGHT(Table15[[#This Row],[Min]],LEN(Table15[[#This Row],[Min]])-FIND("-",Table15[[#This Row],[Min]])))&gt;INDIRECT(ADDRESS(11+MATCH(LEFT(Table15[[#This Row],[Min]],FIND("-",Table15[[#This Row],[Min]])-1),Table1[Content Sku],0),16,1,1,"Entities")),"review","ok"),"ok")</f>
        <v>ok</v>
      </c>
      <c r="AK1017" t="s">
        <v>313</v>
      </c>
      <c r="AL1017">
        <v>0</v>
      </c>
      <c r="AM1017">
        <v>25000</v>
      </c>
      <c r="AN1017" t="s">
        <v>205</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258</v>
      </c>
      <c r="F1018">
        <v>24000</v>
      </c>
      <c r="G1018">
        <v>0</v>
      </c>
      <c r="H1018" t="s">
        <v>205</v>
      </c>
      <c r="I1018" s="75" t="str">
        <f ca="1">IF(Table7[[#This Row],[Type]]="KILL",IF(_xlfn.NUMBERVALUE(RIGHT(Table7[[#This Row],[Min]],LEN(Table7[[#This Row],[Min]])-FIND("-",Table7[[#This Row],[Min]])))&gt;INDIRECT(ADDRESS(11+MATCH(LEFT(Table7[[#This Row],[Min]],FIND("-",Table7[[#This Row],[Min]])-1),Table1[Content Sku],0),14,1,1,"Entities")),"review","ok"),"ok")</f>
        <v>ok</v>
      </c>
      <c r="U1018" t="s">
        <v>22</v>
      </c>
      <c r="V1018">
        <v>21000</v>
      </c>
      <c r="W1018">
        <v>0</v>
      </c>
      <c r="X1018" t="s">
        <v>205</v>
      </c>
      <c r="Y1018" s="75" t="str">
        <f ca="1">IF(Table15[[#This Row],[Type]]="KILL",IF(_xlfn.NUMBERVALUE(RIGHT(Table15[[#This Row],[Min]],LEN(Table15[[#This Row],[Min]])-FIND("-",Table15[[#This Row],[Min]])))&gt;INDIRECT(ADDRESS(11+MATCH(LEFT(Table15[[#This Row],[Min]],FIND("-",Table15[[#This Row],[Min]])-1),Table1[Content Sku],0),16,1,1,"Entities")),"review","ok"),"ok")</f>
        <v>ok</v>
      </c>
      <c r="AK1018" t="s">
        <v>313</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258</v>
      </c>
      <c r="F1019">
        <v>0</v>
      </c>
      <c r="G1019">
        <v>0</v>
      </c>
      <c r="H1019" t="s">
        <v>8</v>
      </c>
      <c r="I1019" s="75" t="str">
        <f ca="1">IF(Table7[[#This Row],[Type]]="KILL",IF(_xlfn.NUMBERVALUE(RIGHT(Table7[[#This Row],[Min]],LEN(Table7[[#This Row],[Min]])-FIND("-",Table7[[#This Row],[Min]])))&gt;INDIRECT(ADDRESS(11+MATCH(LEFT(Table7[[#This Row],[Min]],FIND("-",Table7[[#This Row],[Min]])-1),Table1[Content Sku],0),14,1,1,"Entities")),"review","ok"),"ok")</f>
        <v>ok</v>
      </c>
      <c r="U1019" t="s">
        <v>22</v>
      </c>
      <c r="V1019">
        <v>0</v>
      </c>
      <c r="W1019">
        <v>0</v>
      </c>
      <c r="X1019" t="s">
        <v>8</v>
      </c>
      <c r="Y1019" s="75" t="str">
        <f ca="1">IF(Table15[[#This Row],[Type]]="KILL",IF(_xlfn.NUMBERVALUE(RIGHT(Table15[[#This Row],[Min]],LEN(Table15[[#This Row],[Min]])-FIND("-",Table15[[#This Row],[Min]])))&gt;INDIRECT(ADDRESS(11+MATCH(LEFT(Table15[[#This Row],[Min]],FIND("-",Table15[[#This Row],[Min]])-1),Table1[Content Sku],0),16,1,1,"Entities")),"review","ok"),"ok")</f>
        <v>ok</v>
      </c>
      <c r="AK1019" t="s">
        <v>313</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258</v>
      </c>
      <c r="F1020">
        <v>65000</v>
      </c>
      <c r="G1020">
        <v>0</v>
      </c>
      <c r="H1020" t="s">
        <v>205</v>
      </c>
      <c r="I1020" s="75" t="str">
        <f ca="1">IF(Table7[[#This Row],[Type]]="KILL",IF(_xlfn.NUMBERVALUE(RIGHT(Table7[[#This Row],[Min]],LEN(Table7[[#This Row],[Min]])-FIND("-",Table7[[#This Row],[Min]])))&gt;INDIRECT(ADDRESS(11+MATCH(LEFT(Table7[[#This Row],[Min]],FIND("-",Table7[[#This Row],[Min]])-1),Table1[Content Sku],0),14,1,1,"Entities")),"review","ok"),"ok")</f>
        <v>ok</v>
      </c>
      <c r="U1020" t="s">
        <v>22</v>
      </c>
      <c r="V1020">
        <v>19000</v>
      </c>
      <c r="W1020">
        <v>0</v>
      </c>
      <c r="X1020" t="s">
        <v>205</v>
      </c>
      <c r="Y1020" s="75" t="str">
        <f ca="1">IF(Table15[[#This Row],[Type]]="KILL",IF(_xlfn.NUMBERVALUE(RIGHT(Table15[[#This Row],[Min]],LEN(Table15[[#This Row],[Min]])-FIND("-",Table15[[#This Row],[Min]])))&gt;INDIRECT(ADDRESS(11+MATCH(LEFT(Table15[[#This Row],[Min]],FIND("-",Table15[[#This Row],[Min]])-1),Table1[Content Sku],0),16,1,1,"Entities")),"review","ok"),"ok")</f>
        <v>ok</v>
      </c>
      <c r="AK1020" t="s">
        <v>313</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258</v>
      </c>
      <c r="F1021">
        <v>38000</v>
      </c>
      <c r="G1021">
        <v>0</v>
      </c>
      <c r="H1021" t="s">
        <v>205</v>
      </c>
      <c r="I1021" s="75" t="str">
        <f ca="1">IF(Table7[[#This Row],[Type]]="KILL",IF(_xlfn.NUMBERVALUE(RIGHT(Table7[[#This Row],[Min]],LEN(Table7[[#This Row],[Min]])-FIND("-",Table7[[#This Row],[Min]])))&gt;INDIRECT(ADDRESS(11+MATCH(LEFT(Table7[[#This Row],[Min]],FIND("-",Table7[[#This Row],[Min]])-1),Table1[Content Sku],0),14,1,1,"Entities")),"review","ok"),"ok")</f>
        <v>ok</v>
      </c>
      <c r="U1021" t="s">
        <v>22</v>
      </c>
      <c r="V1021">
        <v>0</v>
      </c>
      <c r="W1021">
        <v>0</v>
      </c>
      <c r="X1021" t="s">
        <v>8</v>
      </c>
      <c r="Y1021" s="75" t="str">
        <f ca="1">IF(Table15[[#This Row],[Type]]="KILL",IF(_xlfn.NUMBERVALUE(RIGHT(Table15[[#This Row],[Min]],LEN(Table15[[#This Row],[Min]])-FIND("-",Table15[[#This Row],[Min]])))&gt;INDIRECT(ADDRESS(11+MATCH(LEFT(Table15[[#This Row],[Min]],FIND("-",Table15[[#This Row],[Min]])-1),Table1[Content Sku],0),16,1,1,"Entities")),"review","ok"),"ok")</f>
        <v>ok</v>
      </c>
      <c r="AK1021" t="s">
        <v>313</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258</v>
      </c>
      <c r="F1022">
        <v>35000</v>
      </c>
      <c r="G1022">
        <v>0</v>
      </c>
      <c r="H1022" t="s">
        <v>205</v>
      </c>
      <c r="I1022" s="75" t="str">
        <f ca="1">IF(Table7[[#This Row],[Type]]="KILL",IF(_xlfn.NUMBERVALUE(RIGHT(Table7[[#This Row],[Min]],LEN(Table7[[#This Row],[Min]])-FIND("-",Table7[[#This Row],[Min]])))&gt;INDIRECT(ADDRESS(11+MATCH(LEFT(Table7[[#This Row],[Min]],FIND("-",Table7[[#This Row],[Min]])-1),Table1[Content Sku],0),14,1,1,"Entities")),"review","ok"),"ok")</f>
        <v>ok</v>
      </c>
      <c r="U1022" t="s">
        <v>22</v>
      </c>
      <c r="V1022">
        <v>0</v>
      </c>
      <c r="W1022">
        <v>0</v>
      </c>
      <c r="X1022" t="s">
        <v>8</v>
      </c>
      <c r="Y1022" s="75" t="str">
        <f ca="1">IF(Table15[[#This Row],[Type]]="KILL",IF(_xlfn.NUMBERVALUE(RIGHT(Table15[[#This Row],[Min]],LEN(Table15[[#This Row],[Min]])-FIND("-",Table15[[#This Row],[Min]])))&gt;INDIRECT(ADDRESS(11+MATCH(LEFT(Table15[[#This Row],[Min]],FIND("-",Table15[[#This Row],[Min]])-1),Table1[Content Sku],0),16,1,1,"Entities")),"review","ok"),"ok")</f>
        <v>ok</v>
      </c>
      <c r="AK1022" t="s">
        <v>313</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258</v>
      </c>
      <c r="F1023">
        <v>32500</v>
      </c>
      <c r="G1023">
        <v>0</v>
      </c>
      <c r="H1023" t="s">
        <v>205</v>
      </c>
      <c r="I1023" s="75" t="str">
        <f ca="1">IF(Table7[[#This Row],[Type]]="KILL",IF(_xlfn.NUMBERVALUE(RIGHT(Table7[[#This Row],[Min]],LEN(Table7[[#This Row],[Min]])-FIND("-",Table7[[#This Row],[Min]])))&gt;INDIRECT(ADDRESS(11+MATCH(LEFT(Table7[[#This Row],[Min]],FIND("-",Table7[[#This Row],[Min]])-1),Table1[Content Sku],0),14,1,1,"Entities")),"review","ok"),"ok")</f>
        <v>ok</v>
      </c>
      <c r="U1023" t="s">
        <v>22</v>
      </c>
      <c r="V1023">
        <v>46000</v>
      </c>
      <c r="W1023">
        <v>0</v>
      </c>
      <c r="X1023" t="s">
        <v>205</v>
      </c>
      <c r="Y1023" s="75" t="str">
        <f ca="1">IF(Table15[[#This Row],[Type]]="KILL",IF(_xlfn.NUMBERVALUE(RIGHT(Table15[[#This Row],[Min]],LEN(Table15[[#This Row],[Min]])-FIND("-",Table15[[#This Row],[Min]])))&gt;INDIRECT(ADDRESS(11+MATCH(LEFT(Table15[[#This Row],[Min]],FIND("-",Table15[[#This Row],[Min]])-1),Table1[Content Sku],0),16,1,1,"Entities")),"review","ok"),"ok")</f>
        <v>ok</v>
      </c>
      <c r="AK1023" t="s">
        <v>313</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258</v>
      </c>
      <c r="F1024">
        <v>60000</v>
      </c>
      <c r="G1024">
        <v>0</v>
      </c>
      <c r="H1024" t="s">
        <v>205</v>
      </c>
      <c r="I1024" s="75" t="str">
        <f ca="1">IF(Table7[[#This Row],[Type]]="KILL",IF(_xlfn.NUMBERVALUE(RIGHT(Table7[[#This Row],[Min]],LEN(Table7[[#This Row],[Min]])-FIND("-",Table7[[#This Row],[Min]])))&gt;INDIRECT(ADDRESS(11+MATCH(LEFT(Table7[[#This Row],[Min]],FIND("-",Table7[[#This Row],[Min]])-1),Table1[Content Sku],0),14,1,1,"Entities")),"review","ok"),"ok")</f>
        <v>ok</v>
      </c>
      <c r="U1024" t="s">
        <v>22</v>
      </c>
      <c r="V1024">
        <v>47000</v>
      </c>
      <c r="W1024">
        <v>0</v>
      </c>
      <c r="X1024" t="s">
        <v>205</v>
      </c>
      <c r="Y1024" s="75" t="str">
        <f ca="1">IF(Table15[[#This Row],[Type]]="KILL",IF(_xlfn.NUMBERVALUE(RIGHT(Table15[[#This Row],[Min]],LEN(Table15[[#This Row],[Min]])-FIND("-",Table15[[#This Row],[Min]])))&gt;INDIRECT(ADDRESS(11+MATCH(LEFT(Table15[[#This Row],[Min]],FIND("-",Table15[[#This Row],[Min]])-1),Table1[Content Sku],0),16,1,1,"Entities")),"review","ok"),"ok")</f>
        <v>ok</v>
      </c>
      <c r="AK1024" t="s">
        <v>315</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258</v>
      </c>
      <c r="F1025">
        <v>32000</v>
      </c>
      <c r="G1025">
        <v>0</v>
      </c>
      <c r="H1025" t="s">
        <v>205</v>
      </c>
      <c r="I1025" s="75" t="str">
        <f ca="1">IF(Table7[[#This Row],[Type]]="KILL",IF(_xlfn.NUMBERVALUE(RIGHT(Table7[[#This Row],[Min]],LEN(Table7[[#This Row],[Min]])-FIND("-",Table7[[#This Row],[Min]])))&gt;INDIRECT(ADDRESS(11+MATCH(LEFT(Table7[[#This Row],[Min]],FIND("-",Table7[[#This Row],[Min]])-1),Table1[Content Sku],0),14,1,1,"Entities")),"review","ok"),"ok")</f>
        <v>ok</v>
      </c>
      <c r="U1025" t="s">
        <v>22</v>
      </c>
      <c r="V1025">
        <v>360</v>
      </c>
      <c r="W1025">
        <v>0</v>
      </c>
      <c r="X1025" t="s">
        <v>4439</v>
      </c>
      <c r="Y1025" s="75" t="str">
        <f ca="1">IF(Table15[[#This Row],[Type]]="KILL",IF(_xlfn.NUMBERVALUE(RIGHT(Table15[[#This Row],[Min]],LEN(Table15[[#This Row],[Min]])-FIND("-",Table15[[#This Row],[Min]])))&gt;INDIRECT(ADDRESS(11+MATCH(LEFT(Table15[[#This Row],[Min]],FIND("-",Table15[[#This Row],[Min]])-1),Table1[Content Sku],0),16,1,1,"Entities")),"review","ok"),"ok")</f>
        <v>ok</v>
      </c>
      <c r="AK1025" t="s">
        <v>315</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258</v>
      </c>
      <c r="F1026">
        <v>35000</v>
      </c>
      <c r="G1026">
        <v>0</v>
      </c>
      <c r="H1026" t="s">
        <v>205</v>
      </c>
      <c r="I1026" s="75" t="str">
        <f ca="1">IF(Table7[[#This Row],[Type]]="KILL",IF(_xlfn.NUMBERVALUE(RIGHT(Table7[[#This Row],[Min]],LEN(Table7[[#This Row],[Min]])-FIND("-",Table7[[#This Row],[Min]])))&gt;INDIRECT(ADDRESS(11+MATCH(LEFT(Table7[[#This Row],[Min]],FIND("-",Table7[[#This Row],[Min]])-1),Table1[Content Sku],0),14,1,1,"Entities")),"review","ok"),"ok")</f>
        <v>ok</v>
      </c>
      <c r="U1026" t="s">
        <v>22</v>
      </c>
      <c r="V1026">
        <v>0</v>
      </c>
      <c r="W1026">
        <v>0</v>
      </c>
      <c r="X1026" t="s">
        <v>8</v>
      </c>
      <c r="Y1026" s="75" t="str">
        <f ca="1">IF(Table15[[#This Row],[Type]]="KILL",IF(_xlfn.NUMBERVALUE(RIGHT(Table15[[#This Row],[Min]],LEN(Table15[[#This Row],[Min]])-FIND("-",Table15[[#This Row],[Min]])))&gt;INDIRECT(ADDRESS(11+MATCH(LEFT(Table15[[#This Row],[Min]],FIND("-",Table15[[#This Row],[Min]])-1),Table1[Content Sku],0),16,1,1,"Entities")),"review","ok"),"ok")</f>
        <v>ok</v>
      </c>
      <c r="AK1026" t="s">
        <v>315</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258</v>
      </c>
      <c r="F1027">
        <v>24000</v>
      </c>
      <c r="G1027">
        <v>0</v>
      </c>
      <c r="H1027" t="s">
        <v>205</v>
      </c>
      <c r="I1027" s="75" t="str">
        <f ca="1">IF(Table7[[#This Row],[Type]]="KILL",IF(_xlfn.NUMBERVALUE(RIGHT(Table7[[#This Row],[Min]],LEN(Table7[[#This Row],[Min]])-FIND("-",Table7[[#This Row],[Min]])))&gt;INDIRECT(ADDRESS(11+MATCH(LEFT(Table7[[#This Row],[Min]],FIND("-",Table7[[#This Row],[Min]])-1),Table1[Content Sku],0),14,1,1,"Entities")),"review","ok"),"ok")</f>
        <v>ok</v>
      </c>
      <c r="U1027" t="s">
        <v>22</v>
      </c>
      <c r="V1027">
        <v>50000</v>
      </c>
      <c r="W1027">
        <v>0</v>
      </c>
      <c r="X1027" t="s">
        <v>205</v>
      </c>
      <c r="Y1027" s="75" t="str">
        <f ca="1">IF(Table15[[#This Row],[Type]]="KILL",IF(_xlfn.NUMBERVALUE(RIGHT(Table15[[#This Row],[Min]],LEN(Table15[[#This Row],[Min]])-FIND("-",Table15[[#This Row],[Min]])))&gt;INDIRECT(ADDRESS(11+MATCH(LEFT(Table15[[#This Row],[Min]],FIND("-",Table15[[#This Row],[Min]])-1),Table1[Content Sku],0),16,1,1,"Entities")),"review","ok"),"ok")</f>
        <v>ok</v>
      </c>
      <c r="AK1027" t="s">
        <v>315</v>
      </c>
      <c r="AL1027">
        <v>25000</v>
      </c>
      <c r="AM1027">
        <v>0</v>
      </c>
      <c r="AN1027" t="s">
        <v>205</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258</v>
      </c>
      <c r="F1028">
        <v>29000</v>
      </c>
      <c r="G1028">
        <v>0</v>
      </c>
      <c r="H1028" t="s">
        <v>205</v>
      </c>
      <c r="I1028" s="75" t="str">
        <f ca="1">IF(Table7[[#This Row],[Type]]="KILL",IF(_xlfn.NUMBERVALUE(RIGHT(Table7[[#This Row],[Min]],LEN(Table7[[#This Row],[Min]])-FIND("-",Table7[[#This Row],[Min]])))&gt;INDIRECT(ADDRESS(11+MATCH(LEFT(Table7[[#This Row],[Min]],FIND("-",Table7[[#This Row],[Min]])-1),Table1[Content Sku],0),14,1,1,"Entities")),"review","ok"),"ok")</f>
        <v>ok</v>
      </c>
      <c r="U1028" t="s">
        <v>22</v>
      </c>
      <c r="V1028">
        <v>38000</v>
      </c>
      <c r="W1028">
        <v>0</v>
      </c>
      <c r="X1028" t="s">
        <v>205</v>
      </c>
      <c r="Y1028" s="75" t="str">
        <f ca="1">IF(Table15[[#This Row],[Type]]="KILL",IF(_xlfn.NUMBERVALUE(RIGHT(Table15[[#This Row],[Min]],LEN(Table15[[#This Row],[Min]])-FIND("-",Table15[[#This Row],[Min]])))&gt;INDIRECT(ADDRESS(11+MATCH(LEFT(Table15[[#This Row],[Min]],FIND("-",Table15[[#This Row],[Min]])-1),Table1[Content Sku],0),16,1,1,"Entities")),"review","ok"),"ok")</f>
        <v>ok</v>
      </c>
      <c r="AK1028" t="s">
        <v>315</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258</v>
      </c>
      <c r="F1029">
        <v>26000</v>
      </c>
      <c r="G1029">
        <v>0</v>
      </c>
      <c r="H1029" t="s">
        <v>205</v>
      </c>
      <c r="I1029" s="75" t="str">
        <f ca="1">IF(Table7[[#This Row],[Type]]="KILL",IF(_xlfn.NUMBERVALUE(RIGHT(Table7[[#This Row],[Min]],LEN(Table7[[#This Row],[Min]])-FIND("-",Table7[[#This Row],[Min]])))&gt;INDIRECT(ADDRESS(11+MATCH(LEFT(Table7[[#This Row],[Min]],FIND("-",Table7[[#This Row],[Min]])-1),Table1[Content Sku],0),14,1,1,"Entities")),"review","ok"),"ok")</f>
        <v>ok</v>
      </c>
      <c r="U1029" t="s">
        <v>22</v>
      </c>
      <c r="V1029">
        <v>360</v>
      </c>
      <c r="W1029">
        <v>0</v>
      </c>
      <c r="X1029" t="s">
        <v>4439</v>
      </c>
      <c r="Y1029" s="75" t="str">
        <f ca="1">IF(Table15[[#This Row],[Type]]="KILL",IF(_xlfn.NUMBERVALUE(RIGHT(Table15[[#This Row],[Min]],LEN(Table15[[#This Row],[Min]])-FIND("-",Table15[[#This Row],[Min]])))&gt;INDIRECT(ADDRESS(11+MATCH(LEFT(Table15[[#This Row],[Min]],FIND("-",Table15[[#This Row],[Min]])-1),Table1[Content Sku],0),16,1,1,"Entities")),"review","ok"),"ok")</f>
        <v>ok</v>
      </c>
      <c r="AK1029" t="s">
        <v>482</v>
      </c>
      <c r="AL1029">
        <v>40000</v>
      </c>
      <c r="AM1029">
        <v>0</v>
      </c>
      <c r="AN1029" t="s">
        <v>205</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553</v>
      </c>
      <c r="F1030">
        <v>0</v>
      </c>
      <c r="G1030">
        <v>0</v>
      </c>
      <c r="H1030" t="s">
        <v>8</v>
      </c>
      <c r="I1030" s="75" t="str">
        <f ca="1">IF(Table7[[#This Row],[Type]]="KILL",IF(_xlfn.NUMBERVALUE(RIGHT(Table7[[#This Row],[Min]],LEN(Table7[[#This Row],[Min]])-FIND("-",Table7[[#This Row],[Min]])))&gt;INDIRECT(ADDRESS(11+MATCH(LEFT(Table7[[#This Row],[Min]],FIND("-",Table7[[#This Row],[Min]])-1),Table1[Content Sku],0),14,1,1,"Entities")),"review","ok"),"ok")</f>
        <v>ok</v>
      </c>
      <c r="U1030" t="s">
        <v>22</v>
      </c>
      <c r="V1030">
        <v>30000</v>
      </c>
      <c r="W1030">
        <v>0</v>
      </c>
      <c r="X1030" t="s">
        <v>205</v>
      </c>
      <c r="Y1030" s="75" t="str">
        <f ca="1">IF(Table15[[#This Row],[Type]]="KILL",IF(_xlfn.NUMBERVALUE(RIGHT(Table15[[#This Row],[Min]],LEN(Table15[[#This Row],[Min]])-FIND("-",Table15[[#This Row],[Min]])))&gt;INDIRECT(ADDRESS(11+MATCH(LEFT(Table15[[#This Row],[Min]],FIND("-",Table15[[#This Row],[Min]])-1),Table1[Content Sku],0),16,1,1,"Entities")),"review","ok"),"ok")</f>
        <v>ok</v>
      </c>
      <c r="AK1030" t="s">
        <v>482</v>
      </c>
      <c r="AL1030">
        <v>40000</v>
      </c>
      <c r="AM1030">
        <v>0</v>
      </c>
      <c r="AN1030" t="s">
        <v>205</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553</v>
      </c>
      <c r="F1031">
        <v>20000</v>
      </c>
      <c r="G1031">
        <v>0</v>
      </c>
      <c r="H1031" t="s">
        <v>205</v>
      </c>
      <c r="I1031" s="75" t="str">
        <f ca="1">IF(Table7[[#This Row],[Type]]="KILL",IF(_xlfn.NUMBERVALUE(RIGHT(Table7[[#This Row],[Min]],LEN(Table7[[#This Row],[Min]])-FIND("-",Table7[[#This Row],[Min]])))&gt;INDIRECT(ADDRESS(11+MATCH(LEFT(Table7[[#This Row],[Min]],FIND("-",Table7[[#This Row],[Min]])-1),Table1[Content Sku],0),14,1,1,"Entities")),"review","ok"),"ok")</f>
        <v>ok</v>
      </c>
      <c r="U1031" t="s">
        <v>22</v>
      </c>
      <c r="V1031">
        <v>50000</v>
      </c>
      <c r="W1031">
        <v>0</v>
      </c>
      <c r="X1031" t="s">
        <v>205</v>
      </c>
      <c r="Y1031" s="75" t="str">
        <f ca="1">IF(Table15[[#This Row],[Type]]="KILL",IF(_xlfn.NUMBERVALUE(RIGHT(Table15[[#This Row],[Min]],LEN(Table15[[#This Row],[Min]])-FIND("-",Table15[[#This Row],[Min]])))&gt;INDIRECT(ADDRESS(11+MATCH(LEFT(Table15[[#This Row],[Min]],FIND("-",Table15[[#This Row],[Min]])-1),Table1[Content Sku],0),16,1,1,"Entities")),"review","ok"),"ok")</f>
        <v>ok</v>
      </c>
      <c r="AK1031" t="s">
        <v>482</v>
      </c>
      <c r="AL1031">
        <v>35000</v>
      </c>
      <c r="AM1031">
        <v>0</v>
      </c>
      <c r="AN1031" t="s">
        <v>205</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553</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22</v>
      </c>
      <c r="V1032">
        <v>0</v>
      </c>
      <c r="W1032">
        <v>0</v>
      </c>
      <c r="X1032" t="s">
        <v>8</v>
      </c>
      <c r="Y1032" s="75" t="str">
        <f ca="1">IF(Table15[[#This Row],[Type]]="KILL",IF(_xlfn.NUMBERVALUE(RIGHT(Table15[[#This Row],[Min]],LEN(Table15[[#This Row],[Min]])-FIND("-",Table15[[#This Row],[Min]])))&gt;INDIRECT(ADDRESS(11+MATCH(LEFT(Table15[[#This Row],[Min]],FIND("-",Table15[[#This Row],[Min]])-1),Table1[Content Sku],0),16,1,1,"Entities")),"review","ok"),"ok")</f>
        <v>ok</v>
      </c>
      <c r="AK1032" t="s">
        <v>482</v>
      </c>
      <c r="AL1032">
        <v>25000</v>
      </c>
      <c r="AM1032">
        <v>0</v>
      </c>
      <c r="AN1032" t="s">
        <v>205</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477</v>
      </c>
      <c r="F1033">
        <v>5000</v>
      </c>
      <c r="G1033">
        <v>0</v>
      </c>
      <c r="H1033" t="s">
        <v>205</v>
      </c>
      <c r="I1033" s="75" t="str">
        <f ca="1">IF(Table7[[#This Row],[Type]]="KILL",IF(_xlfn.NUMBERVALUE(RIGHT(Table7[[#This Row],[Min]],LEN(Table7[[#This Row],[Min]])-FIND("-",Table7[[#This Row],[Min]])))&gt;INDIRECT(ADDRESS(11+MATCH(LEFT(Table7[[#This Row],[Min]],FIND("-",Table7[[#This Row],[Min]])-1),Table1[Content Sku],0),14,1,1,"Entities")),"review","ok"),"ok")</f>
        <v>ok</v>
      </c>
      <c r="U1033" t="s">
        <v>22</v>
      </c>
      <c r="V1033">
        <v>42000</v>
      </c>
      <c r="W1033">
        <v>0</v>
      </c>
      <c r="X1033" t="s">
        <v>205</v>
      </c>
      <c r="Y1033" s="75" t="str">
        <f ca="1">IF(Table15[[#This Row],[Type]]="KILL",IF(_xlfn.NUMBERVALUE(RIGHT(Table15[[#This Row],[Min]],LEN(Table15[[#This Row],[Min]])-FIND("-",Table15[[#This Row],[Min]])))&gt;INDIRECT(ADDRESS(11+MATCH(LEFT(Table15[[#This Row],[Min]],FIND("-",Table15[[#This Row],[Min]])-1),Table1[Content Sku],0),16,1,1,"Entities")),"review","ok"),"ok")</f>
        <v>ok</v>
      </c>
      <c r="AK1033" t="s">
        <v>482</v>
      </c>
      <c r="AL1033" t="s">
        <v>4489</v>
      </c>
      <c r="AM1033" t="s">
        <v>4477</v>
      </c>
      <c r="AN1033" t="s">
        <v>4478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2773</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22</v>
      </c>
      <c r="V1034">
        <v>35000</v>
      </c>
      <c r="W1034">
        <v>0</v>
      </c>
      <c r="X1034" t="s">
        <v>205</v>
      </c>
      <c r="Y1034" s="75" t="str">
        <f ca="1">IF(Table15[[#This Row],[Type]]="KILL",IF(_xlfn.NUMBERVALUE(RIGHT(Table15[[#This Row],[Min]],LEN(Table15[[#This Row],[Min]])-FIND("-",Table15[[#This Row],[Min]])))&gt;INDIRECT(ADDRESS(11+MATCH(LEFT(Table15[[#This Row],[Min]],FIND("-",Table15[[#This Row],[Min]])-1),Table1[Content Sku],0),16,1,1,"Entities")),"review","ok"),"ok")</f>
        <v>ok</v>
      </c>
      <c r="AK1034" t="s">
        <v>482</v>
      </c>
      <c r="AL1034" t="s">
        <v>4486</v>
      </c>
      <c r="AM1034" t="s">
        <v>4477</v>
      </c>
      <c r="AN1034" t="s">
        <v>4478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2773</v>
      </c>
      <c r="F1035">
        <v>0</v>
      </c>
      <c r="G1035">
        <v>0</v>
      </c>
      <c r="H1035" t="s">
        <v>8</v>
      </c>
      <c r="I1035" s="75" t="str">
        <f ca="1">IF(Table7[[#This Row],[Type]]="KILL",IF(_xlfn.NUMBERVALUE(RIGHT(Table7[[#This Row],[Min]],LEN(Table7[[#This Row],[Min]])-FIND("-",Table7[[#This Row],[Min]])))&gt;INDIRECT(ADDRESS(11+MATCH(LEFT(Table7[[#This Row],[Min]],FIND("-",Table7[[#This Row],[Min]])-1),Table1[Content Sku],0),14,1,1,"Entities")),"review","ok"),"ok")</f>
        <v>ok</v>
      </c>
      <c r="U1035" t="s">
        <v>22</v>
      </c>
      <c r="V1035">
        <v>0</v>
      </c>
      <c r="W1035">
        <v>0</v>
      </c>
      <c r="X1035" t="s">
        <v>8</v>
      </c>
      <c r="Y1035" s="75" t="str">
        <f ca="1">IF(Table15[[#This Row],[Type]]="KILL",IF(_xlfn.NUMBERVALUE(RIGHT(Table15[[#This Row],[Min]],LEN(Table15[[#This Row],[Min]])-FIND("-",Table15[[#This Row],[Min]])))&gt;INDIRECT(ADDRESS(11+MATCH(LEFT(Table15[[#This Row],[Min]],FIND("-",Table15[[#This Row],[Min]])-1),Table1[Content Sku],0),16,1,1,"Entities")),"review","ok"),"ok")</f>
        <v>ok</v>
      </c>
      <c r="AK1035" t="s">
        <v>482</v>
      </c>
      <c r="AL1035">
        <v>30000</v>
      </c>
      <c r="AM1035">
        <v>0</v>
      </c>
      <c r="AN1035" t="s">
        <v>205</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2773</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22</v>
      </c>
      <c r="V1036">
        <v>0</v>
      </c>
      <c r="W1036">
        <v>0</v>
      </c>
      <c r="X1036" t="s">
        <v>8</v>
      </c>
      <c r="Y1036" s="75" t="str">
        <f ca="1">IF(Table15[[#This Row],[Type]]="KILL",IF(_xlfn.NUMBERVALUE(RIGHT(Table15[[#This Row],[Min]],LEN(Table15[[#This Row],[Min]])-FIND("-",Table15[[#This Row],[Min]])))&gt;INDIRECT(ADDRESS(11+MATCH(LEFT(Table15[[#This Row],[Min]],FIND("-",Table15[[#This Row],[Min]])-1),Table1[Content Sku],0),16,1,1,"Entities")),"review","ok"),"ok")</f>
        <v>ok</v>
      </c>
      <c r="AK1036" t="s">
        <v>484</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2773</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22</v>
      </c>
      <c r="V1037">
        <v>45000</v>
      </c>
      <c r="W1037">
        <v>0</v>
      </c>
      <c r="X1037" t="s">
        <v>205</v>
      </c>
      <c r="Y1037" s="75" t="str">
        <f ca="1">IF(Table15[[#This Row],[Type]]="KILL",IF(_xlfn.NUMBERVALUE(RIGHT(Table15[[#This Row],[Min]],LEN(Table15[[#This Row],[Min]])-FIND("-",Table15[[#This Row],[Min]])))&gt;INDIRECT(ADDRESS(11+MATCH(LEFT(Table15[[#This Row],[Min]],FIND("-",Table15[[#This Row],[Min]])-1),Table1[Content Sku],0),16,1,1,"Entities")),"review","ok"),"ok")</f>
        <v>ok</v>
      </c>
      <c r="AK1037" t="s">
        <v>484</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2773</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22</v>
      </c>
      <c r="V1038">
        <v>46000</v>
      </c>
      <c r="W1038">
        <v>0</v>
      </c>
      <c r="X1038" t="s">
        <v>205</v>
      </c>
      <c r="Y1038" s="75" t="str">
        <f ca="1">IF(Table15[[#This Row],[Type]]="KILL",IF(_xlfn.NUMBERVALUE(RIGHT(Table15[[#This Row],[Min]],LEN(Table15[[#This Row],[Min]])-FIND("-",Table15[[#This Row],[Min]])))&gt;INDIRECT(ADDRESS(11+MATCH(LEFT(Table15[[#This Row],[Min]],FIND("-",Table15[[#This Row],[Min]])-1),Table1[Content Sku],0),16,1,1,"Entities")),"review","ok"),"ok")</f>
        <v>ok</v>
      </c>
      <c r="AK1038" t="s">
        <v>484</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2773</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22</v>
      </c>
      <c r="V1039">
        <v>32000</v>
      </c>
      <c r="W1039">
        <v>0</v>
      </c>
      <c r="X1039" t="s">
        <v>205</v>
      </c>
      <c r="Y1039" s="75" t="str">
        <f ca="1">IF(Table15[[#This Row],[Type]]="KILL",IF(_xlfn.NUMBERVALUE(RIGHT(Table15[[#This Row],[Min]],LEN(Table15[[#This Row],[Min]])-FIND("-",Table15[[#This Row],[Min]])))&gt;INDIRECT(ADDRESS(11+MATCH(LEFT(Table15[[#This Row],[Min]],FIND("-",Table15[[#This Row],[Min]])-1),Table1[Content Sku],0),16,1,1,"Entities")),"review","ok"),"ok")</f>
        <v>ok</v>
      </c>
      <c r="AK1039" t="s">
        <v>484</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2773</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22</v>
      </c>
      <c r="V1040">
        <v>40000</v>
      </c>
      <c r="W1040">
        <v>0</v>
      </c>
      <c r="X1040" t="s">
        <v>205</v>
      </c>
      <c r="Y1040" s="75" t="str">
        <f ca="1">IF(Table15[[#This Row],[Type]]="KILL",IF(_xlfn.NUMBERVALUE(RIGHT(Table15[[#This Row],[Min]],LEN(Table15[[#This Row],[Min]])-FIND("-",Table15[[#This Row],[Min]])))&gt;INDIRECT(ADDRESS(11+MATCH(LEFT(Table15[[#This Row],[Min]],FIND("-",Table15[[#This Row],[Min]])-1),Table1[Content Sku],0),16,1,1,"Entities")),"review","ok"),"ok")</f>
        <v>ok</v>
      </c>
      <c r="AK1040" t="s">
        <v>484</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2730</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22</v>
      </c>
      <c r="V1041">
        <v>0</v>
      </c>
      <c r="W1041">
        <v>345</v>
      </c>
      <c r="X1041" t="s">
        <v>4439</v>
      </c>
      <c r="Y1041" s="75" t="str">
        <f ca="1">IF(Table15[[#This Row],[Type]]="KILL",IF(_xlfn.NUMBERVALUE(RIGHT(Table15[[#This Row],[Min]],LEN(Table15[[#This Row],[Min]])-FIND("-",Table15[[#This Row],[Min]])))&gt;INDIRECT(ADDRESS(11+MATCH(LEFT(Table15[[#This Row],[Min]],FIND("-",Table15[[#This Row],[Min]])-1),Table1[Content Sku],0),16,1,1,"Entities")),"review","ok"),"ok")</f>
        <v>ok</v>
      </c>
      <c r="AK1041" t="s">
        <v>484</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2730</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22</v>
      </c>
      <c r="V1042">
        <v>0</v>
      </c>
      <c r="W1042">
        <v>0</v>
      </c>
      <c r="X1042" t="s">
        <v>8</v>
      </c>
      <c r="Y1042" s="75" t="str">
        <f ca="1">IF(Table15[[#This Row],[Type]]="KILL",IF(_xlfn.NUMBERVALUE(RIGHT(Table15[[#This Row],[Min]],LEN(Table15[[#This Row],[Min]])-FIND("-",Table15[[#This Row],[Min]])))&gt;INDIRECT(ADDRESS(11+MATCH(LEFT(Table15[[#This Row],[Min]],FIND("-",Table15[[#This Row],[Min]])-1),Table1[Content Sku],0),16,1,1,"Entities")),"review","ok"),"ok")</f>
        <v>ok</v>
      </c>
      <c r="AK1042" t="s">
        <v>484</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2730</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22</v>
      </c>
      <c r="V1043">
        <v>0</v>
      </c>
      <c r="W1043">
        <v>0</v>
      </c>
      <c r="X1043" t="s">
        <v>8</v>
      </c>
      <c r="Y1043" s="75" t="str">
        <f ca="1">IF(Table15[[#This Row],[Type]]="KILL",IF(_xlfn.NUMBERVALUE(RIGHT(Table15[[#This Row],[Min]],LEN(Table15[[#This Row],[Min]])-FIND("-",Table15[[#This Row],[Min]])))&gt;INDIRECT(ADDRESS(11+MATCH(LEFT(Table15[[#This Row],[Min]],FIND("-",Table15[[#This Row],[Min]])-1),Table1[Content Sku],0),16,1,1,"Entities")),"review","ok"),"ok")</f>
        <v>ok</v>
      </c>
      <c r="AK1043" t="s">
        <v>484</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2730</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123</v>
      </c>
      <c r="V1044">
        <v>0</v>
      </c>
      <c r="W1044">
        <v>0</v>
      </c>
      <c r="X1044" t="s">
        <v>8</v>
      </c>
      <c r="Y1044" s="75" t="str">
        <f ca="1">IF(Table15[[#This Row],[Type]]="KILL",IF(_xlfn.NUMBERVALUE(RIGHT(Table15[[#This Row],[Min]],LEN(Table15[[#This Row],[Min]])-FIND("-",Table15[[#This Row],[Min]])))&gt;INDIRECT(ADDRESS(11+MATCH(LEFT(Table15[[#This Row],[Min]],FIND("-",Table15[[#This Row],[Min]])-1),Table1[Content Sku],0),16,1,1,"Entities")),"review","ok"),"ok")</f>
        <v>ok</v>
      </c>
      <c r="AK1044" t="s">
        <v>484</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2730</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123</v>
      </c>
      <c r="V1045">
        <v>0</v>
      </c>
      <c r="W1045">
        <v>30000</v>
      </c>
      <c r="X1045" t="s">
        <v>205</v>
      </c>
      <c r="Y1045" s="75" t="str">
        <f ca="1">IF(Table15[[#This Row],[Type]]="KILL",IF(_xlfn.NUMBERVALUE(RIGHT(Table15[[#This Row],[Min]],LEN(Table15[[#This Row],[Min]])-FIND("-",Table15[[#This Row],[Min]])))&gt;INDIRECT(ADDRESS(11+MATCH(LEFT(Table15[[#This Row],[Min]],FIND("-",Table15[[#This Row],[Min]])-1),Table1[Content Sku],0),16,1,1,"Entities")),"review","ok"),"ok")</f>
        <v>ok</v>
      </c>
      <c r="AK1045" t="s">
        <v>484</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2730</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123</v>
      </c>
      <c r="V1046">
        <v>0</v>
      </c>
      <c r="W1046">
        <v>30000</v>
      </c>
      <c r="X1046" t="s">
        <v>205</v>
      </c>
      <c r="Y1046" s="75" t="str">
        <f ca="1">IF(Table15[[#This Row],[Type]]="KILL",IF(_xlfn.NUMBERVALUE(RIGHT(Table15[[#This Row],[Min]],LEN(Table15[[#This Row],[Min]])-FIND("-",Table15[[#This Row],[Min]])))&gt;INDIRECT(ADDRESS(11+MATCH(LEFT(Table15[[#This Row],[Min]],FIND("-",Table15[[#This Row],[Min]])-1),Table1[Content Sku],0),16,1,1,"Entities")),"review","ok"),"ok")</f>
        <v>ok</v>
      </c>
      <c r="AK1046" t="s">
        <v>484</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2730</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123</v>
      </c>
      <c r="V1047">
        <v>0</v>
      </c>
      <c r="W1047">
        <v>0</v>
      </c>
      <c r="X1047" t="s">
        <v>8</v>
      </c>
      <c r="Y1047" s="75" t="str">
        <f ca="1">IF(Table15[[#This Row],[Type]]="KILL",IF(_xlfn.NUMBERVALUE(RIGHT(Table15[[#This Row],[Min]],LEN(Table15[[#This Row],[Min]])-FIND("-",Table15[[#This Row],[Min]])))&gt;INDIRECT(ADDRESS(11+MATCH(LEFT(Table15[[#This Row],[Min]],FIND("-",Table15[[#This Row],[Min]])-1),Table1[Content Sku],0),16,1,1,"Entities")),"review","ok"),"ok")</f>
        <v>ok</v>
      </c>
      <c r="AK1047" t="s">
        <v>484</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2730</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123</v>
      </c>
      <c r="V1048">
        <v>0</v>
      </c>
      <c r="W1048">
        <v>0</v>
      </c>
      <c r="X1048" t="s">
        <v>8</v>
      </c>
      <c r="Y1048" s="75" t="str">
        <f ca="1">IF(Table15[[#This Row],[Type]]="KILL",IF(_xlfn.NUMBERVALUE(RIGHT(Table15[[#This Row],[Min]],LEN(Table15[[#This Row],[Min]])-FIND("-",Table15[[#This Row],[Min]])))&gt;INDIRECT(ADDRESS(11+MATCH(LEFT(Table15[[#This Row],[Min]],FIND("-",Table15[[#This Row],[Min]])-1),Table1[Content Sku],0),16,1,1,"Entities")),"review","ok"),"ok")</f>
        <v>ok</v>
      </c>
      <c r="AK1048" t="s">
        <v>484</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2730</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123</v>
      </c>
      <c r="V1049">
        <v>0</v>
      </c>
      <c r="W1049">
        <v>30000</v>
      </c>
      <c r="X1049" t="s">
        <v>205</v>
      </c>
      <c r="Y1049" s="75" t="str">
        <f ca="1">IF(Table15[[#This Row],[Type]]="KILL",IF(_xlfn.NUMBERVALUE(RIGHT(Table15[[#This Row],[Min]],LEN(Table15[[#This Row],[Min]])-FIND("-",Table15[[#This Row],[Min]])))&gt;INDIRECT(ADDRESS(11+MATCH(LEFT(Table15[[#This Row],[Min]],FIND("-",Table15[[#This Row],[Min]])-1),Table1[Content Sku],0),16,1,1,"Entities")),"review","ok"),"ok")</f>
        <v>ok</v>
      </c>
      <c r="AK1049" t="s">
        <v>484</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2730</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123</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484</v>
      </c>
      <c r="AL1050">
        <v>38000</v>
      </c>
      <c r="AM1050">
        <v>0</v>
      </c>
      <c r="AN1050" t="s">
        <v>205</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122</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123</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484</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122</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123</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484</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122</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123</v>
      </c>
      <c r="V1053">
        <v>0</v>
      </c>
      <c r="W1053">
        <v>0</v>
      </c>
      <c r="X1053" t="s">
        <v>8</v>
      </c>
      <c r="Y1053" s="75" t="str">
        <f ca="1">IF(Table15[[#This Row],[Type]]="KILL",IF(_xlfn.NUMBERVALUE(RIGHT(Table15[[#This Row],[Min]],LEN(Table15[[#This Row],[Min]])-FIND("-",Table15[[#This Row],[Min]])))&gt;INDIRECT(ADDRESS(11+MATCH(LEFT(Table15[[#This Row],[Min]],FIND("-",Table15[[#This Row],[Min]])-1),Table1[Content Sku],0),16,1,1,"Entities")),"review","ok"),"ok")</f>
        <v>ok</v>
      </c>
      <c r="AK1053" t="s">
        <v>484</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122</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123</v>
      </c>
      <c r="V1054">
        <v>0</v>
      </c>
      <c r="W1054">
        <v>0</v>
      </c>
      <c r="X1054" t="s">
        <v>8</v>
      </c>
      <c r="Y1054" s="75" t="str">
        <f ca="1">IF(Table15[[#This Row],[Type]]="KILL",IF(_xlfn.NUMBERVALUE(RIGHT(Table15[[#This Row],[Min]],LEN(Table15[[#This Row],[Min]])-FIND("-",Table15[[#This Row],[Min]])))&gt;INDIRECT(ADDRESS(11+MATCH(LEFT(Table15[[#This Row],[Min]],FIND("-",Table15[[#This Row],[Min]])-1),Table1[Content Sku],0),16,1,1,"Entities")),"review","ok"),"ok")</f>
        <v>ok</v>
      </c>
      <c r="AK1054" t="s">
        <v>484</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122</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123</v>
      </c>
      <c r="V1055">
        <v>0</v>
      </c>
      <c r="W1055">
        <v>0</v>
      </c>
      <c r="X1055" t="s">
        <v>8</v>
      </c>
      <c r="Y1055" s="75" t="str">
        <f ca="1">IF(Table15[[#This Row],[Type]]="KILL",IF(_xlfn.NUMBERVALUE(RIGHT(Table15[[#This Row],[Min]],LEN(Table15[[#This Row],[Min]])-FIND("-",Table15[[#This Row],[Min]])))&gt;INDIRECT(ADDRESS(11+MATCH(LEFT(Table15[[#This Row],[Min]],FIND("-",Table15[[#This Row],[Min]])-1),Table1[Content Sku],0),16,1,1,"Entities")),"review","ok"),"ok")</f>
        <v>ok</v>
      </c>
      <c r="AK1055" t="s">
        <v>484</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122</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123</v>
      </c>
      <c r="V1056">
        <v>0</v>
      </c>
      <c r="W1056">
        <v>0</v>
      </c>
      <c r="X1056" t="s">
        <v>8</v>
      </c>
      <c r="Y1056" s="75" t="str">
        <f ca="1">IF(Table15[[#This Row],[Type]]="KILL",IF(_xlfn.NUMBERVALUE(RIGHT(Table15[[#This Row],[Min]],LEN(Table15[[#This Row],[Min]])-FIND("-",Table15[[#This Row],[Min]])))&gt;INDIRECT(ADDRESS(11+MATCH(LEFT(Table15[[#This Row],[Min]],FIND("-",Table15[[#This Row],[Min]])-1),Table1[Content Sku],0),16,1,1,"Entities")),"review","ok"),"ok")</f>
        <v>ok</v>
      </c>
      <c r="AK1056" t="s">
        <v>484</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122</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123</v>
      </c>
      <c r="V1057">
        <v>0</v>
      </c>
      <c r="W1057">
        <v>0</v>
      </c>
      <c r="X1057" t="s">
        <v>8</v>
      </c>
      <c r="Y1057" s="75" t="str">
        <f ca="1">IF(Table15[[#This Row],[Type]]="KILL",IF(_xlfn.NUMBERVALUE(RIGHT(Table15[[#This Row],[Min]],LEN(Table15[[#This Row],[Min]])-FIND("-",Table15[[#This Row],[Min]])))&gt;INDIRECT(ADDRESS(11+MATCH(LEFT(Table15[[#This Row],[Min]],FIND("-",Table15[[#This Row],[Min]])-1),Table1[Content Sku],0),16,1,1,"Entities")),"review","ok"),"ok")</f>
        <v>ok</v>
      </c>
      <c r="AK1057" t="s">
        <v>484</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122</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123</v>
      </c>
      <c r="V1058">
        <v>0</v>
      </c>
      <c r="W1058">
        <v>0</v>
      </c>
      <c r="X1058" t="s">
        <v>8</v>
      </c>
      <c r="Y1058" s="75" t="str">
        <f ca="1">IF(Table15[[#This Row],[Type]]="KILL",IF(_xlfn.NUMBERVALUE(RIGHT(Table15[[#This Row],[Min]],LEN(Table15[[#This Row],[Min]])-FIND("-",Table15[[#This Row],[Min]])))&gt;INDIRECT(ADDRESS(11+MATCH(LEFT(Table15[[#This Row],[Min]],FIND("-",Table15[[#This Row],[Min]])-1),Table1[Content Sku],0),16,1,1,"Entities")),"review","ok"),"ok")</f>
        <v>ok</v>
      </c>
      <c r="AK1058" t="s">
        <v>484</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122</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123</v>
      </c>
      <c r="V1059">
        <v>0</v>
      </c>
      <c r="W1059">
        <v>0</v>
      </c>
      <c r="X1059" t="s">
        <v>8</v>
      </c>
      <c r="Y1059" s="75" t="str">
        <f ca="1">IF(Table15[[#This Row],[Type]]="KILL",IF(_xlfn.NUMBERVALUE(RIGHT(Table15[[#This Row],[Min]],LEN(Table15[[#This Row],[Min]])-FIND("-",Table15[[#This Row],[Min]])))&gt;INDIRECT(ADDRESS(11+MATCH(LEFT(Table15[[#This Row],[Min]],FIND("-",Table15[[#This Row],[Min]])-1),Table1[Content Sku],0),16,1,1,"Entities")),"review","ok"),"ok")</f>
        <v>ok</v>
      </c>
      <c r="AK1059" t="s">
        <v>484</v>
      </c>
      <c r="AL1059">
        <v>36000</v>
      </c>
      <c r="AM1059">
        <v>0</v>
      </c>
      <c r="AN1059" t="s">
        <v>205</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122</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123</v>
      </c>
      <c r="V1060">
        <v>0</v>
      </c>
      <c r="W1060">
        <v>35000</v>
      </c>
      <c r="X1060" t="s">
        <v>205</v>
      </c>
      <c r="Y1060" s="75" t="str">
        <f ca="1">IF(Table15[[#This Row],[Type]]="KILL",IF(_xlfn.NUMBERVALUE(RIGHT(Table15[[#This Row],[Min]],LEN(Table15[[#This Row],[Min]])-FIND("-",Table15[[#This Row],[Min]])))&gt;INDIRECT(ADDRESS(11+MATCH(LEFT(Table15[[#This Row],[Min]],FIND("-",Table15[[#This Row],[Min]])-1),Table1[Content Sku],0),16,1,1,"Entities")),"review","ok"),"ok")</f>
        <v>ok</v>
      </c>
      <c r="AK1060" t="s">
        <v>484</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122</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123</v>
      </c>
      <c r="V1061">
        <v>0</v>
      </c>
      <c r="W1061">
        <v>0</v>
      </c>
      <c r="X1061" t="s">
        <v>8</v>
      </c>
      <c r="Y1061" s="75" t="str">
        <f ca="1">IF(Table15[[#This Row],[Type]]="KILL",IF(_xlfn.NUMBERVALUE(RIGHT(Table15[[#This Row],[Min]],LEN(Table15[[#This Row],[Min]])-FIND("-",Table15[[#This Row],[Min]])))&gt;INDIRECT(ADDRESS(11+MATCH(LEFT(Table15[[#This Row],[Min]],FIND("-",Table15[[#This Row],[Min]])-1),Table1[Content Sku],0),16,1,1,"Entities")),"review","ok"),"ok")</f>
        <v>ok</v>
      </c>
      <c r="AK1061" t="s">
        <v>484</v>
      </c>
      <c r="AL1061">
        <v>37000</v>
      </c>
      <c r="AM1061">
        <v>0</v>
      </c>
      <c r="AN1061" t="s">
        <v>205</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122</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123</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484</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122</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123</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484</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122</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123</v>
      </c>
      <c r="V1064">
        <v>0</v>
      </c>
      <c r="W1064">
        <v>0</v>
      </c>
      <c r="X1064" t="s">
        <v>8</v>
      </c>
      <c r="Y1064" s="75" t="str">
        <f ca="1">IF(Table15[[#This Row],[Type]]="KILL",IF(_xlfn.NUMBERVALUE(RIGHT(Table15[[#This Row],[Min]],LEN(Table15[[#This Row],[Min]])-FIND("-",Table15[[#This Row],[Min]])))&gt;INDIRECT(ADDRESS(11+MATCH(LEFT(Table15[[#This Row],[Min]],FIND("-",Table15[[#This Row],[Min]])-1),Table1[Content Sku],0),16,1,1,"Entities")),"review","ok"),"ok")</f>
        <v>ok</v>
      </c>
      <c r="AK1064" t="s">
        <v>484</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122</v>
      </c>
      <c r="F1065">
        <v>18000</v>
      </c>
      <c r="G1065">
        <v>0</v>
      </c>
      <c r="H1065" t="s">
        <v>205</v>
      </c>
      <c r="I1065" s="75" t="str">
        <f ca="1">IF(Table7[[#This Row],[Type]]="KILL",IF(_xlfn.NUMBERVALUE(RIGHT(Table7[[#This Row],[Min]],LEN(Table7[[#This Row],[Min]])-FIND("-",Table7[[#This Row],[Min]])))&gt;INDIRECT(ADDRESS(11+MATCH(LEFT(Table7[[#This Row],[Min]],FIND("-",Table7[[#This Row],[Min]])-1),Table1[Content Sku],0),14,1,1,"Entities")),"review","ok"),"ok")</f>
        <v>ok</v>
      </c>
      <c r="U1065" t="s">
        <v>123</v>
      </c>
      <c r="V1065">
        <v>0</v>
      </c>
      <c r="W1065">
        <v>40000</v>
      </c>
      <c r="X1065" t="s">
        <v>205</v>
      </c>
      <c r="Y1065" s="75" t="str">
        <f ca="1">IF(Table15[[#This Row],[Type]]="KILL",IF(_xlfn.NUMBERVALUE(RIGHT(Table15[[#This Row],[Min]],LEN(Table15[[#This Row],[Min]])-FIND("-",Table15[[#This Row],[Min]])))&gt;INDIRECT(ADDRESS(11+MATCH(LEFT(Table15[[#This Row],[Min]],FIND("-",Table15[[#This Row],[Min]])-1),Table1[Content Sku],0),16,1,1,"Entities")),"review","ok"),"ok")</f>
        <v>ok</v>
      </c>
      <c r="AK1065" t="s">
        <v>484</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122</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123</v>
      </c>
      <c r="V1066">
        <v>0</v>
      </c>
      <c r="W1066">
        <v>0</v>
      </c>
      <c r="X1066" t="s">
        <v>8</v>
      </c>
      <c r="Y1066" s="75" t="str">
        <f ca="1">IF(Table15[[#This Row],[Type]]="KILL",IF(_xlfn.NUMBERVALUE(RIGHT(Table15[[#This Row],[Min]],LEN(Table15[[#This Row],[Min]])-FIND("-",Table15[[#This Row],[Min]])))&gt;INDIRECT(ADDRESS(11+MATCH(LEFT(Table15[[#This Row],[Min]],FIND("-",Table15[[#This Row],[Min]])-1),Table1[Content Sku],0),16,1,1,"Entities")),"review","ok"),"ok")</f>
        <v>ok</v>
      </c>
      <c r="AK1066" t="s">
        <v>484</v>
      </c>
      <c r="AL1066">
        <v>36000</v>
      </c>
      <c r="AM1066">
        <v>0</v>
      </c>
      <c r="AN1066" t="s">
        <v>205</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122</v>
      </c>
      <c r="F1067">
        <v>0</v>
      </c>
      <c r="G1067">
        <v>0</v>
      </c>
      <c r="H1067" t="s">
        <v>8</v>
      </c>
      <c r="I1067" s="75" t="str">
        <f ca="1">IF(Table7[[#This Row],[Type]]="KILL",IF(_xlfn.NUMBERVALUE(RIGHT(Table7[[#This Row],[Min]],LEN(Table7[[#This Row],[Min]])-FIND("-",Table7[[#This Row],[Min]])))&gt;INDIRECT(ADDRESS(11+MATCH(LEFT(Table7[[#This Row],[Min]],FIND("-",Table7[[#This Row],[Min]])-1),Table1[Content Sku],0),14,1,1,"Entities")),"review","ok"),"ok")</f>
        <v>ok</v>
      </c>
      <c r="U1067" t="s">
        <v>123</v>
      </c>
      <c r="V1067">
        <v>0</v>
      </c>
      <c r="W1067">
        <v>0</v>
      </c>
      <c r="X1067" t="s">
        <v>8</v>
      </c>
      <c r="Y1067" s="75" t="str">
        <f ca="1">IF(Table15[[#This Row],[Type]]="KILL",IF(_xlfn.NUMBERVALUE(RIGHT(Table15[[#This Row],[Min]],LEN(Table15[[#This Row],[Min]])-FIND("-",Table15[[#This Row],[Min]])))&gt;INDIRECT(ADDRESS(11+MATCH(LEFT(Table15[[#This Row],[Min]],FIND("-",Table15[[#This Row],[Min]])-1),Table1[Content Sku],0),16,1,1,"Entities")),"review","ok"),"ok")</f>
        <v>ok</v>
      </c>
      <c r="AK1067" t="s">
        <v>484</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122</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123</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484</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122</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123</v>
      </c>
      <c r="V1069">
        <v>0</v>
      </c>
      <c r="W1069">
        <v>0</v>
      </c>
      <c r="X1069" t="s">
        <v>8</v>
      </c>
      <c r="Y1069" s="75" t="str">
        <f ca="1">IF(Table15[[#This Row],[Type]]="KILL",IF(_xlfn.NUMBERVALUE(RIGHT(Table15[[#This Row],[Min]],LEN(Table15[[#This Row],[Min]])-FIND("-",Table15[[#This Row],[Min]])))&gt;INDIRECT(ADDRESS(11+MATCH(LEFT(Table15[[#This Row],[Min]],FIND("-",Table15[[#This Row],[Min]])-1),Table1[Content Sku],0),16,1,1,"Entities")),"review","ok"),"ok")</f>
        <v>ok</v>
      </c>
      <c r="AK1069" t="s">
        <v>484</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122</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123</v>
      </c>
      <c r="V1070">
        <v>0</v>
      </c>
      <c r="W1070">
        <v>0</v>
      </c>
      <c r="X1070" t="s">
        <v>8</v>
      </c>
      <c r="Y1070" s="75" t="str">
        <f ca="1">IF(Table15[[#This Row],[Type]]="KILL",IF(_xlfn.NUMBERVALUE(RIGHT(Table15[[#This Row],[Min]],LEN(Table15[[#This Row],[Min]])-FIND("-",Table15[[#This Row],[Min]])))&gt;INDIRECT(ADDRESS(11+MATCH(LEFT(Table15[[#This Row],[Min]],FIND("-",Table15[[#This Row],[Min]])-1),Table1[Content Sku],0),16,1,1,"Entities")),"review","ok"),"ok")</f>
        <v>ok</v>
      </c>
      <c r="AK1070" t="s">
        <v>484</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122</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123</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336</v>
      </c>
      <c r="AL1071">
        <v>40000</v>
      </c>
      <c r="AM1071">
        <v>0</v>
      </c>
      <c r="AN1071" t="s">
        <v>205</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122</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123</v>
      </c>
      <c r="V1072">
        <v>0</v>
      </c>
      <c r="W1072">
        <v>0</v>
      </c>
      <c r="X1072" t="s">
        <v>8</v>
      </c>
      <c r="Y1072" s="75" t="str">
        <f ca="1">IF(Table15[[#This Row],[Type]]="KILL",IF(_xlfn.NUMBERVALUE(RIGHT(Table15[[#This Row],[Min]],LEN(Table15[[#This Row],[Min]])-FIND("-",Table15[[#This Row],[Min]])))&gt;INDIRECT(ADDRESS(11+MATCH(LEFT(Table15[[#This Row],[Min]],FIND("-",Table15[[#This Row],[Min]])-1),Table1[Content Sku],0),16,1,1,"Entities")),"review","ok"),"ok")</f>
        <v>ok</v>
      </c>
      <c r="AK1072" t="s">
        <v>336</v>
      </c>
      <c r="AL1072">
        <v>45000</v>
      </c>
      <c r="AM1072">
        <v>0</v>
      </c>
      <c r="AN1072" t="s">
        <v>205</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122</v>
      </c>
      <c r="F1073">
        <v>14000</v>
      </c>
      <c r="G1073">
        <v>0</v>
      </c>
      <c r="H1073" t="s">
        <v>205</v>
      </c>
      <c r="I1073" s="75" t="str">
        <f ca="1">IF(Table7[[#This Row],[Type]]="KILL",IF(_xlfn.NUMBERVALUE(RIGHT(Table7[[#This Row],[Min]],LEN(Table7[[#This Row],[Min]])-FIND("-",Table7[[#This Row],[Min]])))&gt;INDIRECT(ADDRESS(11+MATCH(LEFT(Table7[[#This Row],[Min]],FIND("-",Table7[[#This Row],[Min]])-1),Table1[Content Sku],0),14,1,1,"Entities")),"review","ok"),"ok")</f>
        <v>ok</v>
      </c>
      <c r="U1073" t="s">
        <v>123</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336</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122</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123</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585</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122</v>
      </c>
      <c r="F1075">
        <v>0</v>
      </c>
      <c r="G1075">
        <v>0</v>
      </c>
      <c r="H1075" t="s">
        <v>8</v>
      </c>
      <c r="I1075" s="75" t="str">
        <f ca="1">IF(Table7[[#This Row],[Type]]="KILL",IF(_xlfn.NUMBERVALUE(RIGHT(Table7[[#This Row],[Min]],LEN(Table7[[#This Row],[Min]])-FIND("-",Table7[[#This Row],[Min]])))&gt;INDIRECT(ADDRESS(11+MATCH(LEFT(Table7[[#This Row],[Min]],FIND("-",Table7[[#This Row],[Min]])-1),Table1[Content Sku],0),14,1,1,"Entities")),"review","ok"),"ok")</f>
        <v>ok</v>
      </c>
      <c r="U1075" t="s">
        <v>123</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585</v>
      </c>
      <c r="AL1075">
        <v>35000</v>
      </c>
      <c r="AM1075">
        <v>0</v>
      </c>
      <c r="AN1075" t="s">
        <v>205</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122</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123</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585</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2733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123</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585</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2733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123</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585</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2733</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123</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585</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2733</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123</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585</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2733</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123</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585</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2733</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123</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585</v>
      </c>
      <c r="AL1082">
        <v>0</v>
      </c>
      <c r="AM1082">
        <v>0</v>
      </c>
      <c r="AN1082" t="s">
        <v>8</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2733</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123</v>
      </c>
      <c r="V1083">
        <v>0</v>
      </c>
      <c r="W1083">
        <v>0</v>
      </c>
      <c r="X1083" t="s">
        <v>8</v>
      </c>
      <c r="Y1083" s="75" t="str">
        <f ca="1">IF(Table15[[#This Row],[Type]]="KILL",IF(_xlfn.NUMBERVALUE(RIGHT(Table15[[#This Row],[Min]],LEN(Table15[[#This Row],[Min]])-FIND("-",Table15[[#This Row],[Min]])))&gt;INDIRECT(ADDRESS(11+MATCH(LEFT(Table15[[#This Row],[Min]],FIND("-",Table15[[#This Row],[Min]])-1),Table1[Content Sku],0),16,1,1,"Entities")),"review","ok"),"ok")</f>
        <v>ok</v>
      </c>
      <c r="AK1083" t="s">
        <v>585</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2733</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123</v>
      </c>
      <c r="V1084">
        <v>0</v>
      </c>
      <c r="W1084">
        <v>0</v>
      </c>
      <c r="X1084" t="s">
        <v>8</v>
      </c>
      <c r="Y1084" s="75" t="str">
        <f ca="1">IF(Table15[[#This Row],[Type]]="KILL",IF(_xlfn.NUMBERVALUE(RIGHT(Table15[[#This Row],[Min]],LEN(Table15[[#This Row],[Min]])-FIND("-",Table15[[#This Row],[Min]])))&gt;INDIRECT(ADDRESS(11+MATCH(LEFT(Table15[[#This Row],[Min]],FIND("-",Table15[[#This Row],[Min]])-1),Table1[Content Sku],0),16,1,1,"Entities")),"review","ok"),"ok")</f>
        <v>ok</v>
      </c>
      <c r="AK1084" t="s">
        <v>585</v>
      </c>
      <c r="AL1084">
        <v>0</v>
      </c>
      <c r="AM1084">
        <v>25000</v>
      </c>
      <c r="AN1084" t="s">
        <v>205</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2733</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123</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585</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2733</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123</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585</v>
      </c>
      <c r="AL1086">
        <v>30000</v>
      </c>
      <c r="AM1086">
        <v>0</v>
      </c>
      <c r="AN1086" t="s">
        <v>205</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2733</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123</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585</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2733</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123</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585</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2736</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123</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585</v>
      </c>
      <c r="AL1089">
        <v>0</v>
      </c>
      <c r="AM1089">
        <v>0</v>
      </c>
      <c r="AN1089" t="s">
        <v>8</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2736</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123</v>
      </c>
      <c r="V1090">
        <v>0</v>
      </c>
      <c r="W1090">
        <v>50000</v>
      </c>
      <c r="X1090" t="s">
        <v>205</v>
      </c>
      <c r="Y1090" s="75" t="str">
        <f ca="1">IF(Table15[[#This Row],[Type]]="KILL",IF(_xlfn.NUMBERVALUE(RIGHT(Table15[[#This Row],[Min]],LEN(Table15[[#This Row],[Min]])-FIND("-",Table15[[#This Row],[Min]])))&gt;INDIRECT(ADDRESS(11+MATCH(LEFT(Table15[[#This Row],[Min]],FIND("-",Table15[[#This Row],[Min]])-1),Table1[Content Sku],0),16,1,1,"Entities")),"review","ok"),"ok")</f>
        <v>ok</v>
      </c>
      <c r="AK1090" t="s">
        <v>585</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2736</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123</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585</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2739</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123</v>
      </c>
      <c r="V1092">
        <v>0</v>
      </c>
      <c r="W1092">
        <v>0</v>
      </c>
      <c r="X1092" t="s">
        <v>8</v>
      </c>
      <c r="Y1092" s="75" t="str">
        <f ca="1">IF(Table15[[#This Row],[Type]]="KILL",IF(_xlfn.NUMBERVALUE(RIGHT(Table15[[#This Row],[Min]],LEN(Table15[[#This Row],[Min]])-FIND("-",Table15[[#This Row],[Min]])))&gt;INDIRECT(ADDRESS(11+MATCH(LEFT(Table15[[#This Row],[Min]],FIND("-",Table15[[#This Row],[Min]])-1),Table1[Content Sku],0),16,1,1,"Entities")),"review","ok"),"ok")</f>
        <v>ok</v>
      </c>
      <c r="AK1092" t="s">
        <v>585</v>
      </c>
      <c r="AL1092">
        <v>0</v>
      </c>
      <c r="AM1092">
        <v>0</v>
      </c>
      <c r="AN1092" t="s">
        <v>8</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2739</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4438</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585</v>
      </c>
      <c r="AL1093">
        <v>0</v>
      </c>
      <c r="AM1093">
        <v>44500</v>
      </c>
      <c r="AN1093" t="s">
        <v>205</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2739</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4438</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585</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2739</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4438</v>
      </c>
      <c r="V1095">
        <v>20000</v>
      </c>
      <c r="W1095">
        <v>0</v>
      </c>
      <c r="X1095" t="s">
        <v>205</v>
      </c>
      <c r="Y1095" s="75" t="str">
        <f ca="1">IF(Table15[[#This Row],[Type]]="KILL",IF(_xlfn.NUMBERVALUE(RIGHT(Table15[[#This Row],[Min]],LEN(Table15[[#This Row],[Min]])-FIND("-",Table15[[#This Row],[Min]])))&gt;INDIRECT(ADDRESS(11+MATCH(LEFT(Table15[[#This Row],[Min]],FIND("-",Table15[[#This Row],[Min]])-1),Table1[Content Sku],0),16,1,1,"Entities")),"review","ok"),"ok")</f>
        <v>ok</v>
      </c>
      <c r="AK1095" t="s">
        <v>585</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2739</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4438</v>
      </c>
      <c r="V1096">
        <v>0</v>
      </c>
      <c r="W1096">
        <v>0</v>
      </c>
      <c r="X1096" t="s">
        <v>8</v>
      </c>
      <c r="Y1096" s="75" t="str">
        <f ca="1">IF(Table15[[#This Row],[Type]]="KILL",IF(_xlfn.NUMBERVALUE(RIGHT(Table15[[#This Row],[Min]],LEN(Table15[[#This Row],[Min]])-FIND("-",Table15[[#This Row],[Min]])))&gt;INDIRECT(ADDRESS(11+MATCH(LEFT(Table15[[#This Row],[Min]],FIND("-",Table15[[#This Row],[Min]])-1),Table1[Content Sku],0),16,1,1,"Entities")),"review","ok"),"ok")</f>
        <v>ok</v>
      </c>
      <c r="AK1096" t="s">
        <v>585</v>
      </c>
      <c r="AL1096">
        <v>0</v>
      </c>
      <c r="AM1096">
        <v>30000</v>
      </c>
      <c r="AN1096" t="s">
        <v>205</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2739</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4438</v>
      </c>
      <c r="V1097" t="s">
        <v>6885</v>
      </c>
      <c r="W1097" t="s">
        <v>4477</v>
      </c>
      <c r="X1097" t="s">
        <v>4478</v>
      </c>
      <c r="Y1097" s="75" t="str">
        <f ca="1">IF(Table15[[#This Row],[Type]]="KILL",IF(_xlfn.NUMBERVALUE(RIGHT(Table15[[#This Row],[Min]],LEN(Table15[[#This Row],[Min]])-FIND("-",Table15[[#This Row],[Min]])))&gt;INDIRECT(ADDRESS(11+MATCH(LEFT(Table15[[#This Row],[Min]],FIND("-",Table15[[#This Row],[Min]])-1),Table1[Content Sku],0),16,1,1,"Entities")),"review","ok"),"ok")</f>
        <v>ok</v>
      </c>
      <c r="AK1097" t="s">
        <v>2754</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2739</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4438</v>
      </c>
      <c r="V1098">
        <v>0</v>
      </c>
      <c r="W1098">
        <v>0</v>
      </c>
      <c r="X1098" t="s">
        <v>8</v>
      </c>
      <c r="Y1098" s="75" t="str">
        <f ca="1">IF(Table15[[#This Row],[Type]]="KILL",IF(_xlfn.NUMBERVALUE(RIGHT(Table15[[#This Row],[Min]],LEN(Table15[[#This Row],[Min]])-FIND("-",Table15[[#This Row],[Min]])))&gt;INDIRECT(ADDRESS(11+MATCH(LEFT(Table15[[#This Row],[Min]],FIND("-",Table15[[#This Row],[Min]])-1),Table1[Content Sku],0),16,1,1,"Entities")),"review","ok"),"ok")</f>
        <v>ok</v>
      </c>
      <c r="AK1098" t="s">
        <v>2754</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2739</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4438</v>
      </c>
      <c r="V1099">
        <v>40000</v>
      </c>
      <c r="W1099">
        <v>0</v>
      </c>
      <c r="X1099" t="s">
        <v>205</v>
      </c>
      <c r="Y1099" s="75" t="str">
        <f ca="1">IF(Table15[[#This Row],[Type]]="KILL",IF(_xlfn.NUMBERVALUE(RIGHT(Table15[[#This Row],[Min]],LEN(Table15[[#This Row],[Min]])-FIND("-",Table15[[#This Row],[Min]])))&gt;INDIRECT(ADDRESS(11+MATCH(LEFT(Table15[[#This Row],[Min]],FIND("-",Table15[[#This Row],[Min]])-1),Table1[Content Sku],0),16,1,1,"Entities")),"review","ok"),"ok")</f>
        <v>ok</v>
      </c>
      <c r="AK1099" t="s">
        <v>2754</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2739</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4438</v>
      </c>
      <c r="V1100">
        <v>20000</v>
      </c>
      <c r="W1100">
        <v>0</v>
      </c>
      <c r="X1100" t="s">
        <v>205</v>
      </c>
      <c r="Y1100" s="75" t="str">
        <f ca="1">IF(Table15[[#This Row],[Type]]="KILL",IF(_xlfn.NUMBERVALUE(RIGHT(Table15[[#This Row],[Min]],LEN(Table15[[#This Row],[Min]])-FIND("-",Table15[[#This Row],[Min]])))&gt;INDIRECT(ADDRESS(11+MATCH(LEFT(Table15[[#This Row],[Min]],FIND("-",Table15[[#This Row],[Min]])-1),Table1[Content Sku],0),16,1,1,"Entities")),"review","ok"),"ok")</f>
        <v>ok</v>
      </c>
      <c r="AK1100" t="s">
        <v>548</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2739</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4438</v>
      </c>
      <c r="V1101">
        <v>180</v>
      </c>
      <c r="W1101">
        <v>0</v>
      </c>
      <c r="X1101" t="s">
        <v>4439</v>
      </c>
      <c r="Y1101" s="75" t="str">
        <f ca="1">IF(Table15[[#This Row],[Type]]="KILL",IF(_xlfn.NUMBERVALUE(RIGHT(Table15[[#This Row],[Min]],LEN(Table15[[#This Row],[Min]])-FIND("-",Table15[[#This Row],[Min]])))&gt;INDIRECT(ADDRESS(11+MATCH(LEFT(Table15[[#This Row],[Min]],FIND("-",Table15[[#This Row],[Min]])-1),Table1[Content Sku],0),16,1,1,"Entities")),"review","ok"),"ok")</f>
        <v>ok</v>
      </c>
      <c r="AK1101" t="s">
        <v>548</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2739</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4438</v>
      </c>
      <c r="V1102">
        <v>0</v>
      </c>
      <c r="W1102">
        <v>0</v>
      </c>
      <c r="X1102" t="s">
        <v>8</v>
      </c>
      <c r="Y1102" s="75" t="str">
        <f ca="1">IF(Table15[[#This Row],[Type]]="KILL",IF(_xlfn.NUMBERVALUE(RIGHT(Table15[[#This Row],[Min]],LEN(Table15[[#This Row],[Min]])-FIND("-",Table15[[#This Row],[Min]])))&gt;INDIRECT(ADDRESS(11+MATCH(LEFT(Table15[[#This Row],[Min]],FIND("-",Table15[[#This Row],[Min]])-1),Table1[Content Sku],0),16,1,1,"Entities")),"review","ok"),"ok")</f>
        <v>ok</v>
      </c>
      <c r="AK1102" t="s">
        <v>548</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2739</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4438</v>
      </c>
      <c r="V1103">
        <v>0</v>
      </c>
      <c r="W1103">
        <v>0</v>
      </c>
      <c r="X1103" t="s">
        <v>8</v>
      </c>
      <c r="Y1103" s="75" t="str">
        <f ca="1">IF(Table15[[#This Row],[Type]]="KILL",IF(_xlfn.NUMBERVALUE(RIGHT(Table15[[#This Row],[Min]],LEN(Table15[[#This Row],[Min]])-FIND("-",Table15[[#This Row],[Min]])))&gt;INDIRECT(ADDRESS(11+MATCH(LEFT(Table15[[#This Row],[Min]],FIND("-",Table15[[#This Row],[Min]])-1),Table1[Content Sku],0),16,1,1,"Entities")),"review","ok"),"ok")</f>
        <v>ok</v>
      </c>
      <c r="AK1103" t="s">
        <v>548</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2739</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4438</v>
      </c>
      <c r="V1104">
        <v>0</v>
      </c>
      <c r="W1104">
        <v>0</v>
      </c>
      <c r="X1104" t="s">
        <v>8</v>
      </c>
      <c r="Y1104" s="75" t="str">
        <f ca="1">IF(Table15[[#This Row],[Type]]="KILL",IF(_xlfn.NUMBERVALUE(RIGHT(Table15[[#This Row],[Min]],LEN(Table15[[#This Row],[Min]])-FIND("-",Table15[[#This Row],[Min]])))&gt;INDIRECT(ADDRESS(11+MATCH(LEFT(Table15[[#This Row],[Min]],FIND("-",Table15[[#This Row],[Min]])-1),Table1[Content Sku],0),16,1,1,"Entities")),"review","ok"),"ok")</f>
        <v>ok</v>
      </c>
      <c r="AK1104" t="s">
        <v>548</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2739</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4438</v>
      </c>
      <c r="V1105">
        <v>0</v>
      </c>
      <c r="W1105">
        <v>0</v>
      </c>
      <c r="X1105" t="s">
        <v>8</v>
      </c>
      <c r="Y1105" s="75" t="str">
        <f ca="1">IF(Table15[[#This Row],[Type]]="KILL",IF(_xlfn.NUMBERVALUE(RIGHT(Table15[[#This Row],[Min]],LEN(Table15[[#This Row],[Min]])-FIND("-",Table15[[#This Row],[Min]])))&gt;INDIRECT(ADDRESS(11+MATCH(LEFT(Table15[[#This Row],[Min]],FIND("-",Table15[[#This Row],[Min]])-1),Table1[Content Sku],0),16,1,1,"Entities")),"review","ok"),"ok")</f>
        <v>ok</v>
      </c>
      <c r="AK1105" t="s">
        <v>548</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2739</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42</v>
      </c>
      <c r="V1106">
        <v>46000</v>
      </c>
      <c r="W1106">
        <v>0</v>
      </c>
      <c r="X1106" t="s">
        <v>205</v>
      </c>
      <c r="Y1106" s="75" t="str">
        <f ca="1">IF(Table15[[#This Row],[Type]]="KILL",IF(_xlfn.NUMBERVALUE(RIGHT(Table15[[#This Row],[Min]],LEN(Table15[[#This Row],[Min]])-FIND("-",Table15[[#This Row],[Min]])))&gt;INDIRECT(ADDRESS(11+MATCH(LEFT(Table15[[#This Row],[Min]],FIND("-",Table15[[#This Row],[Min]])-1),Table1[Content Sku],0),16,1,1,"Entities")),"review","ok"),"ok")</f>
        <v>ok</v>
      </c>
      <c r="AK1106" t="s">
        <v>548</v>
      </c>
      <c r="AL1106">
        <v>0</v>
      </c>
      <c r="AM1106">
        <v>0</v>
      </c>
      <c r="AN1106" t="s">
        <v>8</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2739</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43</v>
      </c>
      <c r="V1107">
        <v>55000</v>
      </c>
      <c r="W1107">
        <v>0</v>
      </c>
      <c r="X1107" t="s">
        <v>205</v>
      </c>
      <c r="Y1107" s="75" t="str">
        <f ca="1">IF(Table15[[#This Row],[Type]]="KILL",IF(_xlfn.NUMBERVALUE(RIGHT(Table15[[#This Row],[Min]],LEN(Table15[[#This Row],[Min]])-FIND("-",Table15[[#This Row],[Min]])))&gt;INDIRECT(ADDRESS(11+MATCH(LEFT(Table15[[#This Row],[Min]],FIND("-",Table15[[#This Row],[Min]])-1),Table1[Content Sku],0),16,1,1,"Entities")),"review","ok"),"ok")</f>
        <v>ok</v>
      </c>
      <c r="AK1107" t="s">
        <v>548</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2739</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43</v>
      </c>
      <c r="V1108">
        <v>37000</v>
      </c>
      <c r="W1108">
        <v>0</v>
      </c>
      <c r="X1108" t="s">
        <v>205</v>
      </c>
      <c r="Y1108" s="75" t="str">
        <f ca="1">IF(Table15[[#This Row],[Type]]="KILL",IF(_xlfn.NUMBERVALUE(RIGHT(Table15[[#This Row],[Min]],LEN(Table15[[#This Row],[Min]])-FIND("-",Table15[[#This Row],[Min]])))&gt;INDIRECT(ADDRESS(11+MATCH(LEFT(Table15[[#This Row],[Min]],FIND("-",Table15[[#This Row],[Min]])-1),Table1[Content Sku],0),16,1,1,"Entities")),"review","ok"),"ok")</f>
        <v>ok</v>
      </c>
      <c r="AK1108" t="s">
        <v>548</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2739</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43</v>
      </c>
      <c r="V1109">
        <v>34000</v>
      </c>
      <c r="W1109">
        <v>0</v>
      </c>
      <c r="X1109" t="s">
        <v>205</v>
      </c>
      <c r="Y1109" s="75" t="str">
        <f ca="1">IF(Table15[[#This Row],[Type]]="KILL",IF(_xlfn.NUMBERVALUE(RIGHT(Table15[[#This Row],[Min]],LEN(Table15[[#This Row],[Min]])-FIND("-",Table15[[#This Row],[Min]])))&gt;INDIRECT(ADDRESS(11+MATCH(LEFT(Table15[[#This Row],[Min]],FIND("-",Table15[[#This Row],[Min]])-1),Table1[Content Sku],0),16,1,1,"Entities")),"review","ok"),"ok")</f>
        <v>ok</v>
      </c>
      <c r="AK1109" t="s">
        <v>548</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2739</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43</v>
      </c>
      <c r="V1110">
        <v>50000</v>
      </c>
      <c r="W1110">
        <v>0</v>
      </c>
      <c r="X1110" t="s">
        <v>205</v>
      </c>
      <c r="Y1110" s="75" t="str">
        <f ca="1">IF(Table15[[#This Row],[Type]]="KILL",IF(_xlfn.NUMBERVALUE(RIGHT(Table15[[#This Row],[Min]],LEN(Table15[[#This Row],[Min]])-FIND("-",Table15[[#This Row],[Min]])))&gt;INDIRECT(ADDRESS(11+MATCH(LEFT(Table15[[#This Row],[Min]],FIND("-",Table15[[#This Row],[Min]])-1),Table1[Content Sku],0),16,1,1,"Entities")),"review","ok"),"ok")</f>
        <v>ok</v>
      </c>
      <c r="AK1110" t="s">
        <v>548</v>
      </c>
      <c r="AL1110">
        <v>34000</v>
      </c>
      <c r="AM1110">
        <v>0</v>
      </c>
      <c r="AN1110" t="s">
        <v>205</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2739</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43</v>
      </c>
      <c r="V1111">
        <v>45000</v>
      </c>
      <c r="W1111">
        <v>0</v>
      </c>
      <c r="X1111" t="s">
        <v>205</v>
      </c>
      <c r="Y1111" s="75" t="str">
        <f ca="1">IF(Table15[[#This Row],[Type]]="KILL",IF(_xlfn.NUMBERVALUE(RIGHT(Table15[[#This Row],[Min]],LEN(Table15[[#This Row],[Min]])-FIND("-",Table15[[#This Row],[Min]])))&gt;INDIRECT(ADDRESS(11+MATCH(LEFT(Table15[[#This Row],[Min]],FIND("-",Table15[[#This Row],[Min]])-1),Table1[Content Sku],0),16,1,1,"Entities")),"review","ok"),"ok")</f>
        <v>ok</v>
      </c>
      <c r="AK1111" t="s">
        <v>548</v>
      </c>
      <c r="AL1111">
        <v>0</v>
      </c>
      <c r="AM1111">
        <v>0</v>
      </c>
      <c r="AN1111" t="s">
        <v>8</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2741</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43</v>
      </c>
      <c r="V1112">
        <v>40000</v>
      </c>
      <c r="W1112">
        <v>0</v>
      </c>
      <c r="X1112" t="s">
        <v>205</v>
      </c>
      <c r="Y1112" s="75" t="str">
        <f ca="1">IF(Table15[[#This Row],[Type]]="KILL",IF(_xlfn.NUMBERVALUE(RIGHT(Table15[[#This Row],[Min]],LEN(Table15[[#This Row],[Min]])-FIND("-",Table15[[#This Row],[Min]])))&gt;INDIRECT(ADDRESS(11+MATCH(LEFT(Table15[[#This Row],[Min]],FIND("-",Table15[[#This Row],[Min]])-1),Table1[Content Sku],0),16,1,1,"Entities")),"review","ok"),"ok")</f>
        <v>ok</v>
      </c>
      <c r="AK1112" t="s">
        <v>548</v>
      </c>
      <c r="AL1112">
        <v>0</v>
      </c>
      <c r="AM1112">
        <v>0</v>
      </c>
      <c r="AN1112" t="s">
        <v>8</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2741</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43</v>
      </c>
      <c r="V1113">
        <v>45000</v>
      </c>
      <c r="W1113">
        <v>0</v>
      </c>
      <c r="X1113" t="s">
        <v>205</v>
      </c>
      <c r="Y1113" s="75" t="str">
        <f ca="1">IF(Table15[[#This Row],[Type]]="KILL",IF(_xlfn.NUMBERVALUE(RIGHT(Table15[[#This Row],[Min]],LEN(Table15[[#This Row],[Min]])-FIND("-",Table15[[#This Row],[Min]])))&gt;INDIRECT(ADDRESS(11+MATCH(LEFT(Table15[[#This Row],[Min]],FIND("-",Table15[[#This Row],[Min]])-1),Table1[Content Sku],0),16,1,1,"Entities")),"review","ok"),"ok")</f>
        <v>ok</v>
      </c>
      <c r="AK1113" t="s">
        <v>346</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2741</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43</v>
      </c>
      <c r="V1114">
        <v>35000</v>
      </c>
      <c r="W1114">
        <v>0</v>
      </c>
      <c r="X1114" t="s">
        <v>205</v>
      </c>
      <c r="Y1114" s="75" t="str">
        <f ca="1">IF(Table15[[#This Row],[Type]]="KILL",IF(_xlfn.NUMBERVALUE(RIGHT(Table15[[#This Row],[Min]],LEN(Table15[[#This Row],[Min]])-FIND("-",Table15[[#This Row],[Min]])))&gt;INDIRECT(ADDRESS(11+MATCH(LEFT(Table15[[#This Row],[Min]],FIND("-",Table15[[#This Row],[Min]])-1),Table1[Content Sku],0),16,1,1,"Entities")),"review","ok"),"ok")</f>
        <v>ok</v>
      </c>
      <c r="AK1114" t="s">
        <v>346</v>
      </c>
      <c r="AL1114">
        <v>20000</v>
      </c>
      <c r="AM1114">
        <v>0</v>
      </c>
      <c r="AN1114" t="s">
        <v>205</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2741</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43</v>
      </c>
      <c r="V1115">
        <v>40000</v>
      </c>
      <c r="W1115">
        <v>0</v>
      </c>
      <c r="X1115" t="s">
        <v>205</v>
      </c>
      <c r="Y1115" s="75" t="str">
        <f ca="1">IF(Table15[[#This Row],[Type]]="KILL",IF(_xlfn.NUMBERVALUE(RIGHT(Table15[[#This Row],[Min]],LEN(Table15[[#This Row],[Min]])-FIND("-",Table15[[#This Row],[Min]])))&gt;INDIRECT(ADDRESS(11+MATCH(LEFT(Table15[[#This Row],[Min]],FIND("-",Table15[[#This Row],[Min]])-1),Table1[Content Sku],0),16,1,1,"Entities")),"review","ok"),"ok")</f>
        <v>ok</v>
      </c>
      <c r="AK1115" t="s">
        <v>346</v>
      </c>
      <c r="AL1115">
        <v>25000</v>
      </c>
      <c r="AM1115">
        <v>0</v>
      </c>
      <c r="AN1115" t="s">
        <v>205</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2741</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44</v>
      </c>
      <c r="V1116">
        <v>45000</v>
      </c>
      <c r="W1116">
        <v>0</v>
      </c>
      <c r="X1116" t="s">
        <v>205</v>
      </c>
      <c r="Y1116" s="75" t="str">
        <f ca="1">IF(Table15[[#This Row],[Type]]="KILL",IF(_xlfn.NUMBERVALUE(RIGHT(Table15[[#This Row],[Min]],LEN(Table15[[#This Row],[Min]])-FIND("-",Table15[[#This Row],[Min]])))&gt;INDIRECT(ADDRESS(11+MATCH(LEFT(Table15[[#This Row],[Min]],FIND("-",Table15[[#This Row],[Min]])-1),Table1[Content Sku],0),16,1,1,"Entities")),"review","ok"),"ok")</f>
        <v>ok</v>
      </c>
      <c r="AK1116" t="s">
        <v>346</v>
      </c>
      <c r="AL1116">
        <v>25000</v>
      </c>
      <c r="AM1116">
        <v>0</v>
      </c>
      <c r="AN1116" t="s">
        <v>205</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2743</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44</v>
      </c>
      <c r="V1117">
        <v>180</v>
      </c>
      <c r="W1117">
        <v>0</v>
      </c>
      <c r="X1117" t="s">
        <v>4439</v>
      </c>
      <c r="Y1117" s="75" t="str">
        <f ca="1">IF(Table15[[#This Row],[Type]]="KILL",IF(_xlfn.NUMBERVALUE(RIGHT(Table15[[#This Row],[Min]],LEN(Table15[[#This Row],[Min]])-FIND("-",Table15[[#This Row],[Min]])))&gt;INDIRECT(ADDRESS(11+MATCH(LEFT(Table15[[#This Row],[Min]],FIND("-",Table15[[#This Row],[Min]])-1),Table1[Content Sku],0),16,1,1,"Entities")),"review","ok"),"ok")</f>
        <v>ok</v>
      </c>
      <c r="AK1117" t="s">
        <v>346</v>
      </c>
      <c r="AL1117">
        <v>0</v>
      </c>
      <c r="AM1117">
        <v>0</v>
      </c>
      <c r="AN1117" t="s">
        <v>8</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2743</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44</v>
      </c>
      <c r="V1118">
        <v>20000</v>
      </c>
      <c r="W1118">
        <v>0</v>
      </c>
      <c r="X1118" t="s">
        <v>205</v>
      </c>
      <c r="Y1118" s="75" t="str">
        <f ca="1">IF(Table15[[#This Row],[Type]]="KILL",IF(_xlfn.NUMBERVALUE(RIGHT(Table15[[#This Row],[Min]],LEN(Table15[[#This Row],[Min]])-FIND("-",Table15[[#This Row],[Min]])))&gt;INDIRECT(ADDRESS(11+MATCH(LEFT(Table15[[#This Row],[Min]],FIND("-",Table15[[#This Row],[Min]])-1),Table1[Content Sku],0),16,1,1,"Entities")),"review","ok"),"ok")</f>
        <v>ok</v>
      </c>
      <c r="AK1118" t="s">
        <v>346</v>
      </c>
      <c r="AL1118">
        <v>36000</v>
      </c>
      <c r="AM1118">
        <v>0</v>
      </c>
      <c r="AN1118" t="s">
        <v>205</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2743</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44</v>
      </c>
      <c r="V1119">
        <v>35000</v>
      </c>
      <c r="W1119">
        <v>0</v>
      </c>
      <c r="X1119" t="s">
        <v>205</v>
      </c>
      <c r="Y1119" s="75" t="str">
        <f ca="1">IF(Table15[[#This Row],[Type]]="KILL",IF(_xlfn.NUMBERVALUE(RIGHT(Table15[[#This Row],[Min]],LEN(Table15[[#This Row],[Min]])-FIND("-",Table15[[#This Row],[Min]])))&gt;INDIRECT(ADDRESS(11+MATCH(LEFT(Table15[[#This Row],[Min]],FIND("-",Table15[[#This Row],[Min]])-1),Table1[Content Sku],0),16,1,1,"Entities")),"review","ok"),"ok")</f>
        <v>ok</v>
      </c>
      <c r="AK1119" t="s">
        <v>346</v>
      </c>
      <c r="AL1119">
        <v>0</v>
      </c>
      <c r="AM1119">
        <v>0</v>
      </c>
      <c r="AN1119" t="s">
        <v>8</v>
      </c>
      <c r="AO1119" s="75" t="str">
        <f ca="1">IF(Table20[[#This Row],[Type]]="KILL",IF(_xlfn.NUMBERVALUE(RIGHT(Table20[[#This Row],[Min]],LEN(Table20[[#This Row],[Min]])-FIND("-",Table20[[#This Row],[Min]])))&gt;INDIRECT(ADDRESS(11+MATCH(LEFT(Table20[[#This Row],[Min]],FIND("-",Table20[[#This Row],[Min]])-1),Table1[Content Sku],0),18,1,1,"Entities")),"review","ok"),"ok")</f>
        <v>ok</v>
      </c>
    </row>
    <row r="1120" spans="5:41" x14ac:dyDescent="0.25">
      <c r="E1120" t="s">
        <v>2743</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44</v>
      </c>
      <c r="V1120">
        <v>0</v>
      </c>
      <c r="W1120">
        <v>0</v>
      </c>
      <c r="X1120" t="s">
        <v>8</v>
      </c>
      <c r="Y1120" s="75" t="str">
        <f ca="1">IF(Table15[[#This Row],[Type]]="KILL",IF(_xlfn.NUMBERVALUE(RIGHT(Table15[[#This Row],[Min]],LEN(Table15[[#This Row],[Min]])-FIND("-",Table15[[#This Row],[Min]])))&gt;INDIRECT(ADDRESS(11+MATCH(LEFT(Table15[[#This Row],[Min]],FIND("-",Table15[[#This Row],[Min]])-1),Table1[Content Sku],0),16,1,1,"Entities")),"review","ok"),"ok")</f>
        <v>ok</v>
      </c>
      <c r="AK1120" t="s">
        <v>346</v>
      </c>
      <c r="AL1120">
        <v>33000</v>
      </c>
      <c r="AM1120">
        <v>0</v>
      </c>
      <c r="AN1120" t="s">
        <v>205</v>
      </c>
      <c r="AO1120" s="75" t="str">
        <f ca="1">IF(Table20[[#This Row],[Type]]="KILL",IF(_xlfn.NUMBERVALUE(RIGHT(Table20[[#This Row],[Min]],LEN(Table20[[#This Row],[Min]])-FIND("-",Table20[[#This Row],[Min]])))&gt;INDIRECT(ADDRESS(11+MATCH(LEFT(Table20[[#This Row],[Min]],FIND("-",Table20[[#This Row],[Min]])-1),Table1[Content Sku],0),18,1,1,"Entities")),"review","ok"),"ok")</f>
        <v>ok</v>
      </c>
    </row>
    <row r="1121" spans="5:41" x14ac:dyDescent="0.25">
      <c r="E1121" t="s">
        <v>2743</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44</v>
      </c>
      <c r="V1121">
        <v>15000</v>
      </c>
      <c r="W1121">
        <v>0</v>
      </c>
      <c r="X1121" t="s">
        <v>205</v>
      </c>
      <c r="Y1121" s="75" t="str">
        <f ca="1">IF(Table15[[#This Row],[Type]]="KILL",IF(_xlfn.NUMBERVALUE(RIGHT(Table15[[#This Row],[Min]],LEN(Table15[[#This Row],[Min]])-FIND("-",Table15[[#This Row],[Min]])))&gt;INDIRECT(ADDRESS(11+MATCH(LEFT(Table15[[#This Row],[Min]],FIND("-",Table15[[#This Row],[Min]])-1),Table1[Content Sku],0),16,1,1,"Entities")),"review","ok"),"ok")</f>
        <v>ok</v>
      </c>
      <c r="AK1121" t="s">
        <v>346</v>
      </c>
      <c r="AL1121">
        <v>31000</v>
      </c>
      <c r="AM1121">
        <v>0</v>
      </c>
      <c r="AN1121" t="s">
        <v>205</v>
      </c>
      <c r="AO1121" s="75" t="str">
        <f ca="1">IF(Table20[[#This Row],[Type]]="KILL",IF(_xlfn.NUMBERVALUE(RIGHT(Table20[[#This Row],[Min]],LEN(Table20[[#This Row],[Min]])-FIND("-",Table20[[#This Row],[Min]])))&gt;INDIRECT(ADDRESS(11+MATCH(LEFT(Table20[[#This Row],[Min]],FIND("-",Table20[[#This Row],[Min]])-1),Table1[Content Sku],0),18,1,1,"Entities")),"review","ok"),"ok")</f>
        <v>ok</v>
      </c>
    </row>
    <row r="1122" spans="5:41" x14ac:dyDescent="0.25">
      <c r="E1122" t="s">
        <v>2743</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44</v>
      </c>
      <c r="V1122">
        <v>180</v>
      </c>
      <c r="W1122">
        <v>0</v>
      </c>
      <c r="X1122" t="s">
        <v>4439</v>
      </c>
      <c r="Y1122" s="75" t="str">
        <f ca="1">IF(Table15[[#This Row],[Type]]="KILL",IF(_xlfn.NUMBERVALUE(RIGHT(Table15[[#This Row],[Min]],LEN(Table15[[#This Row],[Min]])-FIND("-",Table15[[#This Row],[Min]])))&gt;INDIRECT(ADDRESS(11+MATCH(LEFT(Table15[[#This Row],[Min]],FIND("-",Table15[[#This Row],[Min]])-1),Table1[Content Sku],0),16,1,1,"Entities")),"review","ok"),"ok")</f>
        <v>ok</v>
      </c>
      <c r="AK1122" t="s">
        <v>346</v>
      </c>
      <c r="AL1122">
        <v>27000</v>
      </c>
      <c r="AM1122">
        <v>0</v>
      </c>
      <c r="AN1122" t="s">
        <v>205</v>
      </c>
      <c r="AO1122" s="75" t="str">
        <f ca="1">IF(Table20[[#This Row],[Type]]="KILL",IF(_xlfn.NUMBERVALUE(RIGHT(Table20[[#This Row],[Min]],LEN(Table20[[#This Row],[Min]])-FIND("-",Table20[[#This Row],[Min]])))&gt;INDIRECT(ADDRESS(11+MATCH(LEFT(Table20[[#This Row],[Min]],FIND("-",Table20[[#This Row],[Min]])-1),Table1[Content Sku],0),18,1,1,"Entities")),"review","ok"),"ok")</f>
        <v>ok</v>
      </c>
    </row>
    <row r="1123" spans="5:41" x14ac:dyDescent="0.25">
      <c r="E1123" t="s">
        <v>2743</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44</v>
      </c>
      <c r="V1123">
        <v>25000</v>
      </c>
      <c r="W1123">
        <v>0</v>
      </c>
      <c r="X1123" t="s">
        <v>205</v>
      </c>
      <c r="Y1123" s="75" t="str">
        <f ca="1">IF(Table15[[#This Row],[Type]]="KILL",IF(_xlfn.NUMBERVALUE(RIGHT(Table15[[#This Row],[Min]],LEN(Table15[[#This Row],[Min]])-FIND("-",Table15[[#This Row],[Min]])))&gt;INDIRECT(ADDRESS(11+MATCH(LEFT(Table15[[#This Row],[Min]],FIND("-",Table15[[#This Row],[Min]])-1),Table1[Content Sku],0),16,1,1,"Entities")),"review","ok"),"ok")</f>
        <v>ok</v>
      </c>
    </row>
    <row r="1124" spans="5:41" x14ac:dyDescent="0.25">
      <c r="E1124" t="s">
        <v>2743</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273</v>
      </c>
      <c r="V1124">
        <v>60000</v>
      </c>
      <c r="W1124">
        <v>80000</v>
      </c>
      <c r="X1124" t="s">
        <v>205</v>
      </c>
      <c r="Y1124" s="75" t="str">
        <f ca="1">IF(Table15[[#This Row],[Type]]="KILL",IF(_xlfn.NUMBERVALUE(RIGHT(Table15[[#This Row],[Min]],LEN(Table15[[#This Row],[Min]])-FIND("-",Table15[[#This Row],[Min]])))&gt;INDIRECT(ADDRESS(11+MATCH(LEFT(Table15[[#This Row],[Min]],FIND("-",Table15[[#This Row],[Min]])-1),Table1[Content Sku],0),16,1,1,"Entities")),"review","ok"),"ok")</f>
        <v>ok</v>
      </c>
    </row>
    <row r="1125" spans="5:41" x14ac:dyDescent="0.25">
      <c r="E1125" t="s">
        <v>2743</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273</v>
      </c>
      <c r="V1125">
        <v>24000</v>
      </c>
      <c r="W1125">
        <v>0</v>
      </c>
      <c r="X1125" t="s">
        <v>205</v>
      </c>
      <c r="Y1125" s="75" t="str">
        <f ca="1">IF(Table15[[#This Row],[Type]]="KILL",IF(_xlfn.NUMBERVALUE(RIGHT(Table15[[#This Row],[Min]],LEN(Table15[[#This Row],[Min]])-FIND("-",Table15[[#This Row],[Min]])))&gt;INDIRECT(ADDRESS(11+MATCH(LEFT(Table15[[#This Row],[Min]],FIND("-",Table15[[#This Row],[Min]])-1),Table1[Content Sku],0),16,1,1,"Entities")),"review","ok"),"ok")</f>
        <v>ok</v>
      </c>
    </row>
    <row r="1126" spans="5:41" x14ac:dyDescent="0.25">
      <c r="E1126" t="s">
        <v>2745</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273</v>
      </c>
      <c r="V1126">
        <v>30000</v>
      </c>
      <c r="W1126">
        <v>0</v>
      </c>
      <c r="X1126" t="s">
        <v>205</v>
      </c>
      <c r="Y1126" s="75" t="str">
        <f ca="1">IF(Table15[[#This Row],[Type]]="KILL",IF(_xlfn.NUMBERVALUE(RIGHT(Table15[[#This Row],[Min]],LEN(Table15[[#This Row],[Min]])-FIND("-",Table15[[#This Row],[Min]])))&gt;INDIRECT(ADDRESS(11+MATCH(LEFT(Table15[[#This Row],[Min]],FIND("-",Table15[[#This Row],[Min]])-1),Table1[Content Sku],0),16,1,1,"Entities")),"review","ok"),"ok")</f>
        <v>ok</v>
      </c>
    </row>
    <row r="1127" spans="5:41" x14ac:dyDescent="0.25">
      <c r="E1127" t="s">
        <v>2745</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273</v>
      </c>
      <c r="V1127">
        <v>26000</v>
      </c>
      <c r="W1127">
        <v>80000</v>
      </c>
      <c r="X1127" t="s">
        <v>205</v>
      </c>
      <c r="Y1127" s="75" t="str">
        <f ca="1">IF(Table15[[#This Row],[Type]]="KILL",IF(_xlfn.NUMBERVALUE(RIGHT(Table15[[#This Row],[Min]],LEN(Table15[[#This Row],[Min]])-FIND("-",Table15[[#This Row],[Min]])))&gt;INDIRECT(ADDRESS(11+MATCH(LEFT(Table15[[#This Row],[Min]],FIND("-",Table15[[#This Row],[Min]])-1),Table1[Content Sku],0),16,1,1,"Entities")),"review","ok"),"ok")</f>
        <v>ok</v>
      </c>
    </row>
    <row r="1128" spans="5:41" x14ac:dyDescent="0.25">
      <c r="E1128" t="s">
        <v>2745</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273</v>
      </c>
      <c r="V1128">
        <v>40000</v>
      </c>
      <c r="W1128">
        <v>50000</v>
      </c>
      <c r="X1128" t="s">
        <v>205</v>
      </c>
      <c r="Y1128" s="75" t="str">
        <f ca="1">IF(Table15[[#This Row],[Type]]="KILL",IF(_xlfn.NUMBERVALUE(RIGHT(Table15[[#This Row],[Min]],LEN(Table15[[#This Row],[Min]])-FIND("-",Table15[[#This Row],[Min]])))&gt;INDIRECT(ADDRESS(11+MATCH(LEFT(Table15[[#This Row],[Min]],FIND("-",Table15[[#This Row],[Min]])-1),Table1[Content Sku],0),16,1,1,"Entities")),"review","ok"),"ok")</f>
        <v>ok</v>
      </c>
    </row>
    <row r="1129" spans="5:41" x14ac:dyDescent="0.25">
      <c r="E1129" t="s">
        <v>2745</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273</v>
      </c>
      <c r="V1129">
        <v>60000</v>
      </c>
      <c r="W1129">
        <v>0</v>
      </c>
      <c r="X1129" t="s">
        <v>205</v>
      </c>
      <c r="Y1129" s="75" t="str">
        <f ca="1">IF(Table15[[#This Row],[Type]]="KILL",IF(_xlfn.NUMBERVALUE(RIGHT(Table15[[#This Row],[Min]],LEN(Table15[[#This Row],[Min]])-FIND("-",Table15[[#This Row],[Min]])))&gt;INDIRECT(ADDRESS(11+MATCH(LEFT(Table15[[#This Row],[Min]],FIND("-",Table15[[#This Row],[Min]])-1),Table1[Content Sku],0),16,1,1,"Entities")),"review","ok"),"ok")</f>
        <v>ok</v>
      </c>
    </row>
    <row r="1130" spans="5:41" x14ac:dyDescent="0.25">
      <c r="E1130" t="s">
        <v>2745</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273</v>
      </c>
      <c r="V1130">
        <v>35000</v>
      </c>
      <c r="W1130">
        <v>80000</v>
      </c>
      <c r="X1130" t="s">
        <v>205</v>
      </c>
      <c r="Y1130" s="75" t="str">
        <f ca="1">IF(Table15[[#This Row],[Type]]="KILL",IF(_xlfn.NUMBERVALUE(RIGHT(Table15[[#This Row],[Min]],LEN(Table15[[#This Row],[Min]])-FIND("-",Table15[[#This Row],[Min]])))&gt;INDIRECT(ADDRESS(11+MATCH(LEFT(Table15[[#This Row],[Min]],FIND("-",Table15[[#This Row],[Min]])-1),Table1[Content Sku],0),16,1,1,"Entities")),"review","ok"),"ok")</f>
        <v>ok</v>
      </c>
    </row>
    <row r="1131" spans="5:41" x14ac:dyDescent="0.25">
      <c r="E1131" t="s">
        <v>2745</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273</v>
      </c>
      <c r="V1131">
        <v>45000</v>
      </c>
      <c r="W1131">
        <v>0</v>
      </c>
      <c r="X1131" t="s">
        <v>205</v>
      </c>
      <c r="Y1131" s="75" t="str">
        <f ca="1">IF(Table15[[#This Row],[Type]]="KILL",IF(_xlfn.NUMBERVALUE(RIGHT(Table15[[#This Row],[Min]],LEN(Table15[[#This Row],[Min]])-FIND("-",Table15[[#This Row],[Min]])))&gt;INDIRECT(ADDRESS(11+MATCH(LEFT(Table15[[#This Row],[Min]],FIND("-",Table15[[#This Row],[Min]])-1),Table1[Content Sku],0),16,1,1,"Entities")),"review","ok"),"ok")</f>
        <v>ok</v>
      </c>
    </row>
    <row r="1132" spans="5:41" x14ac:dyDescent="0.25">
      <c r="E1132" t="s">
        <v>2745</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273</v>
      </c>
      <c r="V1132">
        <v>35000</v>
      </c>
      <c r="W1132">
        <v>0</v>
      </c>
      <c r="X1132" t="s">
        <v>205</v>
      </c>
      <c r="Y1132" s="75" t="str">
        <f ca="1">IF(Table15[[#This Row],[Type]]="KILL",IF(_xlfn.NUMBERVALUE(RIGHT(Table15[[#This Row],[Min]],LEN(Table15[[#This Row],[Min]])-FIND("-",Table15[[#This Row],[Min]])))&gt;INDIRECT(ADDRESS(11+MATCH(LEFT(Table15[[#This Row],[Min]],FIND("-",Table15[[#This Row],[Min]])-1),Table1[Content Sku],0),16,1,1,"Entities")),"review","ok"),"ok")</f>
        <v>ok</v>
      </c>
    </row>
    <row r="1133" spans="5:41" x14ac:dyDescent="0.25">
      <c r="E1133" t="s">
        <v>2745</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459</v>
      </c>
      <c r="V1133">
        <v>0</v>
      </c>
      <c r="W1133">
        <v>28000</v>
      </c>
      <c r="X1133" t="s">
        <v>205</v>
      </c>
      <c r="Y1133" s="75" t="str">
        <f ca="1">IF(Table15[[#This Row],[Type]]="KILL",IF(_xlfn.NUMBERVALUE(RIGHT(Table15[[#This Row],[Min]],LEN(Table15[[#This Row],[Min]])-FIND("-",Table15[[#This Row],[Min]])))&gt;INDIRECT(ADDRESS(11+MATCH(LEFT(Table15[[#This Row],[Min]],FIND("-",Table15[[#This Row],[Min]])-1),Table1[Content Sku],0),16,1,1,"Entities")),"review","ok"),"ok")</f>
        <v>ok</v>
      </c>
    </row>
    <row r="1134" spans="5:41" x14ac:dyDescent="0.25">
      <c r="E1134" t="s">
        <v>2745</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459</v>
      </c>
      <c r="V1134">
        <v>0</v>
      </c>
      <c r="W1134">
        <v>0</v>
      </c>
      <c r="X1134" t="s">
        <v>8</v>
      </c>
      <c r="Y1134" s="75" t="str">
        <f ca="1">IF(Table15[[#This Row],[Type]]="KILL",IF(_xlfn.NUMBERVALUE(RIGHT(Table15[[#This Row],[Min]],LEN(Table15[[#This Row],[Min]])-FIND("-",Table15[[#This Row],[Min]])))&gt;INDIRECT(ADDRESS(11+MATCH(LEFT(Table15[[#This Row],[Min]],FIND("-",Table15[[#This Row],[Min]])-1),Table1[Content Sku],0),16,1,1,"Entities")),"review","ok"),"ok")</f>
        <v>ok</v>
      </c>
    </row>
    <row r="1135" spans="5:41" x14ac:dyDescent="0.25">
      <c r="E1135" t="s">
        <v>2745</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459</v>
      </c>
      <c r="V1135">
        <v>0</v>
      </c>
      <c r="W1135">
        <v>35000</v>
      </c>
      <c r="X1135" t="s">
        <v>205</v>
      </c>
      <c r="Y1135" s="75" t="str">
        <f ca="1">IF(Table15[[#This Row],[Type]]="KILL",IF(_xlfn.NUMBERVALUE(RIGHT(Table15[[#This Row],[Min]],LEN(Table15[[#This Row],[Min]])-FIND("-",Table15[[#This Row],[Min]])))&gt;INDIRECT(ADDRESS(11+MATCH(LEFT(Table15[[#This Row],[Min]],FIND("-",Table15[[#This Row],[Min]])-1),Table1[Content Sku],0),16,1,1,"Entities")),"review","ok"),"ok")</f>
        <v>ok</v>
      </c>
    </row>
    <row r="1136" spans="5:41" x14ac:dyDescent="0.25">
      <c r="E1136" t="s">
        <v>2745</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459</v>
      </c>
      <c r="V1136">
        <v>0</v>
      </c>
      <c r="W1136">
        <v>0</v>
      </c>
      <c r="X1136" t="s">
        <v>8</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2745</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459</v>
      </c>
      <c r="V1137">
        <v>0</v>
      </c>
      <c r="W1137">
        <v>0</v>
      </c>
      <c r="X1137" t="s">
        <v>8</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2745</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459</v>
      </c>
      <c r="V1138">
        <v>0</v>
      </c>
      <c r="W1138">
        <v>0</v>
      </c>
      <c r="X1138" t="s">
        <v>8</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551</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459</v>
      </c>
      <c r="V1139">
        <v>0</v>
      </c>
      <c r="W1139">
        <v>33000</v>
      </c>
      <c r="X1139" t="s">
        <v>205</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551</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459</v>
      </c>
      <c r="V1140">
        <v>0</v>
      </c>
      <c r="W1140">
        <v>0</v>
      </c>
      <c r="X1140" t="s">
        <v>8</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551</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459</v>
      </c>
      <c r="V1141">
        <v>0</v>
      </c>
      <c r="W1141">
        <v>0</v>
      </c>
      <c r="X1141" t="s">
        <v>8</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551</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459</v>
      </c>
      <c r="V1142">
        <v>0</v>
      </c>
      <c r="W1142">
        <v>24000</v>
      </c>
      <c r="X1142" t="s">
        <v>205</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551</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459</v>
      </c>
      <c r="V1143">
        <v>0</v>
      </c>
      <c r="W1143">
        <v>0</v>
      </c>
      <c r="X1143" t="s">
        <v>8</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551</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459</v>
      </c>
      <c r="V1144">
        <v>0</v>
      </c>
      <c r="W1144">
        <v>0</v>
      </c>
      <c r="X1144" t="s">
        <v>8</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551</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459</v>
      </c>
      <c r="V1145">
        <v>0</v>
      </c>
      <c r="W1145">
        <v>0</v>
      </c>
      <c r="X1145" t="s">
        <v>8</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551</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459</v>
      </c>
      <c r="V1146">
        <v>0</v>
      </c>
      <c r="W1146">
        <v>0</v>
      </c>
      <c r="X1146" t="s">
        <v>8</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551</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459</v>
      </c>
      <c r="V1147">
        <v>0</v>
      </c>
      <c r="W1147">
        <v>0</v>
      </c>
      <c r="X1147" t="s">
        <v>8</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551</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459</v>
      </c>
      <c r="V1148">
        <v>0</v>
      </c>
      <c r="W1148">
        <v>0</v>
      </c>
      <c r="X1148" t="s">
        <v>8</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551</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459</v>
      </c>
      <c r="V1149">
        <v>0</v>
      </c>
      <c r="W1149">
        <v>0</v>
      </c>
      <c r="X1149" t="s">
        <v>8</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551</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459</v>
      </c>
      <c r="V1150">
        <v>0</v>
      </c>
      <c r="W1150">
        <v>0</v>
      </c>
      <c r="X1150" t="s">
        <v>8</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551</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459</v>
      </c>
      <c r="V1151">
        <v>0</v>
      </c>
      <c r="W1151">
        <v>0</v>
      </c>
      <c r="X1151" t="s">
        <v>8</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551</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459</v>
      </c>
      <c r="V1152">
        <v>0</v>
      </c>
      <c r="W1152">
        <v>0</v>
      </c>
      <c r="X1152" t="s">
        <v>8</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551</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459</v>
      </c>
      <c r="V1153">
        <v>0</v>
      </c>
      <c r="W1153">
        <v>0</v>
      </c>
      <c r="X1153" t="s">
        <v>8</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551</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459</v>
      </c>
      <c r="V1154">
        <v>0</v>
      </c>
      <c r="W1154">
        <v>24000</v>
      </c>
      <c r="X1154" t="s">
        <v>205</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551</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459</v>
      </c>
      <c r="V1155">
        <v>0</v>
      </c>
      <c r="W1155">
        <v>0</v>
      </c>
      <c r="X1155" t="s">
        <v>8</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551</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459</v>
      </c>
      <c r="V1156">
        <v>0</v>
      </c>
      <c r="W1156">
        <v>20000</v>
      </c>
      <c r="X1156" t="s">
        <v>205</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551</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459</v>
      </c>
      <c r="V1157">
        <v>0</v>
      </c>
      <c r="W1157">
        <v>0</v>
      </c>
      <c r="X1157" t="s">
        <v>8</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551</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459</v>
      </c>
      <c r="V1158">
        <v>0</v>
      </c>
      <c r="W1158">
        <v>0</v>
      </c>
      <c r="X1158" t="s">
        <v>8</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551</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459</v>
      </c>
      <c r="V1159">
        <v>0</v>
      </c>
      <c r="W1159">
        <v>0</v>
      </c>
      <c r="X1159" t="s">
        <v>8</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551</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459</v>
      </c>
      <c r="V1160">
        <v>0</v>
      </c>
      <c r="W1160">
        <v>0</v>
      </c>
      <c r="X1160" t="s">
        <v>8</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551</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459</v>
      </c>
      <c r="V1161">
        <v>0</v>
      </c>
      <c r="W1161">
        <v>0</v>
      </c>
      <c r="X1161" t="s">
        <v>8</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551</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459</v>
      </c>
      <c r="V1162">
        <v>0</v>
      </c>
      <c r="W1162">
        <v>0</v>
      </c>
      <c r="X1162" t="s">
        <v>8</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551</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459</v>
      </c>
      <c r="V1163">
        <v>0</v>
      </c>
      <c r="W1163">
        <v>0</v>
      </c>
      <c r="X1163" t="s">
        <v>8</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551</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459</v>
      </c>
      <c r="V1164">
        <v>0</v>
      </c>
      <c r="W1164">
        <v>0</v>
      </c>
      <c r="X1164" t="s">
        <v>8</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551</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459</v>
      </c>
      <c r="V1165">
        <v>0</v>
      </c>
      <c r="W1165">
        <v>30000</v>
      </c>
      <c r="X1165" t="s">
        <v>205</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551</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459</v>
      </c>
      <c r="V1166">
        <v>0</v>
      </c>
      <c r="W1166">
        <v>0</v>
      </c>
      <c r="X1166" t="s">
        <v>8</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551</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459</v>
      </c>
      <c r="V1167">
        <v>0</v>
      </c>
      <c r="W1167">
        <v>0</v>
      </c>
      <c r="X1167" t="s">
        <v>8</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551</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459</v>
      </c>
      <c r="V1168">
        <v>0</v>
      </c>
      <c r="W1168">
        <v>0</v>
      </c>
      <c r="X1168" t="s">
        <v>8</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551</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459</v>
      </c>
      <c r="V1169">
        <v>0</v>
      </c>
      <c r="W1169">
        <v>0</v>
      </c>
      <c r="X1169" t="s">
        <v>8</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551</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459</v>
      </c>
      <c r="V1170">
        <v>0</v>
      </c>
      <c r="W1170">
        <v>0</v>
      </c>
      <c r="X1170" t="s">
        <v>8</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551</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459</v>
      </c>
      <c r="V1171">
        <v>0</v>
      </c>
      <c r="W1171">
        <v>0</v>
      </c>
      <c r="X1171" t="s">
        <v>8</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551</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459</v>
      </c>
      <c r="V1172">
        <v>0</v>
      </c>
      <c r="W1172">
        <v>0</v>
      </c>
      <c r="X1172" t="s">
        <v>8</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551</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459</v>
      </c>
      <c r="V1173">
        <v>0</v>
      </c>
      <c r="W1173">
        <v>0</v>
      </c>
      <c r="X1173" t="s">
        <v>8</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551</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459</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551</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459</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551</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459</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2748</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459</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2748</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459</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2748</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459</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2748</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459</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2748</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459</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2748</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459</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2748</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459</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2748</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459</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2748</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459</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2748</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459</v>
      </c>
      <c r="V1186">
        <v>0</v>
      </c>
      <c r="W1186">
        <v>0</v>
      </c>
      <c r="X1186" t="s">
        <v>8</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2748</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459</v>
      </c>
      <c r="V1187">
        <v>0</v>
      </c>
      <c r="W1187">
        <v>31000</v>
      </c>
      <c r="X1187" t="s">
        <v>205</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2748</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459</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2748</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459</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2748</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459</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2748</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459</v>
      </c>
      <c r="V1191">
        <v>0</v>
      </c>
      <c r="W1191">
        <v>28000</v>
      </c>
      <c r="X1191" t="s">
        <v>205</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2748</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459</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2748</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459</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2748</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459</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2748</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459</v>
      </c>
      <c r="V1195">
        <v>0</v>
      </c>
      <c r="W1195">
        <v>0</v>
      </c>
      <c r="X1195" t="s">
        <v>8</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2748</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459</v>
      </c>
      <c r="V1196">
        <v>0</v>
      </c>
      <c r="W1196">
        <v>26000</v>
      </c>
      <c r="X1196" t="s">
        <v>205</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2748</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459</v>
      </c>
      <c r="V1197">
        <v>0</v>
      </c>
      <c r="W1197">
        <v>31000</v>
      </c>
      <c r="X1197" t="s">
        <v>205</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2748</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459</v>
      </c>
      <c r="V1198">
        <v>0</v>
      </c>
      <c r="W1198">
        <v>45000</v>
      </c>
      <c r="X1198" t="s">
        <v>205</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2748</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459</v>
      </c>
      <c r="V1199">
        <v>0</v>
      </c>
      <c r="W1199">
        <v>0</v>
      </c>
      <c r="X1199" t="s">
        <v>8</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2748</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459</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2748</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459</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2748</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459</v>
      </c>
      <c r="V1202">
        <v>0</v>
      </c>
      <c r="W1202">
        <v>33000</v>
      </c>
      <c r="X1202" t="s">
        <v>205</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2748</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459</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2748</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459</v>
      </c>
      <c r="V1204">
        <v>0</v>
      </c>
      <c r="W1204">
        <v>33000</v>
      </c>
      <c r="X1204" t="s">
        <v>205</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2748</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459</v>
      </c>
      <c r="V1205">
        <v>0</v>
      </c>
      <c r="W1205">
        <v>0</v>
      </c>
      <c r="X1205" t="s">
        <v>8</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2748</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459</v>
      </c>
      <c r="V1206">
        <v>0</v>
      </c>
      <c r="W1206">
        <v>0</v>
      </c>
      <c r="X1206" t="s">
        <v>8</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2748</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459</v>
      </c>
      <c r="V1207">
        <v>0</v>
      </c>
      <c r="W1207">
        <v>0</v>
      </c>
      <c r="X1207" t="s">
        <v>8</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2748</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459</v>
      </c>
      <c r="V1208">
        <v>0</v>
      </c>
      <c r="W1208">
        <v>0</v>
      </c>
      <c r="X1208" t="s">
        <v>8</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2748</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459</v>
      </c>
      <c r="V1209">
        <v>0</v>
      </c>
      <c r="W1209">
        <v>0</v>
      </c>
      <c r="X1209" t="s">
        <v>8</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2748</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459</v>
      </c>
      <c r="V1210">
        <v>0</v>
      </c>
      <c r="W1210">
        <v>0</v>
      </c>
      <c r="X1210" t="s">
        <v>8</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2748</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459</v>
      </c>
      <c r="V1211">
        <v>0</v>
      </c>
      <c r="W1211">
        <v>0</v>
      </c>
      <c r="X1211" t="s">
        <v>8</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2748</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459</v>
      </c>
      <c r="V1212">
        <v>0</v>
      </c>
      <c r="W1212">
        <v>0</v>
      </c>
      <c r="X1212" t="s">
        <v>8</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2748</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459</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2748</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459</v>
      </c>
      <c r="V1214">
        <v>0</v>
      </c>
      <c r="W1214">
        <v>0</v>
      </c>
      <c r="X1214" t="s">
        <v>8</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2748</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459</v>
      </c>
      <c r="V1215">
        <v>0</v>
      </c>
      <c r="W1215">
        <v>32000</v>
      </c>
      <c r="X1215" t="s">
        <v>205</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2748</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459</v>
      </c>
      <c r="V1216">
        <v>0</v>
      </c>
      <c r="W1216">
        <v>32000</v>
      </c>
      <c r="X1216" t="s">
        <v>205</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2748</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459</v>
      </c>
      <c r="V1217">
        <v>0</v>
      </c>
      <c r="W1217">
        <v>0</v>
      </c>
      <c r="X1217" t="s">
        <v>8</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2748</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459</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2748</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459</v>
      </c>
      <c r="V1219">
        <v>0</v>
      </c>
      <c r="W1219">
        <v>0</v>
      </c>
      <c r="X1219" t="s">
        <v>8</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2748</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459</v>
      </c>
      <c r="V1220">
        <v>0</v>
      </c>
      <c r="W1220">
        <v>0</v>
      </c>
      <c r="X1220" t="s">
        <v>8</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2748</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459</v>
      </c>
      <c r="V1221">
        <v>0</v>
      </c>
      <c r="W1221">
        <v>0</v>
      </c>
      <c r="X1221" t="s">
        <v>8</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2748</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459</v>
      </c>
      <c r="V1222">
        <v>0</v>
      </c>
      <c r="W1222">
        <v>28000</v>
      </c>
      <c r="X1222" t="s">
        <v>205</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2748</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459</v>
      </c>
      <c r="V1223">
        <v>0</v>
      </c>
      <c r="W1223">
        <v>0</v>
      </c>
      <c r="X1223" t="s">
        <v>8</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2748</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459</v>
      </c>
      <c r="V1224">
        <v>0</v>
      </c>
      <c r="W1224">
        <v>45000</v>
      </c>
      <c r="X1224" t="s">
        <v>205</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2748</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459</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2748</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459</v>
      </c>
      <c r="V1226">
        <v>0</v>
      </c>
      <c r="W1226">
        <v>0</v>
      </c>
      <c r="X1226" t="s">
        <v>8</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2748</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459</v>
      </c>
      <c r="V1227">
        <v>0</v>
      </c>
      <c r="W1227">
        <v>0</v>
      </c>
      <c r="X1227" t="s">
        <v>8</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2748</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459</v>
      </c>
      <c r="V1228">
        <v>0</v>
      </c>
      <c r="W1228">
        <v>30000</v>
      </c>
      <c r="X1228" t="s">
        <v>205</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2748</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459</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2748</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459</v>
      </c>
      <c r="V1230">
        <v>0</v>
      </c>
      <c r="W1230">
        <v>31000</v>
      </c>
      <c r="X1230" t="s">
        <v>205</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2748</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459</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2748</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459</v>
      </c>
      <c r="V1232">
        <v>0</v>
      </c>
      <c r="W1232">
        <v>0</v>
      </c>
      <c r="X1232" t="s">
        <v>8</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2748</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459</v>
      </c>
      <c r="V1233">
        <v>0</v>
      </c>
      <c r="W1233">
        <v>30000</v>
      </c>
      <c r="X1233" t="s">
        <v>205</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2748</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459</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2748</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459</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2748</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459</v>
      </c>
      <c r="V1236">
        <v>0</v>
      </c>
      <c r="W1236">
        <v>0</v>
      </c>
      <c r="X1236" t="s">
        <v>8</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2748</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459</v>
      </c>
      <c r="V1237">
        <v>0</v>
      </c>
      <c r="W1237">
        <v>0</v>
      </c>
      <c r="X1237" t="s">
        <v>8</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2748</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459</v>
      </c>
      <c r="V1238">
        <v>0</v>
      </c>
      <c r="W1238">
        <v>30000</v>
      </c>
      <c r="X1238" t="s">
        <v>205</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2748</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459</v>
      </c>
      <c r="V1239">
        <v>0</v>
      </c>
      <c r="W1239">
        <v>32000</v>
      </c>
      <c r="X1239" t="s">
        <v>205</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2748</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459</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2748</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459</v>
      </c>
      <c r="V1241">
        <v>0</v>
      </c>
      <c r="W1241">
        <v>0</v>
      </c>
      <c r="X1241" t="s">
        <v>8</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2748</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459</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2748</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459</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2748</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459</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2748</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459</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2748</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459</v>
      </c>
      <c r="V1246">
        <v>0</v>
      </c>
      <c r="W1246">
        <v>0</v>
      </c>
      <c r="X1246" t="s">
        <v>8</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2748</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459</v>
      </c>
      <c r="V1247">
        <v>0</v>
      </c>
      <c r="W1247">
        <v>0</v>
      </c>
      <c r="X1247" t="s">
        <v>8</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2748</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459</v>
      </c>
      <c r="V1248">
        <v>0</v>
      </c>
      <c r="W1248">
        <v>0</v>
      </c>
      <c r="X1248" t="s">
        <v>8</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2748</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459</v>
      </c>
      <c r="V1249">
        <v>0</v>
      </c>
      <c r="W1249">
        <v>26000</v>
      </c>
      <c r="X1249" t="s">
        <v>205</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2748</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459</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2748</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459</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2748</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459</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2748</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459</v>
      </c>
      <c r="V1253">
        <v>0</v>
      </c>
      <c r="W1253">
        <v>0</v>
      </c>
      <c r="X1253" t="s">
        <v>8</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2748</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459</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2748</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459</v>
      </c>
      <c r="V1255">
        <v>0</v>
      </c>
      <c r="W1255">
        <v>0</v>
      </c>
      <c r="X1255" t="s">
        <v>8</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2748</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459</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2748</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459</v>
      </c>
      <c r="V1257">
        <v>0</v>
      </c>
      <c r="W1257">
        <v>50000</v>
      </c>
      <c r="X1257" t="s">
        <v>205</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2748</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459</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2748</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459</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2748</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459</v>
      </c>
      <c r="V1260">
        <v>0</v>
      </c>
      <c r="W1260">
        <v>0</v>
      </c>
      <c r="X1260" t="s">
        <v>8</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2748</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459</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2748</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459</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2748</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459</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2748</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459</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2748</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459</v>
      </c>
      <c r="V1265">
        <v>0</v>
      </c>
      <c r="W1265">
        <v>0</v>
      </c>
      <c r="X1265" t="s">
        <v>8</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2748</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459</v>
      </c>
      <c r="V1266">
        <v>0</v>
      </c>
      <c r="W1266">
        <v>40000</v>
      </c>
      <c r="X1266" t="s">
        <v>205</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2748</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459</v>
      </c>
      <c r="V1267">
        <v>0</v>
      </c>
      <c r="W1267">
        <v>62000</v>
      </c>
      <c r="X1267" t="s">
        <v>205</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2748</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459</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2748</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459</v>
      </c>
      <c r="V1269">
        <v>0</v>
      </c>
      <c r="W1269">
        <v>0</v>
      </c>
      <c r="X1269" t="s">
        <v>8</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2748</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459</v>
      </c>
      <c r="V1270">
        <v>0</v>
      </c>
      <c r="W1270">
        <v>0</v>
      </c>
      <c r="X1270" t="s">
        <v>8</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2748</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459</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2748</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459</v>
      </c>
      <c r="V1272">
        <v>0</v>
      </c>
      <c r="W1272">
        <v>35000</v>
      </c>
      <c r="X1272" t="s">
        <v>205</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2748</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459</v>
      </c>
      <c r="V1273">
        <v>0</v>
      </c>
      <c r="W1273">
        <v>32000</v>
      </c>
      <c r="X1273" t="s">
        <v>205</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2748</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459</v>
      </c>
      <c r="V1274">
        <v>0</v>
      </c>
      <c r="W1274">
        <v>0</v>
      </c>
      <c r="X1274" t="s">
        <v>8</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2748</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459</v>
      </c>
      <c r="V1275">
        <v>0</v>
      </c>
      <c r="W1275">
        <v>0</v>
      </c>
      <c r="X1275" t="s">
        <v>8</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2748</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459</v>
      </c>
      <c r="V1276">
        <v>0</v>
      </c>
      <c r="W1276">
        <v>28000</v>
      </c>
      <c r="X1276" t="s">
        <v>205</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2748</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459</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2748</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459</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2748</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459</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2748</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459</v>
      </c>
      <c r="V1280">
        <v>0</v>
      </c>
      <c r="W1280">
        <v>0</v>
      </c>
      <c r="X1280" t="s">
        <v>8</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2748</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459</v>
      </c>
      <c r="V1281">
        <v>0</v>
      </c>
      <c r="W1281">
        <v>0</v>
      </c>
      <c r="X1281" t="s">
        <v>8</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2748</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459</v>
      </c>
      <c r="V1282">
        <v>0</v>
      </c>
      <c r="W1282">
        <v>37000</v>
      </c>
      <c r="X1282" t="s">
        <v>205</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2748</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459</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2748</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459</v>
      </c>
      <c r="V1284">
        <v>0</v>
      </c>
      <c r="W1284">
        <v>0</v>
      </c>
      <c r="X1284" t="s">
        <v>8</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2748</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459</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2748</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459</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2748</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459</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2748</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461</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2748</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461</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2748</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461</v>
      </c>
      <c r="V1290">
        <v>0</v>
      </c>
      <c r="W1290">
        <v>0</v>
      </c>
      <c r="X1290" t="s">
        <v>8</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2748</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461</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2748</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461</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2748</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461</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2748</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461</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2748</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461</v>
      </c>
      <c r="V1295">
        <v>0</v>
      </c>
      <c r="W1295">
        <v>0</v>
      </c>
      <c r="X1295" t="s">
        <v>8</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2748</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461</v>
      </c>
      <c r="V1296">
        <v>0</v>
      </c>
      <c r="W1296">
        <v>30000</v>
      </c>
      <c r="X1296" t="s">
        <v>205</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2748</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461</v>
      </c>
      <c r="V1297">
        <v>0</v>
      </c>
      <c r="W1297">
        <v>0</v>
      </c>
      <c r="X1297" t="s">
        <v>8</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2748</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461</v>
      </c>
      <c r="V1298">
        <v>0</v>
      </c>
      <c r="W1298">
        <v>35000</v>
      </c>
      <c r="X1298" t="s">
        <v>205</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2748</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461</v>
      </c>
      <c r="V1299">
        <v>0</v>
      </c>
      <c r="W1299">
        <v>24000</v>
      </c>
      <c r="X1299" t="s">
        <v>205</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2748</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461</v>
      </c>
      <c r="V1300">
        <v>0</v>
      </c>
      <c r="W1300">
        <v>0</v>
      </c>
      <c r="X1300" t="s">
        <v>8</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2748</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461</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2748</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461</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2748</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462</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2748</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462</v>
      </c>
      <c r="V1304">
        <v>0</v>
      </c>
      <c r="W1304">
        <v>0</v>
      </c>
      <c r="X1304" t="s">
        <v>8</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2748</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462</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2748</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462</v>
      </c>
      <c r="V1306">
        <v>0</v>
      </c>
      <c r="W1306">
        <v>0</v>
      </c>
      <c r="X1306" t="s">
        <v>8</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2748</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462</v>
      </c>
      <c r="V1307">
        <v>0</v>
      </c>
      <c r="W1307">
        <v>0</v>
      </c>
      <c r="X1307" t="s">
        <v>8</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2748</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462</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2748</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462</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2748</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462</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2748</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462</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2748</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462</v>
      </c>
      <c r="V1312">
        <v>0</v>
      </c>
      <c r="W1312">
        <v>0</v>
      </c>
      <c r="X1312" t="s">
        <v>8</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2748</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462</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2748</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462</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2748</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462</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2748</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462</v>
      </c>
      <c r="V1316">
        <v>0</v>
      </c>
      <c r="W1316">
        <v>0</v>
      </c>
      <c r="X1316" t="s">
        <v>8</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2748</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462</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2748</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462</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2748</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462</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2748</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462</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2748</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462</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2748</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462</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2748</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462</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2748</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462</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2748</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462</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2748</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462</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2748</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462</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2748</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462</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2748</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462</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2748</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462</v>
      </c>
      <c r="V1330">
        <v>0</v>
      </c>
      <c r="W1330">
        <v>0</v>
      </c>
      <c r="X1330" t="s">
        <v>8</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2748</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462</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2748</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462</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2748</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462</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2748</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462</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2748</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462</v>
      </c>
      <c r="V1335">
        <v>0</v>
      </c>
      <c r="W1335">
        <v>30000</v>
      </c>
      <c r="X1335" t="s">
        <v>205</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2748</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462</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2748</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462</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2748</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462</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2748</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462</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2748</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462</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2748</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462</v>
      </c>
      <c r="V1341">
        <v>0</v>
      </c>
      <c r="W1341">
        <v>0</v>
      </c>
      <c r="X1341" t="s">
        <v>8</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2748</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462</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2748</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462</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2748</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462</v>
      </c>
      <c r="V1344">
        <v>0</v>
      </c>
      <c r="W1344">
        <v>0</v>
      </c>
      <c r="X1344" t="s">
        <v>8</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2748</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462</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2748</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276</v>
      </c>
      <c r="V1346">
        <v>0</v>
      </c>
      <c r="W1346">
        <v>30000</v>
      </c>
      <c r="X1346" t="s">
        <v>205</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2748</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276</v>
      </c>
      <c r="V1347">
        <v>0</v>
      </c>
      <c r="W1347">
        <v>40000</v>
      </c>
      <c r="X1347" t="s">
        <v>205</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2748</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276</v>
      </c>
      <c r="V1348">
        <v>0</v>
      </c>
      <c r="W1348">
        <v>40000</v>
      </c>
      <c r="X1348" t="s">
        <v>205</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2748</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276</v>
      </c>
      <c r="V1349">
        <v>0</v>
      </c>
      <c r="W1349">
        <v>42000</v>
      </c>
      <c r="X1349" t="s">
        <v>205</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2748</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276</v>
      </c>
      <c r="V1350">
        <v>0</v>
      </c>
      <c r="W1350">
        <v>42000</v>
      </c>
      <c r="X1350" t="s">
        <v>205</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2748</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278</v>
      </c>
      <c r="V1351">
        <v>0</v>
      </c>
      <c r="W1351">
        <v>55000</v>
      </c>
      <c r="X1351" t="s">
        <v>205</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2748</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278</v>
      </c>
      <c r="V1352">
        <v>22000</v>
      </c>
      <c r="W1352">
        <v>0</v>
      </c>
      <c r="X1352" t="s">
        <v>205</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2748</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278</v>
      </c>
      <c r="V1353">
        <v>0</v>
      </c>
      <c r="W1353">
        <v>29000</v>
      </c>
      <c r="X1353" t="s">
        <v>205</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2748</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278</v>
      </c>
      <c r="V1354">
        <v>0</v>
      </c>
      <c r="W1354">
        <v>55000</v>
      </c>
      <c r="X1354" t="s">
        <v>205</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2748</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278</v>
      </c>
      <c r="V1355">
        <v>0</v>
      </c>
      <c r="W1355">
        <v>0</v>
      </c>
      <c r="X1355" t="s">
        <v>8</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2748</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278</v>
      </c>
      <c r="V1356">
        <v>14000</v>
      </c>
      <c r="W1356">
        <v>0</v>
      </c>
      <c r="X1356" t="s">
        <v>205</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2748</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278</v>
      </c>
      <c r="V1357">
        <v>0</v>
      </c>
      <c r="W1357">
        <v>45000</v>
      </c>
      <c r="X1357" t="s">
        <v>205</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2748</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278</v>
      </c>
      <c r="V1358">
        <v>20000</v>
      </c>
      <c r="W1358">
        <v>0</v>
      </c>
      <c r="X1358" t="s">
        <v>205</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2748</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278</v>
      </c>
      <c r="V1359">
        <v>25000</v>
      </c>
      <c r="W1359">
        <v>0</v>
      </c>
      <c r="X1359" t="s">
        <v>205</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2748</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278</v>
      </c>
      <c r="V1360">
        <v>25000</v>
      </c>
      <c r="W1360">
        <v>0</v>
      </c>
      <c r="X1360" t="s">
        <v>205</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2748</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278</v>
      </c>
      <c r="V1361">
        <v>0</v>
      </c>
      <c r="W1361">
        <v>0</v>
      </c>
      <c r="X1361" t="s">
        <v>8</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2748</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278</v>
      </c>
      <c r="V1362">
        <v>0</v>
      </c>
      <c r="W1362">
        <v>45000</v>
      </c>
      <c r="X1362" t="s">
        <v>205</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2748</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278</v>
      </c>
      <c r="V1363">
        <v>0</v>
      </c>
      <c r="W1363">
        <v>0</v>
      </c>
      <c r="X1363" t="s">
        <v>8</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2748</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278</v>
      </c>
      <c r="V1364">
        <v>0</v>
      </c>
      <c r="W1364">
        <v>35000</v>
      </c>
      <c r="X1364" t="s">
        <v>205</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2748</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278</v>
      </c>
      <c r="V1365">
        <v>0</v>
      </c>
      <c r="W1365">
        <v>49000</v>
      </c>
      <c r="X1365" t="s">
        <v>205</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2748</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278</v>
      </c>
      <c r="V1366">
        <v>26000</v>
      </c>
      <c r="W1366">
        <v>0</v>
      </c>
      <c r="X1366" t="s">
        <v>205</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2748</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278</v>
      </c>
      <c r="V1367">
        <v>30000</v>
      </c>
      <c r="W1367">
        <v>0</v>
      </c>
      <c r="X1367" t="s">
        <v>205</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2748</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278</v>
      </c>
      <c r="V1368">
        <v>14000</v>
      </c>
      <c r="W1368">
        <v>0</v>
      </c>
      <c r="X1368" t="s">
        <v>205</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2748</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278</v>
      </c>
      <c r="V1369">
        <v>24000</v>
      </c>
      <c r="W1369">
        <v>0</v>
      </c>
      <c r="X1369" t="s">
        <v>205</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2748</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278</v>
      </c>
      <c r="V1370">
        <v>0</v>
      </c>
      <c r="W1370">
        <v>25000</v>
      </c>
      <c r="X1370" t="s">
        <v>205</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2748</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278</v>
      </c>
      <c r="V1371">
        <v>0</v>
      </c>
      <c r="W1371">
        <v>0</v>
      </c>
      <c r="X1371" t="s">
        <v>8</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2748</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278</v>
      </c>
      <c r="V1372">
        <v>0</v>
      </c>
      <c r="W1372">
        <v>25000</v>
      </c>
      <c r="X1372" t="s">
        <v>205</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2748</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280</v>
      </c>
      <c r="V1373">
        <v>0</v>
      </c>
      <c r="W1373">
        <v>0</v>
      </c>
      <c r="X1373" t="s">
        <v>8</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2748</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280</v>
      </c>
      <c r="V1374">
        <v>0</v>
      </c>
      <c r="W1374">
        <v>0</v>
      </c>
      <c r="X1374" t="s">
        <v>8</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2748</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280</v>
      </c>
      <c r="V1375">
        <v>0</v>
      </c>
      <c r="W1375">
        <v>0</v>
      </c>
      <c r="X1375" t="s">
        <v>8</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2748</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280</v>
      </c>
      <c r="V1376">
        <v>0</v>
      </c>
      <c r="W1376">
        <v>0</v>
      </c>
      <c r="X1376" t="s">
        <v>8</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2748</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280</v>
      </c>
      <c r="V1377">
        <v>0</v>
      </c>
      <c r="W1377">
        <v>0</v>
      </c>
      <c r="X1377" t="s">
        <v>8</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417</v>
      </c>
      <c r="F1378">
        <v>0</v>
      </c>
      <c r="G1378">
        <v>6000</v>
      </c>
      <c r="H1378" t="s">
        <v>205</v>
      </c>
      <c r="I1378" s="75" t="str">
        <f ca="1">IF(Table7[[#This Row],[Type]]="KILL",IF(_xlfn.NUMBERVALUE(RIGHT(Table7[[#This Row],[Min]],LEN(Table7[[#This Row],[Min]])-FIND("-",Table7[[#This Row],[Min]])))&gt;INDIRECT(ADDRESS(11+MATCH(LEFT(Table7[[#This Row],[Min]],FIND("-",Table7[[#This Row],[Min]])-1),Table1[Content Sku],0),14,1,1,"Entities")),"review","ok"),"ok")</f>
        <v>ok</v>
      </c>
      <c r="U1378" t="s">
        <v>280</v>
      </c>
      <c r="V1378">
        <v>0</v>
      </c>
      <c r="W1378">
        <v>0</v>
      </c>
      <c r="X1378" t="s">
        <v>8</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417</v>
      </c>
      <c r="F1379">
        <v>0</v>
      </c>
      <c r="G1379">
        <v>20000</v>
      </c>
      <c r="H1379" t="s">
        <v>205</v>
      </c>
      <c r="I1379" s="75" t="str">
        <f ca="1">IF(Table7[[#This Row],[Type]]="KILL",IF(_xlfn.NUMBERVALUE(RIGHT(Table7[[#This Row],[Min]],LEN(Table7[[#This Row],[Min]])-FIND("-",Table7[[#This Row],[Min]])))&gt;INDIRECT(ADDRESS(11+MATCH(LEFT(Table7[[#This Row],[Min]],FIND("-",Table7[[#This Row],[Min]])-1),Table1[Content Sku],0),14,1,1,"Entities")),"review","ok"),"ok")</f>
        <v>ok</v>
      </c>
      <c r="U1379" t="s">
        <v>280</v>
      </c>
      <c r="V1379">
        <v>0</v>
      </c>
      <c r="W1379">
        <v>0</v>
      </c>
      <c r="X1379" t="s">
        <v>8</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417</v>
      </c>
      <c r="F1380">
        <v>0</v>
      </c>
      <c r="G1380">
        <v>0</v>
      </c>
      <c r="H1380" t="s">
        <v>8</v>
      </c>
      <c r="I1380" s="75" t="str">
        <f ca="1">IF(Table7[[#This Row],[Type]]="KILL",IF(_xlfn.NUMBERVALUE(RIGHT(Table7[[#This Row],[Min]],LEN(Table7[[#This Row],[Min]])-FIND("-",Table7[[#This Row],[Min]])))&gt;INDIRECT(ADDRESS(11+MATCH(LEFT(Table7[[#This Row],[Min]],FIND("-",Table7[[#This Row],[Min]])-1),Table1[Content Sku],0),14,1,1,"Entities")),"review","ok"),"ok")</f>
        <v>ok</v>
      </c>
      <c r="U1380" t="s">
        <v>280</v>
      </c>
      <c r="V1380">
        <v>35000</v>
      </c>
      <c r="W1380">
        <v>0</v>
      </c>
      <c r="X1380" t="s">
        <v>205</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417</v>
      </c>
      <c r="F1381">
        <v>0</v>
      </c>
      <c r="G1381">
        <v>15000</v>
      </c>
      <c r="H1381" t="s">
        <v>205</v>
      </c>
      <c r="I1381" s="75" t="str">
        <f ca="1">IF(Table7[[#This Row],[Type]]="KILL",IF(_xlfn.NUMBERVALUE(RIGHT(Table7[[#This Row],[Min]],LEN(Table7[[#This Row],[Min]])-FIND("-",Table7[[#This Row],[Min]])))&gt;INDIRECT(ADDRESS(11+MATCH(LEFT(Table7[[#This Row],[Min]],FIND("-",Table7[[#This Row],[Min]])-1),Table1[Content Sku],0),14,1,1,"Entities")),"review","ok"),"ok")</f>
        <v>ok</v>
      </c>
      <c r="U1381" t="s">
        <v>280</v>
      </c>
      <c r="V1381">
        <v>0</v>
      </c>
      <c r="W1381">
        <v>0</v>
      </c>
      <c r="X1381" t="s">
        <v>8</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417</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280</v>
      </c>
      <c r="V1382">
        <v>0</v>
      </c>
      <c r="W1382">
        <v>0</v>
      </c>
      <c r="X1382" t="s">
        <v>8</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137</v>
      </c>
      <c r="F1383">
        <v>0</v>
      </c>
      <c r="G1383">
        <v>0</v>
      </c>
      <c r="H1383" t="s">
        <v>8</v>
      </c>
      <c r="I1383" s="75" t="str">
        <f ca="1">IF(Table7[[#This Row],[Type]]="KILL",IF(_xlfn.NUMBERVALUE(RIGHT(Table7[[#This Row],[Min]],LEN(Table7[[#This Row],[Min]])-FIND("-",Table7[[#This Row],[Min]])))&gt;INDIRECT(ADDRESS(11+MATCH(LEFT(Table7[[#This Row],[Min]],FIND("-",Table7[[#This Row],[Min]])-1),Table1[Content Sku],0),14,1,1,"Entities")),"review","ok"),"ok")</f>
        <v>ok</v>
      </c>
      <c r="U1383" t="s">
        <v>280</v>
      </c>
      <c r="V1383">
        <v>0</v>
      </c>
      <c r="W1383">
        <v>45000</v>
      </c>
      <c r="X1383" t="s">
        <v>205</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137</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280</v>
      </c>
      <c r="V1384">
        <v>0</v>
      </c>
      <c r="W1384">
        <v>0</v>
      </c>
      <c r="X1384" t="s">
        <v>8</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137</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280</v>
      </c>
      <c r="V1385">
        <v>35000</v>
      </c>
      <c r="W1385">
        <v>0</v>
      </c>
      <c r="X1385" t="s">
        <v>205</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137</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280</v>
      </c>
      <c r="V1386">
        <v>0</v>
      </c>
      <c r="W1386">
        <v>0</v>
      </c>
      <c r="X1386" t="s">
        <v>8</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137</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280</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137</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280</v>
      </c>
      <c r="V1388">
        <v>0</v>
      </c>
      <c r="W1388">
        <v>0</v>
      </c>
      <c r="X1388" t="s">
        <v>8</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45</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280</v>
      </c>
      <c r="V1389">
        <v>0</v>
      </c>
      <c r="W1389">
        <v>0</v>
      </c>
      <c r="X1389" t="s">
        <v>8</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45</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280</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6500</v>
      </c>
      <c r="G1391">
        <v>0</v>
      </c>
      <c r="H1391" t="s">
        <v>205</v>
      </c>
      <c r="I1391" s="75" t="str">
        <f ca="1">IF(Table7[[#This Row],[Type]]="KILL",IF(_xlfn.NUMBERVALUE(RIGHT(Table7[[#This Row],[Min]],LEN(Table7[[#This Row],[Min]])-FIND("-",Table7[[#This Row],[Min]])))&gt;INDIRECT(ADDRESS(11+MATCH(LEFT(Table7[[#This Row],[Min]],FIND("-",Table7[[#This Row],[Min]])-1),Table1[Content Sku],0),14,1,1,"Entities")),"review","ok"),"ok")</f>
        <v>ok</v>
      </c>
      <c r="U1391" t="s">
        <v>280</v>
      </c>
      <c r="V1391">
        <v>0</v>
      </c>
      <c r="W1391">
        <v>0</v>
      </c>
      <c r="X1391" t="s">
        <v>8</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280</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5" t="str">
        <f ca="1">IF(Table7[[#This Row],[Type]]="KILL",IF(_xlfn.NUMBERVALUE(RIGHT(Table7[[#This Row],[Min]],LEN(Table7[[#This Row],[Min]])-FIND("-",Table7[[#This Row],[Min]])))&gt;INDIRECT(ADDRESS(11+MATCH(LEFT(Table7[[#This Row],[Min]],FIND("-",Table7[[#This Row],[Min]])-1),Table1[Content Sku],0),14,1,1,"Entities")),"review","ok"),"ok")</f>
        <v>ok</v>
      </c>
      <c r="U1393" t="s">
        <v>280</v>
      </c>
      <c r="V1393">
        <v>0</v>
      </c>
      <c r="W1393">
        <v>0</v>
      </c>
      <c r="X1393" t="s">
        <v>8</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10000</v>
      </c>
      <c r="G1394">
        <v>0</v>
      </c>
      <c r="H1394" t="s">
        <v>205</v>
      </c>
      <c r="I1394" s="75" t="str">
        <f ca="1">IF(Table7[[#This Row],[Type]]="KILL",IF(_xlfn.NUMBERVALUE(RIGHT(Table7[[#This Row],[Min]],LEN(Table7[[#This Row],[Min]])-FIND("-",Table7[[#This Row],[Min]])))&gt;INDIRECT(ADDRESS(11+MATCH(LEFT(Table7[[#This Row],[Min]],FIND("-",Table7[[#This Row],[Min]])-1),Table1[Content Sku],0),14,1,1,"Entities")),"review","ok"),"ok")</f>
        <v>ok</v>
      </c>
      <c r="U1394" t="s">
        <v>280</v>
      </c>
      <c r="V1394">
        <v>0</v>
      </c>
      <c r="W1394">
        <v>0</v>
      </c>
      <c r="X1394" t="s">
        <v>8</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280</v>
      </c>
      <c r="V1395">
        <v>0</v>
      </c>
      <c r="W1395">
        <v>0</v>
      </c>
      <c r="X1395" t="s">
        <v>8</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0</v>
      </c>
      <c r="G1396">
        <v>0</v>
      </c>
      <c r="H1396" t="s">
        <v>8</v>
      </c>
      <c r="I1396" s="75" t="str">
        <f ca="1">IF(Table7[[#This Row],[Type]]="KILL",IF(_xlfn.NUMBERVALUE(RIGHT(Table7[[#This Row],[Min]],LEN(Table7[[#This Row],[Min]])-FIND("-",Table7[[#This Row],[Min]])))&gt;INDIRECT(ADDRESS(11+MATCH(LEFT(Table7[[#This Row],[Min]],FIND("-",Table7[[#This Row],[Min]])-1),Table1[Content Sku],0),14,1,1,"Entities")),"review","ok"),"ok")</f>
        <v>ok</v>
      </c>
      <c r="U1396" t="s">
        <v>280</v>
      </c>
      <c r="V1396">
        <v>35000</v>
      </c>
      <c r="W1396">
        <v>0</v>
      </c>
      <c r="X1396" t="s">
        <v>205</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8000</v>
      </c>
      <c r="G1397">
        <v>0</v>
      </c>
      <c r="H1397" t="s">
        <v>205</v>
      </c>
      <c r="I1397" s="75" t="str">
        <f ca="1">IF(Table7[[#This Row],[Type]]="KILL",IF(_xlfn.NUMBERVALUE(RIGHT(Table7[[#This Row],[Min]],LEN(Table7[[#This Row],[Min]])-FIND("-",Table7[[#This Row],[Min]])))&gt;INDIRECT(ADDRESS(11+MATCH(LEFT(Table7[[#This Row],[Min]],FIND("-",Table7[[#This Row],[Min]])-1),Table1[Content Sku],0),14,1,1,"Entities")),"review","ok"),"ok")</f>
        <v>ok</v>
      </c>
      <c r="U1397" t="s">
        <v>280</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280</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0</v>
      </c>
      <c r="G1399">
        <v>0</v>
      </c>
      <c r="H1399" t="s">
        <v>8</v>
      </c>
      <c r="I1399" s="75" t="str">
        <f ca="1">IF(Table7[[#This Row],[Type]]="KILL",IF(_xlfn.NUMBERVALUE(RIGHT(Table7[[#This Row],[Min]],LEN(Table7[[#This Row],[Min]])-FIND("-",Table7[[#This Row],[Min]])))&gt;INDIRECT(ADDRESS(11+MATCH(LEFT(Table7[[#This Row],[Min]],FIND("-",Table7[[#This Row],[Min]])-1),Table1[Content Sku],0),14,1,1,"Entities")),"review","ok"),"ok")</f>
        <v>ok</v>
      </c>
      <c r="U1399" t="s">
        <v>280</v>
      </c>
      <c r="V1399">
        <v>0</v>
      </c>
      <c r="W1399">
        <v>0</v>
      </c>
      <c r="X1399" t="s">
        <v>8</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t="s">
        <v>5232</v>
      </c>
      <c r="G1400" t="s">
        <v>4477</v>
      </c>
      <c r="H1400" t="s">
        <v>4478</v>
      </c>
      <c r="I1400" s="75" t="str">
        <f ca="1">IF(Table7[[#This Row],[Type]]="KILL",IF(_xlfn.NUMBERVALUE(RIGHT(Table7[[#This Row],[Min]],LEN(Table7[[#This Row],[Min]])-FIND("-",Table7[[#This Row],[Min]])))&gt;INDIRECT(ADDRESS(11+MATCH(LEFT(Table7[[#This Row],[Min]],FIND("-",Table7[[#This Row],[Min]])-1),Table1[Content Sku],0),14,1,1,"Entities")),"review","ok"),"ok")</f>
        <v>ok</v>
      </c>
      <c r="U1400" t="s">
        <v>280</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283</v>
      </c>
      <c r="V1401">
        <v>46000</v>
      </c>
      <c r="W1401">
        <v>0</v>
      </c>
      <c r="X1401" t="s">
        <v>205</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v>240</v>
      </c>
      <c r="G1402">
        <v>0</v>
      </c>
      <c r="H1402" t="s">
        <v>4439</v>
      </c>
      <c r="I1402" s="75" t="str">
        <f ca="1">IF(Table7[[#This Row],[Type]]="KILL",IF(_xlfn.NUMBERVALUE(RIGHT(Table7[[#This Row],[Min]],LEN(Table7[[#This Row],[Min]])-FIND("-",Table7[[#This Row],[Min]])))&gt;INDIRECT(ADDRESS(11+MATCH(LEFT(Table7[[#This Row],[Min]],FIND("-",Table7[[#This Row],[Min]])-1),Table1[Content Sku],0),14,1,1,"Entities")),"review","ok"),"ok")</f>
        <v>ok</v>
      </c>
      <c r="U1402" t="s">
        <v>283</v>
      </c>
      <c r="V1402">
        <v>0</v>
      </c>
      <c r="W1402">
        <v>0</v>
      </c>
      <c r="X1402" t="s">
        <v>8</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t="s">
        <v>5233</v>
      </c>
      <c r="G1403" t="s">
        <v>4477</v>
      </c>
      <c r="H1403" t="s">
        <v>4478</v>
      </c>
      <c r="I1403" s="75" t="str">
        <f ca="1">IF(Table7[[#This Row],[Type]]="KILL",IF(_xlfn.NUMBERVALUE(RIGHT(Table7[[#This Row],[Min]],LEN(Table7[[#This Row],[Min]])-FIND("-",Table7[[#This Row],[Min]])))&gt;INDIRECT(ADDRESS(11+MATCH(LEFT(Table7[[#This Row],[Min]],FIND("-",Table7[[#This Row],[Min]])-1),Table1[Content Sku],0),14,1,1,"Entities")),"review","ok"),"ok")</f>
        <v>ok</v>
      </c>
      <c r="U1403" t="s">
        <v>283</v>
      </c>
      <c r="V1403">
        <v>30000</v>
      </c>
      <c r="W1403">
        <v>0</v>
      </c>
      <c r="X1403" t="s">
        <v>205</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0</v>
      </c>
      <c r="G1404">
        <v>0</v>
      </c>
      <c r="H1404" t="s">
        <v>8</v>
      </c>
      <c r="I1404" s="75" t="str">
        <f ca="1">IF(Table7[[#This Row],[Type]]="KILL",IF(_xlfn.NUMBERVALUE(RIGHT(Table7[[#This Row],[Min]],LEN(Table7[[#This Row],[Min]])-FIND("-",Table7[[#This Row],[Min]])))&gt;INDIRECT(ADDRESS(11+MATCH(LEFT(Table7[[#This Row],[Min]],FIND("-",Table7[[#This Row],[Min]])-1),Table1[Content Sku],0),14,1,1,"Entities")),"review","ok"),"ok")</f>
        <v>ok</v>
      </c>
      <c r="U1404" t="s">
        <v>283</v>
      </c>
      <c r="V1404">
        <v>0</v>
      </c>
      <c r="W1404">
        <v>0</v>
      </c>
      <c r="X1404" t="s">
        <v>8</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v>0</v>
      </c>
      <c r="G1405">
        <v>0</v>
      </c>
      <c r="H1405" t="s">
        <v>8</v>
      </c>
      <c r="I1405" s="75" t="str">
        <f ca="1">IF(Table7[[#This Row],[Type]]="KILL",IF(_xlfn.NUMBERVALUE(RIGHT(Table7[[#This Row],[Min]],LEN(Table7[[#This Row],[Min]])-FIND("-",Table7[[#This Row],[Min]])))&gt;INDIRECT(ADDRESS(11+MATCH(LEFT(Table7[[#This Row],[Min]],FIND("-",Table7[[#This Row],[Min]])-1),Table1[Content Sku],0),14,1,1,"Entities")),"review","ok"),"ok")</f>
        <v>ok</v>
      </c>
      <c r="U1405" t="s">
        <v>283</v>
      </c>
      <c r="V1405">
        <v>0</v>
      </c>
      <c r="W1405">
        <v>0</v>
      </c>
      <c r="X1405" t="s">
        <v>8</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15</v>
      </c>
      <c r="F1406">
        <v>3500</v>
      </c>
      <c r="G1406">
        <v>0</v>
      </c>
      <c r="H1406" t="s">
        <v>205</v>
      </c>
      <c r="I1406" s="75" t="str">
        <f ca="1">IF(Table7[[#This Row],[Type]]="KILL",IF(_xlfn.NUMBERVALUE(RIGHT(Table7[[#This Row],[Min]],LEN(Table7[[#This Row],[Min]])-FIND("-",Table7[[#This Row],[Min]])))&gt;INDIRECT(ADDRESS(11+MATCH(LEFT(Table7[[#This Row],[Min]],FIND("-",Table7[[#This Row],[Min]])-1),Table1[Content Sku],0),14,1,1,"Entities")),"review","ok"),"ok")</f>
        <v>ok</v>
      </c>
      <c r="U1406" t="s">
        <v>283</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15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283</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0</v>
      </c>
      <c r="G1408">
        <v>0</v>
      </c>
      <c r="H1408" t="s">
        <v>8</v>
      </c>
      <c r="I1408" s="75" t="str">
        <f ca="1">IF(Table7[[#This Row],[Type]]="KILL",IF(_xlfn.NUMBERVALUE(RIGHT(Table7[[#This Row],[Min]],LEN(Table7[[#This Row],[Min]])-FIND("-",Table7[[#This Row],[Min]])))&gt;INDIRECT(ADDRESS(11+MATCH(LEFT(Table7[[#This Row],[Min]],FIND("-",Table7[[#This Row],[Min]])-1),Table1[Content Sku],0),14,1,1,"Entities")),"review","ok"),"ok")</f>
        <v>ok</v>
      </c>
      <c r="U1408" t="s">
        <v>283</v>
      </c>
      <c r="V1408">
        <v>28000</v>
      </c>
      <c r="W1408">
        <v>0</v>
      </c>
      <c r="X1408" t="s">
        <v>205</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t="s">
        <v>8</v>
      </c>
      <c r="I1409" s="75" t="str">
        <f ca="1">IF(Table7[[#This Row],[Type]]="KILL",IF(_xlfn.NUMBERVALUE(RIGHT(Table7[[#This Row],[Min]],LEN(Table7[[#This Row],[Min]])-FIND("-",Table7[[#This Row],[Min]])))&gt;INDIRECT(ADDRESS(11+MATCH(LEFT(Table7[[#This Row],[Min]],FIND("-",Table7[[#This Row],[Min]])-1),Table1[Content Sku],0),14,1,1,"Entities")),"review","ok"),"ok")</f>
        <v>ok</v>
      </c>
      <c r="U1409" t="s">
        <v>283</v>
      </c>
      <c r="V1409">
        <v>0</v>
      </c>
      <c r="W1409">
        <v>0</v>
      </c>
      <c r="X1409" t="s">
        <v>8</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17</v>
      </c>
      <c r="F1410">
        <v>0</v>
      </c>
      <c r="G1410">
        <v>0</v>
      </c>
      <c r="H1410" t="s">
        <v>8</v>
      </c>
      <c r="I1410" s="75" t="str">
        <f ca="1">IF(Table7[[#This Row],[Type]]="KILL",IF(_xlfn.NUMBERVALUE(RIGHT(Table7[[#This Row],[Min]],LEN(Table7[[#This Row],[Min]])-FIND("-",Table7[[#This Row],[Min]])))&gt;INDIRECT(ADDRESS(11+MATCH(LEFT(Table7[[#This Row],[Min]],FIND("-",Table7[[#This Row],[Min]])-1),Table1[Content Sku],0),14,1,1,"Entities")),"review","ok"),"ok")</f>
        <v>ok</v>
      </c>
      <c r="U1410" t="s">
        <v>283</v>
      </c>
      <c r="V1410">
        <v>0</v>
      </c>
      <c r="W1410">
        <v>0</v>
      </c>
      <c r="X1410" t="s">
        <v>8</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17</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283</v>
      </c>
      <c r="V1411">
        <v>0</v>
      </c>
      <c r="W1411">
        <v>0</v>
      </c>
      <c r="X1411" t="s">
        <v>8</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17</v>
      </c>
      <c r="F1412">
        <v>0</v>
      </c>
      <c r="G1412">
        <v>16000</v>
      </c>
      <c r="H1412" t="s">
        <v>205</v>
      </c>
      <c r="I1412" s="75" t="str">
        <f ca="1">IF(Table7[[#This Row],[Type]]="KILL",IF(_xlfn.NUMBERVALUE(RIGHT(Table7[[#This Row],[Min]],LEN(Table7[[#This Row],[Min]])-FIND("-",Table7[[#This Row],[Min]])))&gt;INDIRECT(ADDRESS(11+MATCH(LEFT(Table7[[#This Row],[Min]],FIND("-",Table7[[#This Row],[Min]])-1),Table1[Content Sku],0),14,1,1,"Entities")),"review","ok"),"ok")</f>
        <v>ok</v>
      </c>
      <c r="U1412" t="s">
        <v>283</v>
      </c>
      <c r="V1412">
        <v>0</v>
      </c>
      <c r="W1412">
        <v>0</v>
      </c>
      <c r="X1412" t="s">
        <v>8</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283</v>
      </c>
      <c r="V1413">
        <v>24000</v>
      </c>
      <c r="W1413">
        <v>0</v>
      </c>
      <c r="X1413" t="s">
        <v>205</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283</v>
      </c>
      <c r="V1414">
        <v>0</v>
      </c>
      <c r="W1414">
        <v>0</v>
      </c>
      <c r="X1414" t="s">
        <v>8</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22</v>
      </c>
      <c r="F1415">
        <v>0</v>
      </c>
      <c r="G1415">
        <v>0</v>
      </c>
      <c r="H1415" t="s">
        <v>8</v>
      </c>
      <c r="I1415" s="75" t="str">
        <f ca="1">IF(Table7[[#This Row],[Type]]="KILL",IF(_xlfn.NUMBERVALUE(RIGHT(Table7[[#This Row],[Min]],LEN(Table7[[#This Row],[Min]])-FIND("-",Table7[[#This Row],[Min]])))&gt;INDIRECT(ADDRESS(11+MATCH(LEFT(Table7[[#This Row],[Min]],FIND("-",Table7[[#This Row],[Min]])-1),Table1[Content Sku],0),14,1,1,"Entities")),"review","ok"),"ok")</f>
        <v>ok</v>
      </c>
      <c r="U1415" t="s">
        <v>283</v>
      </c>
      <c r="V1415">
        <v>0</v>
      </c>
      <c r="W1415">
        <v>0</v>
      </c>
      <c r="X1415" t="s">
        <v>8</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22</v>
      </c>
      <c r="F1416">
        <v>4500</v>
      </c>
      <c r="G1416">
        <v>0</v>
      </c>
      <c r="H1416" t="s">
        <v>205</v>
      </c>
      <c r="I1416" s="75" t="str">
        <f ca="1">IF(Table7[[#This Row],[Type]]="KILL",IF(_xlfn.NUMBERVALUE(RIGHT(Table7[[#This Row],[Min]],LEN(Table7[[#This Row],[Min]])-FIND("-",Table7[[#This Row],[Min]])))&gt;INDIRECT(ADDRESS(11+MATCH(LEFT(Table7[[#This Row],[Min]],FIND("-",Table7[[#This Row],[Min]])-1),Table1[Content Sku],0),14,1,1,"Entities")),"review","ok"),"ok")</f>
        <v>ok</v>
      </c>
      <c r="U1416" t="s">
        <v>283</v>
      </c>
      <c r="V1416">
        <v>0</v>
      </c>
      <c r="W1416">
        <v>0</v>
      </c>
      <c r="X1416" t="s">
        <v>8</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22</v>
      </c>
      <c r="F1417">
        <v>24000</v>
      </c>
      <c r="G1417">
        <v>0</v>
      </c>
      <c r="H1417" t="s">
        <v>205</v>
      </c>
      <c r="I1417" s="75" t="str">
        <f ca="1">IF(Table7[[#This Row],[Type]]="KILL",IF(_xlfn.NUMBERVALUE(RIGHT(Table7[[#This Row],[Min]],LEN(Table7[[#This Row],[Min]])-FIND("-",Table7[[#This Row],[Min]])))&gt;INDIRECT(ADDRESS(11+MATCH(LEFT(Table7[[#This Row],[Min]],FIND("-",Table7[[#This Row],[Min]])-1),Table1[Content Sku],0),14,1,1,"Entities")),"review","ok"),"ok")</f>
        <v>ok</v>
      </c>
      <c r="U1417" t="s">
        <v>283</v>
      </c>
      <c r="V1417">
        <v>22000</v>
      </c>
      <c r="W1417">
        <v>0</v>
      </c>
      <c r="X1417" t="s">
        <v>205</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12000</v>
      </c>
      <c r="G1418">
        <v>0</v>
      </c>
      <c r="H1418" t="s">
        <v>205</v>
      </c>
      <c r="I1418" s="75" t="str">
        <f ca="1">IF(Table7[[#This Row],[Type]]="KILL",IF(_xlfn.NUMBERVALUE(RIGHT(Table7[[#This Row],[Min]],LEN(Table7[[#This Row],[Min]])-FIND("-",Table7[[#This Row],[Min]])))&gt;INDIRECT(ADDRESS(11+MATCH(LEFT(Table7[[#This Row],[Min]],FIND("-",Table7[[#This Row],[Min]])-1),Table1[Content Sku],0),14,1,1,"Entities")),"review","ok"),"ok")</f>
        <v>ok</v>
      </c>
      <c r="U1418" t="s">
        <v>283</v>
      </c>
      <c r="V1418">
        <v>26000</v>
      </c>
      <c r="W1418">
        <v>0</v>
      </c>
      <c r="X1418" t="s">
        <v>205</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18000</v>
      </c>
      <c r="G1419">
        <v>0</v>
      </c>
      <c r="H1419" t="s">
        <v>205</v>
      </c>
      <c r="I1419" s="75" t="str">
        <f ca="1">IF(Table7[[#This Row],[Type]]="KILL",IF(_xlfn.NUMBERVALUE(RIGHT(Table7[[#This Row],[Min]],LEN(Table7[[#This Row],[Min]])-FIND("-",Table7[[#This Row],[Min]])))&gt;INDIRECT(ADDRESS(11+MATCH(LEFT(Table7[[#This Row],[Min]],FIND("-",Table7[[#This Row],[Min]])-1),Table1[Content Sku],0),14,1,1,"Entities")),"review","ok"),"ok")</f>
        <v>ok</v>
      </c>
      <c r="U1419" t="s">
        <v>286</v>
      </c>
      <c r="V1419">
        <v>0</v>
      </c>
      <c r="W1419">
        <v>0</v>
      </c>
      <c r="X1419" t="s">
        <v>8</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0</v>
      </c>
      <c r="G1420">
        <v>0</v>
      </c>
      <c r="H1420" t="s">
        <v>8</v>
      </c>
      <c r="I1420" s="75" t="str">
        <f ca="1">IF(Table7[[#This Row],[Type]]="KILL",IF(_xlfn.NUMBERVALUE(RIGHT(Table7[[#This Row],[Min]],LEN(Table7[[#This Row],[Min]])-FIND("-",Table7[[#This Row],[Min]])))&gt;INDIRECT(ADDRESS(11+MATCH(LEFT(Table7[[#This Row],[Min]],FIND("-",Table7[[#This Row],[Min]])-1),Table1[Content Sku],0),14,1,1,"Entities")),"review","ok"),"ok")</f>
        <v>ok</v>
      </c>
      <c r="U1420" t="s">
        <v>286</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4000</v>
      </c>
      <c r="G1421">
        <v>0</v>
      </c>
      <c r="H1421" t="s">
        <v>205</v>
      </c>
      <c r="I1421" s="75" t="str">
        <f ca="1">IF(Table7[[#This Row],[Type]]="KILL",IF(_xlfn.NUMBERVALUE(RIGHT(Table7[[#This Row],[Min]],LEN(Table7[[#This Row],[Min]])-FIND("-",Table7[[#This Row],[Min]])))&gt;INDIRECT(ADDRESS(11+MATCH(LEFT(Table7[[#This Row],[Min]],FIND("-",Table7[[#This Row],[Min]])-1),Table1[Content Sku],0),14,1,1,"Entities")),"review","ok"),"ok")</f>
        <v>ok</v>
      </c>
      <c r="U1421" t="s">
        <v>286</v>
      </c>
      <c r="V1421">
        <v>0</v>
      </c>
      <c r="W1421">
        <v>0</v>
      </c>
      <c r="X1421" t="s">
        <v>8</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38000</v>
      </c>
      <c r="G1422">
        <v>0</v>
      </c>
      <c r="H1422" t="s">
        <v>205</v>
      </c>
      <c r="I1422" s="75" t="str">
        <f ca="1">IF(Table7[[#This Row],[Type]]="KILL",IF(_xlfn.NUMBERVALUE(RIGHT(Table7[[#This Row],[Min]],LEN(Table7[[#This Row],[Min]])-FIND("-",Table7[[#This Row],[Min]])))&gt;INDIRECT(ADDRESS(11+MATCH(LEFT(Table7[[#This Row],[Min]],FIND("-",Table7[[#This Row],[Min]])-1),Table1[Content Sku],0),14,1,1,"Entities")),"review","ok"),"ok")</f>
        <v>ok</v>
      </c>
      <c r="U1422" t="s">
        <v>286</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286</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18000</v>
      </c>
      <c r="G1424">
        <v>0</v>
      </c>
      <c r="H1424" t="s">
        <v>205</v>
      </c>
      <c r="I1424" s="75" t="str">
        <f ca="1">IF(Table7[[#This Row],[Type]]="KILL",IF(_xlfn.NUMBERVALUE(RIGHT(Table7[[#This Row],[Min]],LEN(Table7[[#This Row],[Min]])-FIND("-",Table7[[#This Row],[Min]])))&gt;INDIRECT(ADDRESS(11+MATCH(LEFT(Table7[[#This Row],[Min]],FIND("-",Table7[[#This Row],[Min]])-1),Table1[Content Sku],0),14,1,1,"Entities")),"review","ok"),"ok")</f>
        <v>ok</v>
      </c>
      <c r="U1424" t="s">
        <v>286</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45000</v>
      </c>
      <c r="G1425">
        <v>0</v>
      </c>
      <c r="H1425" t="s">
        <v>205</v>
      </c>
      <c r="I1425" s="75" t="str">
        <f ca="1">IF(Table7[[#This Row],[Type]]="KILL",IF(_xlfn.NUMBERVALUE(RIGHT(Table7[[#This Row],[Min]],LEN(Table7[[#This Row],[Min]])-FIND("-",Table7[[#This Row],[Min]])))&gt;INDIRECT(ADDRESS(11+MATCH(LEFT(Table7[[#This Row],[Min]],FIND("-",Table7[[#This Row],[Min]])-1),Table1[Content Sku],0),14,1,1,"Entities")),"review","ok"),"ok")</f>
        <v>ok</v>
      </c>
      <c r="U1425" t="s">
        <v>286</v>
      </c>
      <c r="V1425">
        <v>0</v>
      </c>
      <c r="W1425">
        <v>0</v>
      </c>
      <c r="X1425" t="s">
        <v>8</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286</v>
      </c>
      <c r="V1426">
        <v>0</v>
      </c>
      <c r="W1426">
        <v>0</v>
      </c>
      <c r="X1426" t="s">
        <v>8</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0</v>
      </c>
      <c r="G1427">
        <v>0</v>
      </c>
      <c r="H1427" t="s">
        <v>8</v>
      </c>
      <c r="I1427" s="75" t="str">
        <f ca="1">IF(Table7[[#This Row],[Type]]="KILL",IF(_xlfn.NUMBERVALUE(RIGHT(Table7[[#This Row],[Min]],LEN(Table7[[#This Row],[Min]])-FIND("-",Table7[[#This Row],[Min]])))&gt;INDIRECT(ADDRESS(11+MATCH(LEFT(Table7[[#This Row],[Min]],FIND("-",Table7[[#This Row],[Min]])-1),Table1[Content Sku],0),14,1,1,"Entities")),"review","ok"),"ok")</f>
        <v>ok</v>
      </c>
      <c r="U1427" t="s">
        <v>286</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28000</v>
      </c>
      <c r="G1428">
        <v>0</v>
      </c>
      <c r="H1428" t="s">
        <v>205</v>
      </c>
      <c r="I1428" s="75" t="str">
        <f ca="1">IF(Table7[[#This Row],[Type]]="KILL",IF(_xlfn.NUMBERVALUE(RIGHT(Table7[[#This Row],[Min]],LEN(Table7[[#This Row],[Min]])-FIND("-",Table7[[#This Row],[Min]])))&gt;INDIRECT(ADDRESS(11+MATCH(LEFT(Table7[[#This Row],[Min]],FIND("-",Table7[[#This Row],[Min]])-1),Table1[Content Sku],0),14,1,1,"Entities")),"review","ok"),"ok")</f>
        <v>ok</v>
      </c>
      <c r="U1428" t="s">
        <v>286</v>
      </c>
      <c r="V1428">
        <v>0</v>
      </c>
      <c r="W1428">
        <v>0</v>
      </c>
      <c r="X1428" t="s">
        <v>8</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286</v>
      </c>
      <c r="V1429">
        <v>0</v>
      </c>
      <c r="W1429">
        <v>0</v>
      </c>
      <c r="X1429" t="s">
        <v>8</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28000</v>
      </c>
      <c r="G1430">
        <v>0</v>
      </c>
      <c r="H1430" t="s">
        <v>205</v>
      </c>
      <c r="I1430" s="75" t="str">
        <f ca="1">IF(Table7[[#This Row],[Type]]="KILL",IF(_xlfn.NUMBERVALUE(RIGHT(Table7[[#This Row],[Min]],LEN(Table7[[#This Row],[Min]])-FIND("-",Table7[[#This Row],[Min]])))&gt;INDIRECT(ADDRESS(11+MATCH(LEFT(Table7[[#This Row],[Min]],FIND("-",Table7[[#This Row],[Min]])-1),Table1[Content Sku],0),14,1,1,"Entities")),"review","ok"),"ok")</f>
        <v>ok</v>
      </c>
      <c r="U1430" t="s">
        <v>286</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0</v>
      </c>
      <c r="G1431">
        <v>0</v>
      </c>
      <c r="H1431" t="s">
        <v>8</v>
      </c>
      <c r="I1431" s="75" t="str">
        <f ca="1">IF(Table7[[#This Row],[Type]]="KILL",IF(_xlfn.NUMBERVALUE(RIGHT(Table7[[#This Row],[Min]],LEN(Table7[[#This Row],[Min]])-FIND("-",Table7[[#This Row],[Min]])))&gt;INDIRECT(ADDRESS(11+MATCH(LEFT(Table7[[#This Row],[Min]],FIND("-",Table7[[#This Row],[Min]])-1),Table1[Content Sku],0),14,1,1,"Entities")),"review","ok"),"ok")</f>
        <v>ok</v>
      </c>
      <c r="U1431" t="s">
        <v>286</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6000</v>
      </c>
      <c r="G1432">
        <v>0</v>
      </c>
      <c r="H1432" t="s">
        <v>205</v>
      </c>
      <c r="I1432" s="75" t="str">
        <f ca="1">IF(Table7[[#This Row],[Type]]="KILL",IF(_xlfn.NUMBERVALUE(RIGHT(Table7[[#This Row],[Min]],LEN(Table7[[#This Row],[Min]])-FIND("-",Table7[[#This Row],[Min]])))&gt;INDIRECT(ADDRESS(11+MATCH(LEFT(Table7[[#This Row],[Min]],FIND("-",Table7[[#This Row],[Min]])-1),Table1[Content Sku],0),14,1,1,"Entities")),"review","ok"),"ok")</f>
        <v>ok</v>
      </c>
      <c r="U1432" t="s">
        <v>286</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123</v>
      </c>
      <c r="F1433" t="s">
        <v>5227</v>
      </c>
      <c r="G1433" t="s">
        <v>4477</v>
      </c>
      <c r="H1433" t="s">
        <v>4478</v>
      </c>
      <c r="I1433" s="75" t="str">
        <f ca="1">IF(Table7[[#This Row],[Type]]="KILL",IF(_xlfn.NUMBERVALUE(RIGHT(Table7[[#This Row],[Min]],LEN(Table7[[#This Row],[Min]])-FIND("-",Table7[[#This Row],[Min]])))&gt;INDIRECT(ADDRESS(11+MATCH(LEFT(Table7[[#This Row],[Min]],FIND("-",Table7[[#This Row],[Min]])-1),Table1[Content Sku],0),14,1,1,"Entities")),"review","ok"),"ok")</f>
        <v>ok</v>
      </c>
      <c r="U1433" t="s">
        <v>286</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123</v>
      </c>
      <c r="F1434">
        <v>12000</v>
      </c>
      <c r="G1434">
        <v>0</v>
      </c>
      <c r="H1434" t="s">
        <v>205</v>
      </c>
      <c r="I1434" s="75" t="str">
        <f ca="1">IF(Table7[[#This Row],[Type]]="KILL",IF(_xlfn.NUMBERVALUE(RIGHT(Table7[[#This Row],[Min]],LEN(Table7[[#This Row],[Min]])-FIND("-",Table7[[#This Row],[Min]])))&gt;INDIRECT(ADDRESS(11+MATCH(LEFT(Table7[[#This Row],[Min]],FIND("-",Table7[[#This Row],[Min]])-1),Table1[Content Sku],0),14,1,1,"Entities")),"review","ok"),"ok")</f>
        <v>ok</v>
      </c>
      <c r="U1434" t="s">
        <v>286</v>
      </c>
      <c r="V1434">
        <v>0</v>
      </c>
      <c r="W1434">
        <v>0</v>
      </c>
      <c r="X1434" t="s">
        <v>8</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123</v>
      </c>
      <c r="F1435">
        <v>0</v>
      </c>
      <c r="G1435">
        <v>0</v>
      </c>
      <c r="H1435" t="s">
        <v>8</v>
      </c>
      <c r="I1435" s="75" t="str">
        <f ca="1">IF(Table7[[#This Row],[Type]]="KILL",IF(_xlfn.NUMBERVALUE(RIGHT(Table7[[#This Row],[Min]],LEN(Table7[[#This Row],[Min]])-FIND("-",Table7[[#This Row],[Min]])))&gt;INDIRECT(ADDRESS(11+MATCH(LEFT(Table7[[#This Row],[Min]],FIND("-",Table7[[#This Row],[Min]])-1),Table1[Content Sku],0),14,1,1,"Entities")),"review","ok"),"ok")</f>
        <v>ok</v>
      </c>
      <c r="U1435" t="s">
        <v>286</v>
      </c>
      <c r="V1435">
        <v>0</v>
      </c>
      <c r="W1435">
        <v>0</v>
      </c>
      <c r="X1435" t="s">
        <v>8</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123</v>
      </c>
      <c r="F1436">
        <v>0</v>
      </c>
      <c r="G1436">
        <v>0</v>
      </c>
      <c r="H1436" t="s">
        <v>8</v>
      </c>
      <c r="I1436" s="75" t="str">
        <f ca="1">IF(Table7[[#This Row],[Type]]="KILL",IF(_xlfn.NUMBERVALUE(RIGHT(Table7[[#This Row],[Min]],LEN(Table7[[#This Row],[Min]])-FIND("-",Table7[[#This Row],[Min]])))&gt;INDIRECT(ADDRESS(11+MATCH(LEFT(Table7[[#This Row],[Min]],FIND("-",Table7[[#This Row],[Min]])-1),Table1[Content Sku],0),14,1,1,"Entities")),"review","ok"),"ok")</f>
        <v>ok</v>
      </c>
      <c r="U1436" t="s">
        <v>286</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123</v>
      </c>
      <c r="F1437">
        <v>0</v>
      </c>
      <c r="G1437">
        <v>0</v>
      </c>
      <c r="H1437" t="s">
        <v>8</v>
      </c>
      <c r="I1437" s="75" t="str">
        <f ca="1">IF(Table7[[#This Row],[Type]]="KILL",IF(_xlfn.NUMBERVALUE(RIGHT(Table7[[#This Row],[Min]],LEN(Table7[[#This Row],[Min]])-FIND("-",Table7[[#This Row],[Min]])))&gt;INDIRECT(ADDRESS(11+MATCH(LEFT(Table7[[#This Row],[Min]],FIND("-",Table7[[#This Row],[Min]])-1),Table1[Content Sku],0),14,1,1,"Entities")),"review","ok"),"ok")</f>
        <v>ok</v>
      </c>
      <c r="U1437" t="s">
        <v>286</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123</v>
      </c>
      <c r="F1438">
        <v>5000</v>
      </c>
      <c r="G1438">
        <v>0</v>
      </c>
      <c r="H1438" t="s">
        <v>205</v>
      </c>
      <c r="I1438" s="75" t="str">
        <f ca="1">IF(Table7[[#This Row],[Type]]="KILL",IF(_xlfn.NUMBERVALUE(RIGHT(Table7[[#This Row],[Min]],LEN(Table7[[#This Row],[Min]])-FIND("-",Table7[[#This Row],[Min]])))&gt;INDIRECT(ADDRESS(11+MATCH(LEFT(Table7[[#This Row],[Min]],FIND("-",Table7[[#This Row],[Min]])-1),Table1[Content Sku],0),14,1,1,"Entities")),"review","ok"),"ok")</f>
        <v>ok</v>
      </c>
      <c r="U1438" t="s">
        <v>286</v>
      </c>
      <c r="V1438">
        <v>18000</v>
      </c>
      <c r="W1438">
        <v>40000</v>
      </c>
      <c r="X1438" t="s">
        <v>205</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123</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286</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123</v>
      </c>
      <c r="F1440">
        <v>120</v>
      </c>
      <c r="G1440">
        <v>0</v>
      </c>
      <c r="H1440" t="s">
        <v>4439</v>
      </c>
      <c r="I1440" s="75" t="str">
        <f ca="1">IF(Table7[[#This Row],[Type]]="KILL",IF(_xlfn.NUMBERVALUE(RIGHT(Table7[[#This Row],[Min]],LEN(Table7[[#This Row],[Min]])-FIND("-",Table7[[#This Row],[Min]])))&gt;INDIRECT(ADDRESS(11+MATCH(LEFT(Table7[[#This Row],[Min]],FIND("-",Table7[[#This Row],[Min]])-1),Table1[Content Sku],0),14,1,1,"Entities")),"review","ok"),"ok")</f>
        <v>ok</v>
      </c>
      <c r="U1440" t="s">
        <v>286</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123</v>
      </c>
      <c r="F1441">
        <v>0</v>
      </c>
      <c r="G1441">
        <v>10500</v>
      </c>
      <c r="H1441" t="s">
        <v>205</v>
      </c>
      <c r="I1441" s="75" t="str">
        <f ca="1">IF(Table7[[#This Row],[Type]]="KILL",IF(_xlfn.NUMBERVALUE(RIGHT(Table7[[#This Row],[Min]],LEN(Table7[[#This Row],[Min]])-FIND("-",Table7[[#This Row],[Min]])))&gt;INDIRECT(ADDRESS(11+MATCH(LEFT(Table7[[#This Row],[Min]],FIND("-",Table7[[#This Row],[Min]])-1),Table1[Content Sku],0),14,1,1,"Entities")),"review","ok"),"ok")</f>
        <v>ok</v>
      </c>
      <c r="U1441" t="s">
        <v>286</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123</v>
      </c>
      <c r="F1442">
        <v>4000</v>
      </c>
      <c r="G1442">
        <v>0</v>
      </c>
      <c r="H1442" t="s">
        <v>205</v>
      </c>
      <c r="I1442" s="75" t="str">
        <f ca="1">IF(Table7[[#This Row],[Type]]="KILL",IF(_xlfn.NUMBERVALUE(RIGHT(Table7[[#This Row],[Min]],LEN(Table7[[#This Row],[Min]])-FIND("-",Table7[[#This Row],[Min]])))&gt;INDIRECT(ADDRESS(11+MATCH(LEFT(Table7[[#This Row],[Min]],FIND("-",Table7[[#This Row],[Min]])-1),Table1[Content Sku],0),14,1,1,"Entities")),"review","ok"),"ok")</f>
        <v>ok</v>
      </c>
      <c r="U1442" t="s">
        <v>286</v>
      </c>
      <c r="V1442">
        <v>0</v>
      </c>
      <c r="W1442">
        <v>0</v>
      </c>
      <c r="X1442" t="s">
        <v>8</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123</v>
      </c>
      <c r="F1443">
        <v>0</v>
      </c>
      <c r="G1443">
        <v>7000</v>
      </c>
      <c r="H1443" t="s">
        <v>205</v>
      </c>
      <c r="I1443" s="75" t="str">
        <f ca="1">IF(Table7[[#This Row],[Type]]="KILL",IF(_xlfn.NUMBERVALUE(RIGHT(Table7[[#This Row],[Min]],LEN(Table7[[#This Row],[Min]])-FIND("-",Table7[[#This Row],[Min]])))&gt;INDIRECT(ADDRESS(11+MATCH(LEFT(Table7[[#This Row],[Min]],FIND("-",Table7[[#This Row],[Min]])-1),Table1[Content Sku],0),14,1,1,"Entities")),"review","ok"),"ok")</f>
        <v>ok</v>
      </c>
      <c r="U1443" t="s">
        <v>286</v>
      </c>
      <c r="V1443">
        <v>18000</v>
      </c>
      <c r="W1443">
        <v>40000</v>
      </c>
      <c r="X1443" t="s">
        <v>205</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123</v>
      </c>
      <c r="F1444">
        <v>4000</v>
      </c>
      <c r="G1444">
        <v>0</v>
      </c>
      <c r="H1444" t="s">
        <v>205</v>
      </c>
      <c r="I1444" s="75" t="str">
        <f ca="1">IF(Table7[[#This Row],[Type]]="KILL",IF(_xlfn.NUMBERVALUE(RIGHT(Table7[[#This Row],[Min]],LEN(Table7[[#This Row],[Min]])-FIND("-",Table7[[#This Row],[Min]])))&gt;INDIRECT(ADDRESS(11+MATCH(LEFT(Table7[[#This Row],[Min]],FIND("-",Table7[[#This Row],[Min]])-1),Table1[Content Sku],0),14,1,1,"Entities")),"review","ok"),"ok")</f>
        <v>ok</v>
      </c>
      <c r="U1444" t="s">
        <v>286</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123</v>
      </c>
      <c r="F1445">
        <v>0</v>
      </c>
      <c r="G1445">
        <v>0</v>
      </c>
      <c r="H1445" t="s">
        <v>8</v>
      </c>
      <c r="I1445" s="75" t="str">
        <f ca="1">IF(Table7[[#This Row],[Type]]="KILL",IF(_xlfn.NUMBERVALUE(RIGHT(Table7[[#This Row],[Min]],LEN(Table7[[#This Row],[Min]])-FIND("-",Table7[[#This Row],[Min]])))&gt;INDIRECT(ADDRESS(11+MATCH(LEFT(Table7[[#This Row],[Min]],FIND("-",Table7[[#This Row],[Min]])-1),Table1[Content Sku],0),14,1,1,"Entities")),"review","ok"),"ok")</f>
        <v>ok</v>
      </c>
      <c r="U1445" t="s">
        <v>286</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123</v>
      </c>
      <c r="F1446">
        <v>0</v>
      </c>
      <c r="G1446">
        <v>0</v>
      </c>
      <c r="H1446" t="s">
        <v>8</v>
      </c>
      <c r="I1446" s="75" t="str">
        <f ca="1">IF(Table7[[#This Row],[Type]]="KILL",IF(_xlfn.NUMBERVALUE(RIGHT(Table7[[#This Row],[Min]],LEN(Table7[[#This Row],[Min]])-FIND("-",Table7[[#This Row],[Min]])))&gt;INDIRECT(ADDRESS(11+MATCH(LEFT(Table7[[#This Row],[Min]],FIND("-",Table7[[#This Row],[Min]])-1),Table1[Content Sku],0),14,1,1,"Entities")),"review","ok"),"ok")</f>
        <v>ok</v>
      </c>
      <c r="U1446" t="s">
        <v>289</v>
      </c>
      <c r="V1446">
        <v>0</v>
      </c>
      <c r="W1446">
        <v>0</v>
      </c>
      <c r="X1446" t="s">
        <v>8</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123</v>
      </c>
      <c r="F1447">
        <v>0</v>
      </c>
      <c r="G1447">
        <v>0</v>
      </c>
      <c r="H1447" t="s">
        <v>8</v>
      </c>
      <c r="I1447" s="75" t="str">
        <f ca="1">IF(Table7[[#This Row],[Type]]="KILL",IF(_xlfn.NUMBERVALUE(RIGHT(Table7[[#This Row],[Min]],LEN(Table7[[#This Row],[Min]])-FIND("-",Table7[[#This Row],[Min]])))&gt;INDIRECT(ADDRESS(11+MATCH(LEFT(Table7[[#This Row],[Min]],FIND("-",Table7[[#This Row],[Min]])-1),Table1[Content Sku],0),14,1,1,"Entities")),"review","ok"),"ok")</f>
        <v>ok</v>
      </c>
      <c r="U1447" t="s">
        <v>289</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123</v>
      </c>
      <c r="F1448" t="s">
        <v>5230</v>
      </c>
      <c r="G1448" t="s">
        <v>4477</v>
      </c>
      <c r="H1448" t="s">
        <v>4478</v>
      </c>
      <c r="I1448" s="75" t="str">
        <f ca="1">IF(Table7[[#This Row],[Type]]="KILL",IF(_xlfn.NUMBERVALUE(RIGHT(Table7[[#This Row],[Min]],LEN(Table7[[#This Row],[Min]])-FIND("-",Table7[[#This Row],[Min]])))&gt;INDIRECT(ADDRESS(11+MATCH(LEFT(Table7[[#This Row],[Min]],FIND("-",Table7[[#This Row],[Min]])-1),Table1[Content Sku],0),14,1,1,"Entities")),"review","ok"),"ok")</f>
        <v>ok</v>
      </c>
      <c r="U1448" t="s">
        <v>289</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123</v>
      </c>
      <c r="F1449">
        <v>8000</v>
      </c>
      <c r="G1449">
        <v>0</v>
      </c>
      <c r="H1449" t="s">
        <v>205</v>
      </c>
      <c r="I1449" s="75" t="str">
        <f ca="1">IF(Table7[[#This Row],[Type]]="KILL",IF(_xlfn.NUMBERVALUE(RIGHT(Table7[[#This Row],[Min]],LEN(Table7[[#This Row],[Min]])-FIND("-",Table7[[#This Row],[Min]])))&gt;INDIRECT(ADDRESS(11+MATCH(LEFT(Table7[[#This Row],[Min]],FIND("-",Table7[[#This Row],[Min]])-1),Table1[Content Sku],0),14,1,1,"Entities")),"review","ok"),"ok")</f>
        <v>ok</v>
      </c>
      <c r="U1449" t="s">
        <v>289</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123</v>
      </c>
      <c r="F1450">
        <v>0</v>
      </c>
      <c r="G1450">
        <v>7500</v>
      </c>
      <c r="H1450" t="s">
        <v>205</v>
      </c>
      <c r="I1450" s="75" t="str">
        <f ca="1">IF(Table7[[#This Row],[Type]]="KILL",IF(_xlfn.NUMBERVALUE(RIGHT(Table7[[#This Row],[Min]],LEN(Table7[[#This Row],[Min]])-FIND("-",Table7[[#This Row],[Min]])))&gt;INDIRECT(ADDRESS(11+MATCH(LEFT(Table7[[#This Row],[Min]],FIND("-",Table7[[#This Row],[Min]])-1),Table1[Content Sku],0),14,1,1,"Entities")),"review","ok"),"ok")</f>
        <v>ok</v>
      </c>
      <c r="U1450" t="s">
        <v>289</v>
      </c>
      <c r="V1450">
        <v>15000</v>
      </c>
      <c r="W1450">
        <v>0</v>
      </c>
      <c r="X1450" t="s">
        <v>205</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123</v>
      </c>
      <c r="F1451">
        <v>0</v>
      </c>
      <c r="G1451">
        <v>0</v>
      </c>
      <c r="H1451" t="s">
        <v>8</v>
      </c>
      <c r="I1451" s="75" t="str">
        <f ca="1">IF(Table7[[#This Row],[Type]]="KILL",IF(_xlfn.NUMBERVALUE(RIGHT(Table7[[#This Row],[Min]],LEN(Table7[[#This Row],[Min]])-FIND("-",Table7[[#This Row],[Min]])))&gt;INDIRECT(ADDRESS(11+MATCH(LEFT(Table7[[#This Row],[Min]],FIND("-",Table7[[#This Row],[Min]])-1),Table1[Content Sku],0),14,1,1,"Entities")),"review","ok"),"ok")</f>
        <v>ok</v>
      </c>
      <c r="U1451" t="s">
        <v>289</v>
      </c>
      <c r="V1451">
        <v>0</v>
      </c>
      <c r="W1451">
        <v>0</v>
      </c>
      <c r="X1451" t="s">
        <v>8</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123</v>
      </c>
      <c r="F1452">
        <v>0</v>
      </c>
      <c r="G1452">
        <v>0</v>
      </c>
      <c r="H1452" t="s">
        <v>8</v>
      </c>
      <c r="I1452" s="75" t="str">
        <f ca="1">IF(Table7[[#This Row],[Type]]="KILL",IF(_xlfn.NUMBERVALUE(RIGHT(Table7[[#This Row],[Min]],LEN(Table7[[#This Row],[Min]])-FIND("-",Table7[[#This Row],[Min]])))&gt;INDIRECT(ADDRESS(11+MATCH(LEFT(Table7[[#This Row],[Min]],FIND("-",Table7[[#This Row],[Min]])-1),Table1[Content Sku],0),14,1,1,"Entities")),"review","ok"),"ok")</f>
        <v>ok</v>
      </c>
      <c r="U1452" t="s">
        <v>289</v>
      </c>
      <c r="V1452">
        <v>0</v>
      </c>
      <c r="W1452">
        <v>0</v>
      </c>
      <c r="X1452" t="s">
        <v>8</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123</v>
      </c>
      <c r="F1453">
        <v>0</v>
      </c>
      <c r="G1453">
        <v>6500</v>
      </c>
      <c r="H1453" t="s">
        <v>205</v>
      </c>
      <c r="I1453" s="75" t="str">
        <f ca="1">IF(Table7[[#This Row],[Type]]="KILL",IF(_xlfn.NUMBERVALUE(RIGHT(Table7[[#This Row],[Min]],LEN(Table7[[#This Row],[Min]])-FIND("-",Table7[[#This Row],[Min]])))&gt;INDIRECT(ADDRESS(11+MATCH(LEFT(Table7[[#This Row],[Min]],FIND("-",Table7[[#This Row],[Min]])-1),Table1[Content Sku],0),14,1,1,"Entities")),"review","ok"),"ok")</f>
        <v>ok</v>
      </c>
      <c r="U1453" t="s">
        <v>289</v>
      </c>
      <c r="V1453">
        <v>0</v>
      </c>
      <c r="W1453">
        <v>0</v>
      </c>
      <c r="X1453" t="s">
        <v>8</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123</v>
      </c>
      <c r="F1454">
        <v>4000</v>
      </c>
      <c r="G1454">
        <v>12000</v>
      </c>
      <c r="H1454" t="s">
        <v>205</v>
      </c>
      <c r="I1454" s="75" t="str">
        <f ca="1">IF(Table7[[#This Row],[Type]]="KILL",IF(_xlfn.NUMBERVALUE(RIGHT(Table7[[#This Row],[Min]],LEN(Table7[[#This Row],[Min]])-FIND("-",Table7[[#This Row],[Min]])))&gt;INDIRECT(ADDRESS(11+MATCH(LEFT(Table7[[#This Row],[Min]],FIND("-",Table7[[#This Row],[Min]])-1),Table1[Content Sku],0),14,1,1,"Entities")),"review","ok"),"ok")</f>
        <v>ok</v>
      </c>
      <c r="U1454" t="s">
        <v>289</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123</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289</v>
      </c>
      <c r="V1455">
        <v>17000</v>
      </c>
      <c r="W1455">
        <v>0</v>
      </c>
      <c r="X1455" t="s">
        <v>205</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123</v>
      </c>
      <c r="F1456">
        <v>900</v>
      </c>
      <c r="G1456">
        <v>0</v>
      </c>
      <c r="H1456" t="s">
        <v>205</v>
      </c>
      <c r="I1456" s="75" t="str">
        <f ca="1">IF(Table7[[#This Row],[Type]]="KILL",IF(_xlfn.NUMBERVALUE(RIGHT(Table7[[#This Row],[Min]],LEN(Table7[[#This Row],[Min]])-FIND("-",Table7[[#This Row],[Min]])))&gt;INDIRECT(ADDRESS(11+MATCH(LEFT(Table7[[#This Row],[Min]],FIND("-",Table7[[#This Row],[Min]])-1),Table1[Content Sku],0),14,1,1,"Entities")),"review","ok"),"ok")</f>
        <v>ok</v>
      </c>
      <c r="U1456" t="s">
        <v>289</v>
      </c>
      <c r="V1456">
        <v>0</v>
      </c>
      <c r="W1456">
        <v>0</v>
      </c>
      <c r="X1456" t="s">
        <v>8</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123</v>
      </c>
      <c r="F1457">
        <v>0</v>
      </c>
      <c r="G1457">
        <v>0</v>
      </c>
      <c r="H1457" t="s">
        <v>8</v>
      </c>
      <c r="I1457" s="75" t="str">
        <f ca="1">IF(Table7[[#This Row],[Type]]="KILL",IF(_xlfn.NUMBERVALUE(RIGHT(Table7[[#This Row],[Min]],LEN(Table7[[#This Row],[Min]])-FIND("-",Table7[[#This Row],[Min]])))&gt;INDIRECT(ADDRESS(11+MATCH(LEFT(Table7[[#This Row],[Min]],FIND("-",Table7[[#This Row],[Min]])-1),Table1[Content Sku],0),14,1,1,"Entities")),"review","ok"),"ok")</f>
        <v>ok</v>
      </c>
      <c r="U1457" t="s">
        <v>289</v>
      </c>
      <c r="V1457">
        <v>0</v>
      </c>
      <c r="W1457">
        <v>0</v>
      </c>
      <c r="X1457" t="s">
        <v>8</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123</v>
      </c>
      <c r="F1458">
        <v>0</v>
      </c>
      <c r="G1458">
        <v>8500</v>
      </c>
      <c r="H1458" t="s">
        <v>205</v>
      </c>
      <c r="I1458" s="75" t="str">
        <f ca="1">IF(Table7[[#This Row],[Type]]="KILL",IF(_xlfn.NUMBERVALUE(RIGHT(Table7[[#This Row],[Min]],LEN(Table7[[#This Row],[Min]])-FIND("-",Table7[[#This Row],[Min]])))&gt;INDIRECT(ADDRESS(11+MATCH(LEFT(Table7[[#This Row],[Min]],FIND("-",Table7[[#This Row],[Min]])-1),Table1[Content Sku],0),14,1,1,"Entities")),"review","ok"),"ok")</f>
        <v>ok</v>
      </c>
      <c r="U1458" t="s">
        <v>289</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123</v>
      </c>
      <c r="F1459">
        <v>0</v>
      </c>
      <c r="G1459">
        <v>0</v>
      </c>
      <c r="H1459" t="s">
        <v>8</v>
      </c>
      <c r="I1459" s="75" t="str">
        <f ca="1">IF(Table7[[#This Row],[Type]]="KILL",IF(_xlfn.NUMBERVALUE(RIGHT(Table7[[#This Row],[Min]],LEN(Table7[[#This Row],[Min]])-FIND("-",Table7[[#This Row],[Min]])))&gt;INDIRECT(ADDRESS(11+MATCH(LEFT(Table7[[#This Row],[Min]],FIND("-",Table7[[#This Row],[Min]])-1),Table1[Content Sku],0),14,1,1,"Entities")),"review","ok"),"ok")</f>
        <v>ok</v>
      </c>
      <c r="U1459" t="s">
        <v>289</v>
      </c>
      <c r="V1459">
        <v>0</v>
      </c>
      <c r="W1459">
        <v>0</v>
      </c>
      <c r="X1459" t="s">
        <v>8</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123</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289</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123</v>
      </c>
      <c r="F1461">
        <v>0</v>
      </c>
      <c r="G1461">
        <v>0</v>
      </c>
      <c r="H1461" t="s">
        <v>8</v>
      </c>
      <c r="I1461" s="75" t="str">
        <f ca="1">IF(Table7[[#This Row],[Type]]="KILL",IF(_xlfn.NUMBERVALUE(RIGHT(Table7[[#This Row],[Min]],LEN(Table7[[#This Row],[Min]])-FIND("-",Table7[[#This Row],[Min]])))&gt;INDIRECT(ADDRESS(11+MATCH(LEFT(Table7[[#This Row],[Min]],FIND("-",Table7[[#This Row],[Min]])-1),Table1[Content Sku],0),14,1,1,"Entities")),"review","ok"),"ok")</f>
        <v>ok</v>
      </c>
      <c r="U1461" t="s">
        <v>289</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123</v>
      </c>
      <c r="F1462">
        <v>0</v>
      </c>
      <c r="G1462">
        <v>9500</v>
      </c>
      <c r="H1462" t="s">
        <v>205</v>
      </c>
      <c r="I1462" s="75" t="str">
        <f ca="1">IF(Table7[[#This Row],[Type]]="KILL",IF(_xlfn.NUMBERVALUE(RIGHT(Table7[[#This Row],[Min]],LEN(Table7[[#This Row],[Min]])-FIND("-",Table7[[#This Row],[Min]])))&gt;INDIRECT(ADDRESS(11+MATCH(LEFT(Table7[[#This Row],[Min]],FIND("-",Table7[[#This Row],[Min]])-1),Table1[Content Sku],0),14,1,1,"Entities")),"review","ok"),"ok")</f>
        <v>ok</v>
      </c>
      <c r="U1462" t="s">
        <v>289</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123</v>
      </c>
      <c r="F1463">
        <v>16000</v>
      </c>
      <c r="G1463">
        <v>0</v>
      </c>
      <c r="H1463" t="s">
        <v>205</v>
      </c>
      <c r="I1463" s="75" t="str">
        <f ca="1">IF(Table7[[#This Row],[Type]]="KILL",IF(_xlfn.NUMBERVALUE(RIGHT(Table7[[#This Row],[Min]],LEN(Table7[[#This Row],[Min]])-FIND("-",Table7[[#This Row],[Min]])))&gt;INDIRECT(ADDRESS(11+MATCH(LEFT(Table7[[#This Row],[Min]],FIND("-",Table7[[#This Row],[Min]])-1),Table1[Content Sku],0),14,1,1,"Entities")),"review","ok"),"ok")</f>
        <v>ok</v>
      </c>
      <c r="U1463" t="s">
        <v>289</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123</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289</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123</v>
      </c>
      <c r="F1465">
        <v>0</v>
      </c>
      <c r="G1465">
        <v>0</v>
      </c>
      <c r="H1465" t="s">
        <v>8</v>
      </c>
      <c r="I1465" s="75" t="str">
        <f ca="1">IF(Table7[[#This Row],[Type]]="KILL",IF(_xlfn.NUMBERVALUE(RIGHT(Table7[[#This Row],[Min]],LEN(Table7[[#This Row],[Min]])-FIND("-",Table7[[#This Row],[Min]])))&gt;INDIRECT(ADDRESS(11+MATCH(LEFT(Table7[[#This Row],[Min]],FIND("-",Table7[[#This Row],[Min]])-1),Table1[Content Sku],0),14,1,1,"Entities")),"review","ok"),"ok")</f>
        <v>ok</v>
      </c>
      <c r="U1465" t="s">
        <v>289</v>
      </c>
      <c r="V1465">
        <v>0</v>
      </c>
      <c r="W1465">
        <v>0</v>
      </c>
      <c r="X1465" t="s">
        <v>8</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123</v>
      </c>
      <c r="F1466">
        <v>0</v>
      </c>
      <c r="G1466">
        <v>0</v>
      </c>
      <c r="H1466" t="s">
        <v>8</v>
      </c>
      <c r="I1466" s="75" t="str">
        <f ca="1">IF(Table7[[#This Row],[Type]]="KILL",IF(_xlfn.NUMBERVALUE(RIGHT(Table7[[#This Row],[Min]],LEN(Table7[[#This Row],[Min]])-FIND("-",Table7[[#This Row],[Min]])))&gt;INDIRECT(ADDRESS(11+MATCH(LEFT(Table7[[#This Row],[Min]],FIND("-",Table7[[#This Row],[Min]])-1),Table1[Content Sku],0),14,1,1,"Entities")),"review","ok"),"ok")</f>
        <v>ok</v>
      </c>
      <c r="U1466" t="s">
        <v>289</v>
      </c>
      <c r="V1466">
        <v>14000</v>
      </c>
      <c r="W1466">
        <v>0</v>
      </c>
      <c r="X1466" t="s">
        <v>205</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4438</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289</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4438</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289</v>
      </c>
      <c r="V1468">
        <v>0</v>
      </c>
      <c r="W1468">
        <v>0</v>
      </c>
      <c r="X1468" t="s">
        <v>8</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4438</v>
      </c>
      <c r="F1469">
        <v>8000</v>
      </c>
      <c r="G1469">
        <v>0</v>
      </c>
      <c r="H1469" t="s">
        <v>205</v>
      </c>
      <c r="I1469" s="75" t="str">
        <f ca="1">IF(Table7[[#This Row],[Type]]="KILL",IF(_xlfn.NUMBERVALUE(RIGHT(Table7[[#This Row],[Min]],LEN(Table7[[#This Row],[Min]])-FIND("-",Table7[[#This Row],[Min]])))&gt;INDIRECT(ADDRESS(11+MATCH(LEFT(Table7[[#This Row],[Min]],FIND("-",Table7[[#This Row],[Min]])-1),Table1[Content Sku],0),14,1,1,"Entities")),"review","ok"),"ok")</f>
        <v>ok</v>
      </c>
      <c r="U1469" t="s">
        <v>289</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4438</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289</v>
      </c>
      <c r="V1470">
        <v>0</v>
      </c>
      <c r="W1470">
        <v>0</v>
      </c>
      <c r="X1470" t="s">
        <v>8</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4438</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289</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4438</v>
      </c>
      <c r="F1472">
        <v>0</v>
      </c>
      <c r="G1472">
        <v>0</v>
      </c>
      <c r="H1472" t="s">
        <v>8</v>
      </c>
      <c r="I1472" s="75" t="str">
        <f ca="1">IF(Table7[[#This Row],[Type]]="KILL",IF(_xlfn.NUMBERVALUE(RIGHT(Table7[[#This Row],[Min]],LEN(Table7[[#This Row],[Min]])-FIND("-",Table7[[#This Row],[Min]])))&gt;INDIRECT(ADDRESS(11+MATCH(LEFT(Table7[[#This Row],[Min]],FIND("-",Table7[[#This Row],[Min]])-1),Table1[Content Sku],0),14,1,1,"Entities")),"review","ok"),"ok")</f>
        <v>ok</v>
      </c>
      <c r="U1472" t="s">
        <v>289</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4438</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289</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4438</v>
      </c>
      <c r="F1474">
        <v>180</v>
      </c>
      <c r="G1474">
        <v>0</v>
      </c>
      <c r="H1474" t="s">
        <v>4439</v>
      </c>
      <c r="I1474" s="75" t="str">
        <f ca="1">IF(Table7[[#This Row],[Type]]="KILL",IF(_xlfn.NUMBERVALUE(RIGHT(Table7[[#This Row],[Min]],LEN(Table7[[#This Row],[Min]])-FIND("-",Table7[[#This Row],[Min]])))&gt;INDIRECT(ADDRESS(11+MATCH(LEFT(Table7[[#This Row],[Min]],FIND("-",Table7[[#This Row],[Min]])-1),Table1[Content Sku],0),14,1,1,"Entities")),"review","ok"),"ok")</f>
        <v>ok</v>
      </c>
      <c r="U1474" t="s">
        <v>289</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4438</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289</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4438</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289</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4438</v>
      </c>
      <c r="F1477">
        <v>0</v>
      </c>
      <c r="G1477">
        <v>0</v>
      </c>
      <c r="H1477" t="s">
        <v>8</v>
      </c>
      <c r="I1477" s="75" t="str">
        <f ca="1">IF(Table7[[#This Row],[Type]]="KILL",IF(_xlfn.NUMBERVALUE(RIGHT(Table7[[#This Row],[Min]],LEN(Table7[[#This Row],[Min]])-FIND("-",Table7[[#This Row],[Min]])))&gt;INDIRECT(ADDRESS(11+MATCH(LEFT(Table7[[#This Row],[Min]],FIND("-",Table7[[#This Row],[Min]])-1),Table1[Content Sku],0),14,1,1,"Entities")),"review","ok"),"ok")</f>
        <v>ok</v>
      </c>
      <c r="U1477" t="s">
        <v>289</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4438</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289</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4438</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289</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4438</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289</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4438</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289</v>
      </c>
      <c r="V1481">
        <v>0</v>
      </c>
      <c r="W1481">
        <v>0</v>
      </c>
      <c r="X1481" t="s">
        <v>8</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4438</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289</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4438</v>
      </c>
      <c r="F1483">
        <v>90</v>
      </c>
      <c r="G1483">
        <v>0</v>
      </c>
      <c r="H1483" t="s">
        <v>4439</v>
      </c>
      <c r="I1483" s="75" t="str">
        <f ca="1">IF(Table7[[#This Row],[Type]]="KILL",IF(_xlfn.NUMBERVALUE(RIGHT(Table7[[#This Row],[Min]],LEN(Table7[[#This Row],[Min]])-FIND("-",Table7[[#This Row],[Min]])))&gt;INDIRECT(ADDRESS(11+MATCH(LEFT(Table7[[#This Row],[Min]],FIND("-",Table7[[#This Row],[Min]])-1),Table1[Content Sku],0),14,1,1,"Entities")),"review","ok"),"ok")</f>
        <v>ok</v>
      </c>
      <c r="U1483" t="s">
        <v>289</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4438</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289</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4438</v>
      </c>
      <c r="F1485">
        <v>9000</v>
      </c>
      <c r="G1485">
        <v>0</v>
      </c>
      <c r="H1485" t="s">
        <v>205</v>
      </c>
      <c r="I1485" s="75" t="str">
        <f ca="1">IF(Table7[[#This Row],[Type]]="KILL",IF(_xlfn.NUMBERVALUE(RIGHT(Table7[[#This Row],[Min]],LEN(Table7[[#This Row],[Min]])-FIND("-",Table7[[#This Row],[Min]])))&gt;INDIRECT(ADDRESS(11+MATCH(LEFT(Table7[[#This Row],[Min]],FIND("-",Table7[[#This Row],[Min]])-1),Table1[Content Sku],0),14,1,1,"Entities")),"review","ok"),"ok")</f>
        <v>ok</v>
      </c>
      <c r="U1485" t="s">
        <v>289</v>
      </c>
      <c r="V1485">
        <v>0</v>
      </c>
      <c r="W1485">
        <v>0</v>
      </c>
      <c r="X1485" t="s">
        <v>8</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4438</v>
      </c>
      <c r="F1486">
        <v>150</v>
      </c>
      <c r="G1486">
        <v>0</v>
      </c>
      <c r="H1486" t="s">
        <v>4439</v>
      </c>
      <c r="I1486" s="75" t="str">
        <f ca="1">IF(Table7[[#This Row],[Type]]="KILL",IF(_xlfn.NUMBERVALUE(RIGHT(Table7[[#This Row],[Min]],LEN(Table7[[#This Row],[Min]])-FIND("-",Table7[[#This Row],[Min]])))&gt;INDIRECT(ADDRESS(11+MATCH(LEFT(Table7[[#This Row],[Min]],FIND("-",Table7[[#This Row],[Min]])-1),Table1[Content Sku],0),14,1,1,"Entities")),"review","ok"),"ok")</f>
        <v>ok</v>
      </c>
      <c r="U1486" t="s">
        <v>289</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4438</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289</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4438</v>
      </c>
      <c r="F1488">
        <v>0</v>
      </c>
      <c r="G1488">
        <v>0</v>
      </c>
      <c r="H1488" t="s">
        <v>8</v>
      </c>
      <c r="I1488" s="75" t="str">
        <f ca="1">IF(Table7[[#This Row],[Type]]="KILL",IF(_xlfn.NUMBERVALUE(RIGHT(Table7[[#This Row],[Min]],LEN(Table7[[#This Row],[Min]])-FIND("-",Table7[[#This Row],[Min]])))&gt;INDIRECT(ADDRESS(11+MATCH(LEFT(Table7[[#This Row],[Min]],FIND("-",Table7[[#This Row],[Min]])-1),Table1[Content Sku],0),14,1,1,"Entities")),"review","ok"),"ok")</f>
        <v>ok</v>
      </c>
      <c r="U1488" t="s">
        <v>289</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42</v>
      </c>
      <c r="F1489">
        <v>17000</v>
      </c>
      <c r="G1489">
        <v>0</v>
      </c>
      <c r="H1489" t="s">
        <v>205</v>
      </c>
      <c r="I1489" s="75" t="str">
        <f ca="1">IF(Table7[[#This Row],[Type]]="KILL",IF(_xlfn.NUMBERVALUE(RIGHT(Table7[[#This Row],[Min]],LEN(Table7[[#This Row],[Min]])-FIND("-",Table7[[#This Row],[Min]])))&gt;INDIRECT(ADDRESS(11+MATCH(LEFT(Table7[[#This Row],[Min]],FIND("-",Table7[[#This Row],[Min]])-1),Table1[Content Sku],0),14,1,1,"Entities")),"review","ok"),"ok")</f>
        <v>ok</v>
      </c>
      <c r="U1489" t="s">
        <v>289</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42</v>
      </c>
      <c r="F1490">
        <v>18500</v>
      </c>
      <c r="G1490">
        <v>0</v>
      </c>
      <c r="H1490" t="s">
        <v>205</v>
      </c>
      <c r="I1490" s="75" t="str">
        <f ca="1">IF(Table7[[#This Row],[Type]]="KILL",IF(_xlfn.NUMBERVALUE(RIGHT(Table7[[#This Row],[Min]],LEN(Table7[[#This Row],[Min]])-FIND("-",Table7[[#This Row],[Min]])))&gt;INDIRECT(ADDRESS(11+MATCH(LEFT(Table7[[#This Row],[Min]],FIND("-",Table7[[#This Row],[Min]])-1),Table1[Content Sku],0),14,1,1,"Entities")),"review","ok"),"ok")</f>
        <v>ok</v>
      </c>
      <c r="U1490" t="s">
        <v>289</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42</v>
      </c>
      <c r="F1491">
        <v>30500</v>
      </c>
      <c r="G1491">
        <v>0</v>
      </c>
      <c r="H1491" t="s">
        <v>205</v>
      </c>
      <c r="I1491" s="75" t="str">
        <f ca="1">IF(Table7[[#This Row],[Type]]="KILL",IF(_xlfn.NUMBERVALUE(RIGHT(Table7[[#This Row],[Min]],LEN(Table7[[#This Row],[Min]])-FIND("-",Table7[[#This Row],[Min]])))&gt;INDIRECT(ADDRESS(11+MATCH(LEFT(Table7[[#This Row],[Min]],FIND("-",Table7[[#This Row],[Min]])-1),Table1[Content Sku],0),14,1,1,"Entities")),"review","ok"),"ok")</f>
        <v>ok</v>
      </c>
      <c r="U1491" t="s">
        <v>289</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35000</v>
      </c>
      <c r="G1492">
        <v>0</v>
      </c>
      <c r="H1492" t="s">
        <v>205</v>
      </c>
      <c r="I1492" s="75" t="str">
        <f ca="1">IF(Table7[[#This Row],[Type]]="KILL",IF(_xlfn.NUMBERVALUE(RIGHT(Table7[[#This Row],[Min]],LEN(Table7[[#This Row],[Min]])-FIND("-",Table7[[#This Row],[Min]])))&gt;INDIRECT(ADDRESS(11+MATCH(LEFT(Table7[[#This Row],[Min]],FIND("-",Table7[[#This Row],[Min]])-1),Table1[Content Sku],0),14,1,1,"Entities")),"review","ok"),"ok")</f>
        <v>ok</v>
      </c>
      <c r="U1492" t="s">
        <v>289</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35000</v>
      </c>
      <c r="G1493">
        <v>0</v>
      </c>
      <c r="H1493" t="s">
        <v>205</v>
      </c>
      <c r="I1493" s="75" t="str">
        <f ca="1">IF(Table7[[#This Row],[Type]]="KILL",IF(_xlfn.NUMBERVALUE(RIGHT(Table7[[#This Row],[Min]],LEN(Table7[[#This Row],[Min]])-FIND("-",Table7[[#This Row],[Min]])))&gt;INDIRECT(ADDRESS(11+MATCH(LEFT(Table7[[#This Row],[Min]],FIND("-",Table7[[#This Row],[Min]])-1),Table1[Content Sku],0),14,1,1,"Entities")),"review","ok"),"ok")</f>
        <v>ok</v>
      </c>
      <c r="U1493" t="s">
        <v>289</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25000</v>
      </c>
      <c r="G1494">
        <v>0</v>
      </c>
      <c r="H1494" t="s">
        <v>205</v>
      </c>
      <c r="I1494" s="75" t="str">
        <f ca="1">IF(Table7[[#This Row],[Type]]="KILL",IF(_xlfn.NUMBERVALUE(RIGHT(Table7[[#This Row],[Min]],LEN(Table7[[#This Row],[Min]])-FIND("-",Table7[[#This Row],[Min]])))&gt;INDIRECT(ADDRESS(11+MATCH(LEFT(Table7[[#This Row],[Min]],FIND("-",Table7[[#This Row],[Min]])-1),Table1[Content Sku],0),14,1,1,"Entities")),"review","ok"),"ok")</f>
        <v>ok</v>
      </c>
      <c r="U1494" t="s">
        <v>289</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30000</v>
      </c>
      <c r="G1495">
        <v>0</v>
      </c>
      <c r="H1495" t="s">
        <v>205</v>
      </c>
      <c r="I1495" s="75" t="str">
        <f ca="1">IF(Table7[[#This Row],[Type]]="KILL",IF(_xlfn.NUMBERVALUE(RIGHT(Table7[[#This Row],[Min]],LEN(Table7[[#This Row],[Min]])-FIND("-",Table7[[#This Row],[Min]])))&gt;INDIRECT(ADDRESS(11+MATCH(LEFT(Table7[[#This Row],[Min]],FIND("-",Table7[[#This Row],[Min]])-1),Table1[Content Sku],0),14,1,1,"Entities")),"review","ok"),"ok")</f>
        <v>ok</v>
      </c>
      <c r="U1495" t="s">
        <v>289</v>
      </c>
      <c r="V1495">
        <v>0</v>
      </c>
      <c r="W1495">
        <v>0</v>
      </c>
      <c r="X1495" t="s">
        <v>8</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16500</v>
      </c>
      <c r="G1496">
        <v>0</v>
      </c>
      <c r="H1496" t="s">
        <v>205</v>
      </c>
      <c r="I1496" s="75" t="str">
        <f ca="1">IF(Table7[[#This Row],[Type]]="KILL",IF(_xlfn.NUMBERVALUE(RIGHT(Table7[[#This Row],[Min]],LEN(Table7[[#This Row],[Min]])-FIND("-",Table7[[#This Row],[Min]])))&gt;INDIRECT(ADDRESS(11+MATCH(LEFT(Table7[[#This Row],[Min]],FIND("-",Table7[[#This Row],[Min]])-1),Table1[Content Sku],0),14,1,1,"Entities")),"review","ok"),"ok")</f>
        <v>ok</v>
      </c>
      <c r="U1496" t="s">
        <v>289</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25500</v>
      </c>
      <c r="G1497">
        <v>0</v>
      </c>
      <c r="H1497" t="s">
        <v>205</v>
      </c>
      <c r="I1497" s="75" t="str">
        <f ca="1">IF(Table7[[#This Row],[Type]]="KILL",IF(_xlfn.NUMBERVALUE(RIGHT(Table7[[#This Row],[Min]],LEN(Table7[[#This Row],[Min]])-FIND("-",Table7[[#This Row],[Min]])))&gt;INDIRECT(ADDRESS(11+MATCH(LEFT(Table7[[#This Row],[Min]],FIND("-",Table7[[#This Row],[Min]])-1),Table1[Content Sku],0),14,1,1,"Entities")),"review","ok"),"ok")</f>
        <v>ok</v>
      </c>
      <c r="U1497" t="s">
        <v>289</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18500</v>
      </c>
      <c r="G1498">
        <v>0</v>
      </c>
      <c r="H1498" t="s">
        <v>205</v>
      </c>
      <c r="I1498" s="75" t="str">
        <f ca="1">IF(Table7[[#This Row],[Type]]="KILL",IF(_xlfn.NUMBERVALUE(RIGHT(Table7[[#This Row],[Min]],LEN(Table7[[#This Row],[Min]])-FIND("-",Table7[[#This Row],[Min]])))&gt;INDIRECT(ADDRESS(11+MATCH(LEFT(Table7[[#This Row],[Min]],FIND("-",Table7[[#This Row],[Min]])-1),Table1[Content Sku],0),14,1,1,"Entities")),"review","ok"),"ok")</f>
        <v>ok</v>
      </c>
      <c r="U1498" t="s">
        <v>289</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20500</v>
      </c>
      <c r="G1499">
        <v>0</v>
      </c>
      <c r="H1499" t="s">
        <v>205</v>
      </c>
      <c r="I1499" s="75" t="str">
        <f ca="1">IF(Table7[[#This Row],[Type]]="KILL",IF(_xlfn.NUMBERVALUE(RIGHT(Table7[[#This Row],[Min]],LEN(Table7[[#This Row],[Min]])-FIND("-",Table7[[#This Row],[Min]])))&gt;INDIRECT(ADDRESS(11+MATCH(LEFT(Table7[[#This Row],[Min]],FIND("-",Table7[[#This Row],[Min]])-1),Table1[Content Sku],0),14,1,1,"Entities")),"review","ok"),"ok")</f>
        <v>ok</v>
      </c>
      <c r="U1499" t="s">
        <v>289</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43</v>
      </c>
      <c r="F1500">
        <v>17000</v>
      </c>
      <c r="G1500">
        <v>0</v>
      </c>
      <c r="H1500" t="s">
        <v>205</v>
      </c>
      <c r="I1500" s="75" t="str">
        <f ca="1">IF(Table7[[#This Row],[Type]]="KILL",IF(_xlfn.NUMBERVALUE(RIGHT(Table7[[#This Row],[Min]],LEN(Table7[[#This Row],[Min]])-FIND("-",Table7[[#This Row],[Min]])))&gt;INDIRECT(ADDRESS(11+MATCH(LEFT(Table7[[#This Row],[Min]],FIND("-",Table7[[#This Row],[Min]])-1),Table1[Content Sku],0),14,1,1,"Entities")),"review","ok"),"ok")</f>
        <v>ok</v>
      </c>
      <c r="U1500" t="s">
        <v>419</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43</v>
      </c>
      <c r="F1501">
        <v>16800</v>
      </c>
      <c r="G1501">
        <v>0</v>
      </c>
      <c r="H1501" t="s">
        <v>205</v>
      </c>
      <c r="I1501" s="75" t="str">
        <f ca="1">IF(Table7[[#This Row],[Type]]="KILL",IF(_xlfn.NUMBERVALUE(RIGHT(Table7[[#This Row],[Min]],LEN(Table7[[#This Row],[Min]])-FIND("-",Table7[[#This Row],[Min]])))&gt;INDIRECT(ADDRESS(11+MATCH(LEFT(Table7[[#This Row],[Min]],FIND("-",Table7[[#This Row],[Min]])-1),Table1[Content Sku],0),14,1,1,"Entities")),"review","ok"),"ok")</f>
        <v>ok</v>
      </c>
      <c r="U1501" t="s">
        <v>419</v>
      </c>
      <c r="V1501">
        <v>80000</v>
      </c>
      <c r="W1501">
        <v>0</v>
      </c>
      <c r="X1501" t="s">
        <v>205</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43</v>
      </c>
      <c r="F1502">
        <v>16000</v>
      </c>
      <c r="G1502">
        <v>0</v>
      </c>
      <c r="H1502" t="s">
        <v>205</v>
      </c>
      <c r="I1502" s="75" t="str">
        <f ca="1">IF(Table7[[#This Row],[Type]]="KILL",IF(_xlfn.NUMBERVALUE(RIGHT(Table7[[#This Row],[Min]],LEN(Table7[[#This Row],[Min]])-FIND("-",Table7[[#This Row],[Min]])))&gt;INDIRECT(ADDRESS(11+MATCH(LEFT(Table7[[#This Row],[Min]],FIND("-",Table7[[#This Row],[Min]])-1),Table1[Content Sku],0),14,1,1,"Entities")),"review","ok"),"ok")</f>
        <v>ok</v>
      </c>
      <c r="U1502" t="s">
        <v>419</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25000</v>
      </c>
      <c r="G1503">
        <v>0</v>
      </c>
      <c r="H1503" t="s">
        <v>205</v>
      </c>
      <c r="I1503" s="75" t="str">
        <f ca="1">IF(Table7[[#This Row],[Type]]="KILL",IF(_xlfn.NUMBERVALUE(RIGHT(Table7[[#This Row],[Min]],LEN(Table7[[#This Row],[Min]])-FIND("-",Table7[[#This Row],[Min]])))&gt;INDIRECT(ADDRESS(11+MATCH(LEFT(Table7[[#This Row],[Min]],FIND("-",Table7[[#This Row],[Min]])-1),Table1[Content Sku],0),14,1,1,"Entities")),"review","ok"),"ok")</f>
        <v>ok</v>
      </c>
      <c r="U1503" t="s">
        <v>419</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18000</v>
      </c>
      <c r="G1504">
        <v>0</v>
      </c>
      <c r="H1504" t="s">
        <v>205</v>
      </c>
      <c r="I1504" s="75" t="str">
        <f ca="1">IF(Table7[[#This Row],[Type]]="KILL",IF(_xlfn.NUMBERVALUE(RIGHT(Table7[[#This Row],[Min]],LEN(Table7[[#This Row],[Min]])-FIND("-",Table7[[#This Row],[Min]])))&gt;INDIRECT(ADDRESS(11+MATCH(LEFT(Table7[[#This Row],[Min]],FIND("-",Table7[[#This Row],[Min]])-1),Table1[Content Sku],0),14,1,1,"Entities")),"review","ok"),"ok")</f>
        <v>ok</v>
      </c>
      <c r="U1504" t="s">
        <v>419</v>
      </c>
      <c r="V1504">
        <v>70000</v>
      </c>
      <c r="W1504">
        <v>0</v>
      </c>
      <c r="X1504" t="s">
        <v>205</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16000</v>
      </c>
      <c r="G1505">
        <v>0</v>
      </c>
      <c r="H1505" t="s">
        <v>205</v>
      </c>
      <c r="I1505" s="75" t="str">
        <f ca="1">IF(Table7[[#This Row],[Type]]="KILL",IF(_xlfn.NUMBERVALUE(RIGHT(Table7[[#This Row],[Min]],LEN(Table7[[#This Row],[Min]])-FIND("-",Table7[[#This Row],[Min]])))&gt;INDIRECT(ADDRESS(11+MATCH(LEFT(Table7[[#This Row],[Min]],FIND("-",Table7[[#This Row],[Min]])-1),Table1[Content Sku],0),14,1,1,"Entities")),"review","ok"),"ok")</f>
        <v>ok</v>
      </c>
      <c r="U1505" t="s">
        <v>419</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45000</v>
      </c>
      <c r="G1506">
        <v>0</v>
      </c>
      <c r="H1506" t="s">
        <v>205</v>
      </c>
      <c r="I1506" s="75" t="str">
        <f ca="1">IF(Table7[[#This Row],[Type]]="KILL",IF(_xlfn.NUMBERVALUE(RIGHT(Table7[[#This Row],[Min]],LEN(Table7[[#This Row],[Min]])-FIND("-",Table7[[#This Row],[Min]])))&gt;INDIRECT(ADDRESS(11+MATCH(LEFT(Table7[[#This Row],[Min]],FIND("-",Table7[[#This Row],[Min]])-1),Table1[Content Sku],0),14,1,1,"Entities")),"review","ok"),"ok")</f>
        <v>ok</v>
      </c>
      <c r="U1506" t="s">
        <v>291</v>
      </c>
      <c r="V1506">
        <v>0</v>
      </c>
      <c r="W1506">
        <v>29000</v>
      </c>
      <c r="X1506" t="s">
        <v>205</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330</v>
      </c>
      <c r="G1507">
        <v>0</v>
      </c>
      <c r="H1507" t="s">
        <v>4439</v>
      </c>
      <c r="I1507" s="75" t="str">
        <f ca="1">IF(Table7[[#This Row],[Type]]="KILL",IF(_xlfn.NUMBERVALUE(RIGHT(Table7[[#This Row],[Min]],LEN(Table7[[#This Row],[Min]])-FIND("-",Table7[[#This Row],[Min]])))&gt;INDIRECT(ADDRESS(11+MATCH(LEFT(Table7[[#This Row],[Min]],FIND("-",Table7[[#This Row],[Min]])-1),Table1[Content Sku],0),14,1,1,"Entities")),"review","ok"),"ok")</f>
        <v>ok</v>
      </c>
      <c r="U1507" t="s">
        <v>291</v>
      </c>
      <c r="V1507">
        <v>0</v>
      </c>
      <c r="W1507">
        <v>20000</v>
      </c>
      <c r="X1507" t="s">
        <v>205</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44</v>
      </c>
      <c r="F1508">
        <v>8000</v>
      </c>
      <c r="G1508">
        <v>0</v>
      </c>
      <c r="H1508" t="s">
        <v>205</v>
      </c>
      <c r="I1508" s="75" t="str">
        <f ca="1">IF(Table7[[#This Row],[Type]]="KILL",IF(_xlfn.NUMBERVALUE(RIGHT(Table7[[#This Row],[Min]],LEN(Table7[[#This Row],[Min]])-FIND("-",Table7[[#This Row],[Min]])))&gt;INDIRECT(ADDRESS(11+MATCH(LEFT(Table7[[#This Row],[Min]],FIND("-",Table7[[#This Row],[Min]])-1),Table1[Content Sku],0),14,1,1,"Entities")),"review","ok"),"ok")</f>
        <v>ok</v>
      </c>
      <c r="U1508" t="s">
        <v>291</v>
      </c>
      <c r="V1508">
        <v>0</v>
      </c>
      <c r="W1508">
        <v>29000</v>
      </c>
      <c r="X1508" t="s">
        <v>205</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44</v>
      </c>
      <c r="F1509">
        <v>15000</v>
      </c>
      <c r="G1509">
        <v>0</v>
      </c>
      <c r="H1509" t="s">
        <v>205</v>
      </c>
      <c r="I1509" s="75" t="str">
        <f ca="1">IF(Table7[[#This Row],[Type]]="KILL",IF(_xlfn.NUMBERVALUE(RIGHT(Table7[[#This Row],[Min]],LEN(Table7[[#This Row],[Min]])-FIND("-",Table7[[#This Row],[Min]])))&gt;INDIRECT(ADDRESS(11+MATCH(LEFT(Table7[[#This Row],[Min]],FIND("-",Table7[[#This Row],[Min]])-1),Table1[Content Sku],0),14,1,1,"Entities")),"review","ok"),"ok")</f>
        <v>ok</v>
      </c>
      <c r="U1509" t="s">
        <v>291</v>
      </c>
      <c r="V1509">
        <v>0</v>
      </c>
      <c r="W1509">
        <v>20000</v>
      </c>
      <c r="X1509" t="s">
        <v>205</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44</v>
      </c>
      <c r="F1510">
        <v>0</v>
      </c>
      <c r="G1510">
        <v>20000</v>
      </c>
      <c r="H1510" t="s">
        <v>205</v>
      </c>
      <c r="I1510" s="75" t="str">
        <f ca="1">IF(Table7[[#This Row],[Type]]="KILL",IF(_xlfn.NUMBERVALUE(RIGHT(Table7[[#This Row],[Min]],LEN(Table7[[#This Row],[Min]])-FIND("-",Table7[[#This Row],[Min]])))&gt;INDIRECT(ADDRESS(11+MATCH(LEFT(Table7[[#This Row],[Min]],FIND("-",Table7[[#This Row],[Min]])-1),Table1[Content Sku],0),14,1,1,"Entities")),"review","ok"),"ok")</f>
        <v>ok</v>
      </c>
      <c r="U1510" t="s">
        <v>291</v>
      </c>
      <c r="V1510">
        <v>0</v>
      </c>
      <c r="W1510">
        <v>29000</v>
      </c>
      <c r="X1510" t="s">
        <v>205</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7500</v>
      </c>
      <c r="G1511">
        <v>0</v>
      </c>
      <c r="H1511" t="s">
        <v>205</v>
      </c>
      <c r="I1511" s="75" t="str">
        <f ca="1">IF(Table7[[#This Row],[Type]]="KILL",IF(_xlfn.NUMBERVALUE(RIGHT(Table7[[#This Row],[Min]],LEN(Table7[[#This Row],[Min]])-FIND("-",Table7[[#This Row],[Min]])))&gt;INDIRECT(ADDRESS(11+MATCH(LEFT(Table7[[#This Row],[Min]],FIND("-",Table7[[#This Row],[Min]])-1),Table1[Content Sku],0),14,1,1,"Entities")),"review","ok"),"ok")</f>
        <v>ok</v>
      </c>
      <c r="U1511" t="s">
        <v>291</v>
      </c>
      <c r="V1511">
        <v>0</v>
      </c>
      <c r="W1511">
        <v>29000</v>
      </c>
      <c r="X1511" t="s">
        <v>205</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7500</v>
      </c>
      <c r="G1512">
        <v>0</v>
      </c>
      <c r="H1512" t="s">
        <v>205</v>
      </c>
      <c r="I1512" s="75" t="str">
        <f ca="1">IF(Table7[[#This Row],[Type]]="KILL",IF(_xlfn.NUMBERVALUE(RIGHT(Table7[[#This Row],[Min]],LEN(Table7[[#This Row],[Min]])-FIND("-",Table7[[#This Row],[Min]])))&gt;INDIRECT(ADDRESS(11+MATCH(LEFT(Table7[[#This Row],[Min]],FIND("-",Table7[[#This Row],[Min]])-1),Table1[Content Sku],0),14,1,1,"Entities")),"review","ok"),"ok")</f>
        <v>ok</v>
      </c>
      <c r="U1512" t="s">
        <v>291</v>
      </c>
      <c r="V1512">
        <v>0</v>
      </c>
      <c r="W1512">
        <v>0</v>
      </c>
      <c r="X1512" t="s">
        <v>8</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0</v>
      </c>
      <c r="G1513">
        <v>0</v>
      </c>
      <c r="H1513" t="s">
        <v>8</v>
      </c>
      <c r="I1513" s="75" t="str">
        <f ca="1">IF(Table7[[#This Row],[Type]]="KILL",IF(_xlfn.NUMBERVALUE(RIGHT(Table7[[#This Row],[Min]],LEN(Table7[[#This Row],[Min]])-FIND("-",Table7[[#This Row],[Min]])))&gt;INDIRECT(ADDRESS(11+MATCH(LEFT(Table7[[#This Row],[Min]],FIND("-",Table7[[#This Row],[Min]])-1),Table1[Content Sku],0),14,1,1,"Entities")),"review","ok"),"ok")</f>
        <v>ok</v>
      </c>
      <c r="U1513" t="s">
        <v>293</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0</v>
      </c>
      <c r="G1514">
        <v>0</v>
      </c>
      <c r="H1514" t="s">
        <v>8</v>
      </c>
      <c r="I1514" s="75" t="str">
        <f ca="1">IF(Table7[[#This Row],[Type]]="KILL",IF(_xlfn.NUMBERVALUE(RIGHT(Table7[[#This Row],[Min]],LEN(Table7[[#This Row],[Min]])-FIND("-",Table7[[#This Row],[Min]])))&gt;INDIRECT(ADDRESS(11+MATCH(LEFT(Table7[[#This Row],[Min]],FIND("-",Table7[[#This Row],[Min]])-1),Table1[Content Sku],0),14,1,1,"Entities")),"review","ok"),"ok")</f>
        <v>ok</v>
      </c>
      <c r="U1514" t="s">
        <v>293</v>
      </c>
      <c r="V1514">
        <v>0</v>
      </c>
      <c r="W1514">
        <v>0</v>
      </c>
      <c r="X1514" t="s">
        <v>8</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0</v>
      </c>
      <c r="H1515" t="s">
        <v>8</v>
      </c>
      <c r="I1515" s="75" t="str">
        <f ca="1">IF(Table7[[#This Row],[Type]]="KILL",IF(_xlfn.NUMBERVALUE(RIGHT(Table7[[#This Row],[Min]],LEN(Table7[[#This Row],[Min]])-FIND("-",Table7[[#This Row],[Min]])))&gt;INDIRECT(ADDRESS(11+MATCH(LEFT(Table7[[#This Row],[Min]],FIND("-",Table7[[#This Row],[Min]])-1),Table1[Content Sku],0),14,1,1,"Entities")),"review","ok"),"ok")</f>
        <v>ok</v>
      </c>
      <c r="U1515" t="s">
        <v>293</v>
      </c>
      <c r="V1515">
        <v>0</v>
      </c>
      <c r="W1515">
        <v>0</v>
      </c>
      <c r="X1515" t="s">
        <v>8</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293</v>
      </c>
      <c r="V1516">
        <v>0</v>
      </c>
      <c r="W1516">
        <v>0</v>
      </c>
      <c r="X1516" t="s">
        <v>8</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9000</v>
      </c>
      <c r="G1517">
        <v>20000</v>
      </c>
      <c r="H1517" t="s">
        <v>205</v>
      </c>
      <c r="I1517" s="75" t="str">
        <f ca="1">IF(Table7[[#This Row],[Type]]="KILL",IF(_xlfn.NUMBERVALUE(RIGHT(Table7[[#This Row],[Min]],LEN(Table7[[#This Row],[Min]])-FIND("-",Table7[[#This Row],[Min]])))&gt;INDIRECT(ADDRESS(11+MATCH(LEFT(Table7[[#This Row],[Min]],FIND("-",Table7[[#This Row],[Min]])-1),Table1[Content Sku],0),14,1,1,"Entities")),"review","ok"),"ok")</f>
        <v>ok</v>
      </c>
      <c r="U1517" t="s">
        <v>293</v>
      </c>
      <c r="V1517">
        <v>0</v>
      </c>
      <c r="W1517">
        <v>18000</v>
      </c>
      <c r="X1517" t="s">
        <v>205</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293</v>
      </c>
      <c r="V1518">
        <v>0</v>
      </c>
      <c r="W1518">
        <v>0</v>
      </c>
      <c r="X1518" t="s">
        <v>8</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273</v>
      </c>
      <c r="F1519">
        <v>9100</v>
      </c>
      <c r="G1519">
        <v>0</v>
      </c>
      <c r="H1519" t="s">
        <v>205</v>
      </c>
      <c r="I1519" s="75" t="str">
        <f ca="1">IF(Table7[[#This Row],[Type]]="KILL",IF(_xlfn.NUMBERVALUE(RIGHT(Table7[[#This Row],[Min]],LEN(Table7[[#This Row],[Min]])-FIND("-",Table7[[#This Row],[Min]])))&gt;INDIRECT(ADDRESS(11+MATCH(LEFT(Table7[[#This Row],[Min]],FIND("-",Table7[[#This Row],[Min]])-1),Table1[Content Sku],0),14,1,1,"Entities")),"review","ok"),"ok")</f>
        <v>ok</v>
      </c>
      <c r="U1519" t="s">
        <v>293</v>
      </c>
      <c r="V1519">
        <v>0</v>
      </c>
      <c r="W1519">
        <v>0</v>
      </c>
      <c r="X1519" t="s">
        <v>8</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273</v>
      </c>
      <c r="F1520">
        <v>8000</v>
      </c>
      <c r="G1520">
        <v>0</v>
      </c>
      <c r="H1520" t="s">
        <v>205</v>
      </c>
      <c r="I1520" s="75" t="str">
        <f ca="1">IF(Table7[[#This Row],[Type]]="KILL",IF(_xlfn.NUMBERVALUE(RIGHT(Table7[[#This Row],[Min]],LEN(Table7[[#This Row],[Min]])-FIND("-",Table7[[#This Row],[Min]])))&gt;INDIRECT(ADDRESS(11+MATCH(LEFT(Table7[[#This Row],[Min]],FIND("-",Table7[[#This Row],[Min]])-1),Table1[Content Sku],0),14,1,1,"Entities")),"review","ok"),"ok")</f>
        <v>ok</v>
      </c>
      <c r="U1520" t="s">
        <v>293</v>
      </c>
      <c r="V1520">
        <v>0</v>
      </c>
      <c r="W1520">
        <v>0</v>
      </c>
      <c r="X1520" t="s">
        <v>8</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273</v>
      </c>
      <c r="F1521">
        <v>13000</v>
      </c>
      <c r="G1521">
        <v>0</v>
      </c>
      <c r="H1521" t="s">
        <v>205</v>
      </c>
      <c r="I1521" s="75" t="str">
        <f ca="1">IF(Table7[[#This Row],[Type]]="KILL",IF(_xlfn.NUMBERVALUE(RIGHT(Table7[[#This Row],[Min]],LEN(Table7[[#This Row],[Min]])-FIND("-",Table7[[#This Row],[Min]])))&gt;INDIRECT(ADDRESS(11+MATCH(LEFT(Table7[[#This Row],[Min]],FIND("-",Table7[[#This Row],[Min]])-1),Table1[Content Sku],0),14,1,1,"Entities")),"review","ok"),"ok")</f>
        <v>ok</v>
      </c>
      <c r="U1521" t="s">
        <v>293</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273</v>
      </c>
      <c r="F1522">
        <v>10000</v>
      </c>
      <c r="G1522">
        <v>0</v>
      </c>
      <c r="H1522" t="s">
        <v>205</v>
      </c>
      <c r="I1522" s="75" t="str">
        <f ca="1">IF(Table7[[#This Row],[Type]]="KILL",IF(_xlfn.NUMBERVALUE(RIGHT(Table7[[#This Row],[Min]],LEN(Table7[[#This Row],[Min]])-FIND("-",Table7[[#This Row],[Min]])))&gt;INDIRECT(ADDRESS(11+MATCH(LEFT(Table7[[#This Row],[Min]],FIND("-",Table7[[#This Row],[Min]])-1),Table1[Content Sku],0),14,1,1,"Entities")),"review","ok"),"ok")</f>
        <v>ok</v>
      </c>
      <c r="U1522" t="s">
        <v>293</v>
      </c>
      <c r="V1522">
        <v>0</v>
      </c>
      <c r="W1522">
        <v>0</v>
      </c>
      <c r="X1522" t="s">
        <v>8</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273</v>
      </c>
      <c r="F1523">
        <v>9000</v>
      </c>
      <c r="G1523">
        <v>0</v>
      </c>
      <c r="H1523" t="s">
        <v>205</v>
      </c>
      <c r="I1523" s="75" t="str">
        <f ca="1">IF(Table7[[#This Row],[Type]]="KILL",IF(_xlfn.NUMBERVALUE(RIGHT(Table7[[#This Row],[Min]],LEN(Table7[[#This Row],[Min]])-FIND("-",Table7[[#This Row],[Min]])))&gt;INDIRECT(ADDRESS(11+MATCH(LEFT(Table7[[#This Row],[Min]],FIND("-",Table7[[#This Row],[Min]])-1),Table1[Content Sku],0),14,1,1,"Entities")),"review","ok"),"ok")</f>
        <v>ok</v>
      </c>
      <c r="U1523" t="s">
        <v>293</v>
      </c>
      <c r="V1523">
        <v>0</v>
      </c>
      <c r="W1523">
        <v>0</v>
      </c>
      <c r="X1523" t="s">
        <v>8</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273</v>
      </c>
      <c r="F1524">
        <v>7500</v>
      </c>
      <c r="G1524">
        <v>0</v>
      </c>
      <c r="H1524" t="s">
        <v>205</v>
      </c>
      <c r="I1524" s="75" t="str">
        <f ca="1">IF(Table7[[#This Row],[Type]]="KILL",IF(_xlfn.NUMBERVALUE(RIGHT(Table7[[#This Row],[Min]],LEN(Table7[[#This Row],[Min]])-FIND("-",Table7[[#This Row],[Min]])))&gt;INDIRECT(ADDRESS(11+MATCH(LEFT(Table7[[#This Row],[Min]],FIND("-",Table7[[#This Row],[Min]])-1),Table1[Content Sku],0),14,1,1,"Entities")),"review","ok"),"ok")</f>
        <v>ok</v>
      </c>
      <c r="U1524" t="s">
        <v>293</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273</v>
      </c>
      <c r="F1525">
        <v>10000</v>
      </c>
      <c r="G1525">
        <v>0</v>
      </c>
      <c r="H1525" t="s">
        <v>205</v>
      </c>
      <c r="I1525" s="75" t="str">
        <f ca="1">IF(Table7[[#This Row],[Type]]="KILL",IF(_xlfn.NUMBERVALUE(RIGHT(Table7[[#This Row],[Min]],LEN(Table7[[#This Row],[Min]])-FIND("-",Table7[[#This Row],[Min]])))&gt;INDIRECT(ADDRESS(11+MATCH(LEFT(Table7[[#This Row],[Min]],FIND("-",Table7[[#This Row],[Min]])-1),Table1[Content Sku],0),14,1,1,"Entities")),"review","ok"),"ok")</f>
        <v>ok</v>
      </c>
      <c r="U1525" t="s">
        <v>293</v>
      </c>
      <c r="V1525">
        <v>0</v>
      </c>
      <c r="W1525">
        <v>0</v>
      </c>
      <c r="X1525" t="s">
        <v>8</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273</v>
      </c>
      <c r="F1526">
        <v>7500</v>
      </c>
      <c r="G1526">
        <v>0</v>
      </c>
      <c r="H1526" t="s">
        <v>205</v>
      </c>
      <c r="I1526" s="75" t="str">
        <f ca="1">IF(Table7[[#This Row],[Type]]="KILL",IF(_xlfn.NUMBERVALUE(RIGHT(Table7[[#This Row],[Min]],LEN(Table7[[#This Row],[Min]])-FIND("-",Table7[[#This Row],[Min]])))&gt;INDIRECT(ADDRESS(11+MATCH(LEFT(Table7[[#This Row],[Min]],FIND("-",Table7[[#This Row],[Min]])-1),Table1[Content Sku],0),14,1,1,"Entities")),"review","ok"),"ok")</f>
        <v>ok</v>
      </c>
      <c r="U1526" t="s">
        <v>293</v>
      </c>
      <c r="V1526">
        <v>30000</v>
      </c>
      <c r="W1526">
        <v>0</v>
      </c>
      <c r="X1526" t="s">
        <v>205</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273</v>
      </c>
      <c r="F1527">
        <v>0</v>
      </c>
      <c r="G1527">
        <v>0</v>
      </c>
      <c r="H1527" t="s">
        <v>8</v>
      </c>
      <c r="I1527" s="75" t="str">
        <f ca="1">IF(Table7[[#This Row],[Type]]="KILL",IF(_xlfn.NUMBERVALUE(RIGHT(Table7[[#This Row],[Min]],LEN(Table7[[#This Row],[Min]])-FIND("-",Table7[[#This Row],[Min]])))&gt;INDIRECT(ADDRESS(11+MATCH(LEFT(Table7[[#This Row],[Min]],FIND("-",Table7[[#This Row],[Min]])-1),Table1[Content Sku],0),14,1,1,"Entities")),"review","ok"),"ok")</f>
        <v>ok</v>
      </c>
      <c r="U1527" t="s">
        <v>293</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273</v>
      </c>
      <c r="F1528">
        <v>0</v>
      </c>
      <c r="G1528">
        <v>0</v>
      </c>
      <c r="H1528" t="s">
        <v>8</v>
      </c>
      <c r="I1528" s="75" t="str">
        <f ca="1">IF(Table7[[#This Row],[Type]]="KILL",IF(_xlfn.NUMBERVALUE(RIGHT(Table7[[#This Row],[Min]],LEN(Table7[[#This Row],[Min]])-FIND("-",Table7[[#This Row],[Min]])))&gt;INDIRECT(ADDRESS(11+MATCH(LEFT(Table7[[#This Row],[Min]],FIND("-",Table7[[#This Row],[Min]])-1),Table1[Content Sku],0),14,1,1,"Entities")),"review","ok"),"ok")</f>
        <v>ok</v>
      </c>
      <c r="U1528" t="s">
        <v>293</v>
      </c>
      <c r="V1528">
        <v>0</v>
      </c>
      <c r="W1528">
        <v>0</v>
      </c>
      <c r="X1528" t="s">
        <v>8</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273</v>
      </c>
      <c r="F1529">
        <v>12000</v>
      </c>
      <c r="G1529">
        <v>0</v>
      </c>
      <c r="H1529" t="s">
        <v>205</v>
      </c>
      <c r="I1529" s="75" t="str">
        <f ca="1">IF(Table7[[#This Row],[Type]]="KILL",IF(_xlfn.NUMBERVALUE(RIGHT(Table7[[#This Row],[Min]],LEN(Table7[[#This Row],[Min]])-FIND("-",Table7[[#This Row],[Min]])))&gt;INDIRECT(ADDRESS(11+MATCH(LEFT(Table7[[#This Row],[Min]],FIND("-",Table7[[#This Row],[Min]])-1),Table1[Content Sku],0),14,1,1,"Entities")),"review","ok"),"ok")</f>
        <v>ok</v>
      </c>
      <c r="U1529" t="s">
        <v>300</v>
      </c>
      <c r="V1529">
        <v>0</v>
      </c>
      <c r="W1529">
        <v>0</v>
      </c>
      <c r="X1529" t="s">
        <v>8</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273</v>
      </c>
      <c r="F1530">
        <v>12000</v>
      </c>
      <c r="G1530">
        <v>0</v>
      </c>
      <c r="H1530" t="s">
        <v>205</v>
      </c>
      <c r="I1530" s="75" t="str">
        <f ca="1">IF(Table7[[#This Row],[Type]]="KILL",IF(_xlfn.NUMBERVALUE(RIGHT(Table7[[#This Row],[Min]],LEN(Table7[[#This Row],[Min]])-FIND("-",Table7[[#This Row],[Min]])))&gt;INDIRECT(ADDRESS(11+MATCH(LEFT(Table7[[#This Row],[Min]],FIND("-",Table7[[#This Row],[Min]])-1),Table1[Content Sku],0),14,1,1,"Entities")),"review","ok"),"ok")</f>
        <v>ok</v>
      </c>
      <c r="U1530" t="s">
        <v>300</v>
      </c>
      <c r="V1530">
        <v>0</v>
      </c>
      <c r="W1530">
        <v>220</v>
      </c>
      <c r="X1530" t="s">
        <v>4439</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273</v>
      </c>
      <c r="F1531">
        <v>17000</v>
      </c>
      <c r="G1531">
        <v>0</v>
      </c>
      <c r="H1531" t="s">
        <v>205</v>
      </c>
      <c r="I1531" s="75" t="str">
        <f ca="1">IF(Table7[[#This Row],[Type]]="KILL",IF(_xlfn.NUMBERVALUE(RIGHT(Table7[[#This Row],[Min]],LEN(Table7[[#This Row],[Min]])-FIND("-",Table7[[#This Row],[Min]])))&gt;INDIRECT(ADDRESS(11+MATCH(LEFT(Table7[[#This Row],[Min]],FIND("-",Table7[[#This Row],[Min]])-1),Table1[Content Sku],0),14,1,1,"Entities")),"review","ok"),"ok")</f>
        <v>ok</v>
      </c>
      <c r="U1531" t="s">
        <v>300</v>
      </c>
      <c r="V1531">
        <v>0</v>
      </c>
      <c r="W1531">
        <v>200</v>
      </c>
      <c r="X1531" t="s">
        <v>4439</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273</v>
      </c>
      <c r="F1532">
        <v>8000</v>
      </c>
      <c r="G1532">
        <v>0</v>
      </c>
      <c r="H1532" t="s">
        <v>205</v>
      </c>
      <c r="I1532" s="75" t="str">
        <f ca="1">IF(Table7[[#This Row],[Type]]="KILL",IF(_xlfn.NUMBERVALUE(RIGHT(Table7[[#This Row],[Min]],LEN(Table7[[#This Row],[Min]])-FIND("-",Table7[[#This Row],[Min]])))&gt;INDIRECT(ADDRESS(11+MATCH(LEFT(Table7[[#This Row],[Min]],FIND("-",Table7[[#This Row],[Min]])-1),Table1[Content Sku],0),14,1,1,"Entities")),"review","ok"),"ok")</f>
        <v>ok</v>
      </c>
      <c r="U1532" t="s">
        <v>300</v>
      </c>
      <c r="V1532">
        <v>0</v>
      </c>
      <c r="W1532">
        <v>200</v>
      </c>
      <c r="X1532" t="s">
        <v>4439</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273</v>
      </c>
      <c r="F1533">
        <v>0</v>
      </c>
      <c r="G1533">
        <v>0</v>
      </c>
      <c r="H1533" t="s">
        <v>8</v>
      </c>
      <c r="I1533" s="75" t="str">
        <f ca="1">IF(Table7[[#This Row],[Type]]="KILL",IF(_xlfn.NUMBERVALUE(RIGHT(Table7[[#This Row],[Min]],LEN(Table7[[#This Row],[Min]])-FIND("-",Table7[[#This Row],[Min]])))&gt;INDIRECT(ADDRESS(11+MATCH(LEFT(Table7[[#This Row],[Min]],FIND("-",Table7[[#This Row],[Min]])-1),Table1[Content Sku],0),14,1,1,"Entities")),"review","ok"),"ok")</f>
        <v>ok</v>
      </c>
      <c r="U1533" t="s">
        <v>300</v>
      </c>
      <c r="V1533">
        <v>20000</v>
      </c>
      <c r="W1533">
        <v>0</v>
      </c>
      <c r="X1533" t="s">
        <v>205</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273</v>
      </c>
      <c r="F1534">
        <v>11100</v>
      </c>
      <c r="G1534">
        <v>0</v>
      </c>
      <c r="H1534" t="s">
        <v>205</v>
      </c>
      <c r="I1534" s="75" t="str">
        <f ca="1">IF(Table7[[#This Row],[Type]]="KILL",IF(_xlfn.NUMBERVALUE(RIGHT(Table7[[#This Row],[Min]],LEN(Table7[[#This Row],[Min]])-FIND("-",Table7[[#This Row],[Min]])))&gt;INDIRECT(ADDRESS(11+MATCH(LEFT(Table7[[#This Row],[Min]],FIND("-",Table7[[#This Row],[Min]])-1),Table1[Content Sku],0),14,1,1,"Entities")),"review","ok"),"ok")</f>
        <v>ok</v>
      </c>
      <c r="U1534" t="s">
        <v>300</v>
      </c>
      <c r="V1534">
        <v>0</v>
      </c>
      <c r="W1534">
        <v>220</v>
      </c>
      <c r="X1534" t="s">
        <v>4439</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273</v>
      </c>
      <c r="F1535">
        <v>16100</v>
      </c>
      <c r="G1535">
        <v>0</v>
      </c>
      <c r="H1535" t="s">
        <v>205</v>
      </c>
      <c r="I1535" s="75" t="str">
        <f ca="1">IF(Table7[[#This Row],[Type]]="KILL",IF(_xlfn.NUMBERVALUE(RIGHT(Table7[[#This Row],[Min]],LEN(Table7[[#This Row],[Min]])-FIND("-",Table7[[#This Row],[Min]])))&gt;INDIRECT(ADDRESS(11+MATCH(LEFT(Table7[[#This Row],[Min]],FIND("-",Table7[[#This Row],[Min]])-1),Table1[Content Sku],0),14,1,1,"Entities")),"review","ok"),"ok")</f>
        <v>ok</v>
      </c>
      <c r="U1535" t="s">
        <v>302</v>
      </c>
      <c r="V1535">
        <v>0</v>
      </c>
      <c r="W1535">
        <v>0</v>
      </c>
      <c r="X1535" t="s">
        <v>8</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276</v>
      </c>
      <c r="F1536">
        <v>0</v>
      </c>
      <c r="G1536">
        <v>0</v>
      </c>
      <c r="H1536" t="s">
        <v>8</v>
      </c>
      <c r="I1536" s="75" t="str">
        <f ca="1">IF(Table7[[#This Row],[Type]]="KILL",IF(_xlfn.NUMBERVALUE(RIGHT(Table7[[#This Row],[Min]],LEN(Table7[[#This Row],[Min]])-FIND("-",Table7[[#This Row],[Min]])))&gt;INDIRECT(ADDRESS(11+MATCH(LEFT(Table7[[#This Row],[Min]],FIND("-",Table7[[#This Row],[Min]])-1),Table1[Content Sku],0),14,1,1,"Entities")),"review","ok"),"ok")</f>
        <v>ok</v>
      </c>
      <c r="U1536" t="s">
        <v>302</v>
      </c>
      <c r="V1536">
        <v>0</v>
      </c>
      <c r="W1536">
        <v>0</v>
      </c>
      <c r="X1536" t="s">
        <v>8</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276</v>
      </c>
      <c r="F1537">
        <v>0</v>
      </c>
      <c r="G1537">
        <v>0</v>
      </c>
      <c r="H1537" t="s">
        <v>8</v>
      </c>
      <c r="I1537" s="75" t="str">
        <f ca="1">IF(Table7[[#This Row],[Type]]="KILL",IF(_xlfn.NUMBERVALUE(RIGHT(Table7[[#This Row],[Min]],LEN(Table7[[#This Row],[Min]])-FIND("-",Table7[[#This Row],[Min]])))&gt;INDIRECT(ADDRESS(11+MATCH(LEFT(Table7[[#This Row],[Min]],FIND("-",Table7[[#This Row],[Min]])-1),Table1[Content Sku],0),14,1,1,"Entities")),"review","ok"),"ok")</f>
        <v>ok</v>
      </c>
      <c r="U1537" t="s">
        <v>302</v>
      </c>
      <c r="V1537">
        <v>23000</v>
      </c>
      <c r="W1537">
        <v>0</v>
      </c>
      <c r="X1537" t="s">
        <v>205</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276</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302</v>
      </c>
      <c r="V1538">
        <v>25000</v>
      </c>
      <c r="W1538">
        <v>0</v>
      </c>
      <c r="X1538" t="s">
        <v>205</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276</v>
      </c>
      <c r="F1539">
        <v>95</v>
      </c>
      <c r="G1539">
        <v>0</v>
      </c>
      <c r="H1539" t="s">
        <v>4439</v>
      </c>
      <c r="I1539" s="75" t="str">
        <f ca="1">IF(Table7[[#This Row],[Type]]="KILL",IF(_xlfn.NUMBERVALUE(RIGHT(Table7[[#This Row],[Min]],LEN(Table7[[#This Row],[Min]])-FIND("-",Table7[[#This Row],[Min]])))&gt;INDIRECT(ADDRESS(11+MATCH(LEFT(Table7[[#This Row],[Min]],FIND("-",Table7[[#This Row],[Min]])-1),Table1[Content Sku],0),14,1,1,"Entities")),"review","ok"),"ok")</f>
        <v>ok</v>
      </c>
      <c r="U1539" t="s">
        <v>304</v>
      </c>
      <c r="V1539">
        <v>0</v>
      </c>
      <c r="W1539">
        <v>0</v>
      </c>
      <c r="X1539" t="s">
        <v>8</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276</v>
      </c>
      <c r="F1540">
        <v>0</v>
      </c>
      <c r="G1540">
        <v>0</v>
      </c>
      <c r="H1540" t="s">
        <v>8</v>
      </c>
      <c r="I1540" s="75" t="str">
        <f ca="1">IF(Table7[[#This Row],[Type]]="KILL",IF(_xlfn.NUMBERVALUE(RIGHT(Table7[[#This Row],[Min]],LEN(Table7[[#This Row],[Min]])-FIND("-",Table7[[#This Row],[Min]])))&gt;INDIRECT(ADDRESS(11+MATCH(LEFT(Table7[[#This Row],[Min]],FIND("-",Table7[[#This Row],[Min]])-1),Table1[Content Sku],0),14,1,1,"Entities")),"review","ok"),"ok")</f>
        <v>ok</v>
      </c>
      <c r="U1540" t="s">
        <v>304</v>
      </c>
      <c r="V1540">
        <v>0</v>
      </c>
      <c r="W1540">
        <v>0</v>
      </c>
      <c r="X1540" t="s">
        <v>8</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276</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304</v>
      </c>
      <c r="V1541">
        <v>30000</v>
      </c>
      <c r="W1541">
        <v>0</v>
      </c>
      <c r="X1541" t="s">
        <v>205</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276</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304</v>
      </c>
      <c r="V1542">
        <v>0</v>
      </c>
      <c r="W1542">
        <v>0</v>
      </c>
      <c r="X1542" t="s">
        <v>8</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276</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304</v>
      </c>
      <c r="V1543">
        <v>0</v>
      </c>
      <c r="W1543">
        <v>220</v>
      </c>
      <c r="X1543" t="s">
        <v>4439</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276</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304</v>
      </c>
      <c r="V1544">
        <v>0</v>
      </c>
      <c r="W1544">
        <v>0</v>
      </c>
      <c r="X1544" t="s">
        <v>8</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276</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304</v>
      </c>
      <c r="V1545">
        <v>30000</v>
      </c>
      <c r="W1545">
        <v>0</v>
      </c>
      <c r="X1545" t="s">
        <v>205</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276</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306</v>
      </c>
      <c r="V1546">
        <v>0</v>
      </c>
      <c r="W1546">
        <v>0</v>
      </c>
      <c r="X1546" t="s">
        <v>8</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276</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306</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276</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306</v>
      </c>
      <c r="V1548">
        <v>0</v>
      </c>
      <c r="W1548">
        <v>0</v>
      </c>
      <c r="X1548" t="s">
        <v>8</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276</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306</v>
      </c>
      <c r="V1549">
        <v>22000</v>
      </c>
      <c r="W1549">
        <v>0</v>
      </c>
      <c r="X1549" t="s">
        <v>205</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276</v>
      </c>
      <c r="F1550">
        <v>0</v>
      </c>
      <c r="G1550">
        <v>10000</v>
      </c>
      <c r="H1550" t="s">
        <v>205</v>
      </c>
      <c r="I1550" s="75" t="str">
        <f ca="1">IF(Table7[[#This Row],[Type]]="KILL",IF(_xlfn.NUMBERVALUE(RIGHT(Table7[[#This Row],[Min]],LEN(Table7[[#This Row],[Min]])-FIND("-",Table7[[#This Row],[Min]])))&gt;INDIRECT(ADDRESS(11+MATCH(LEFT(Table7[[#This Row],[Min]],FIND("-",Table7[[#This Row],[Min]])-1),Table1[Content Sku],0),14,1,1,"Entities")),"review","ok"),"ok")</f>
        <v>ok</v>
      </c>
      <c r="U1550" t="s">
        <v>306</v>
      </c>
      <c r="V1550">
        <v>0</v>
      </c>
      <c r="W1550">
        <v>0</v>
      </c>
      <c r="X1550" t="s">
        <v>8</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276</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306</v>
      </c>
      <c r="V1551">
        <v>18000</v>
      </c>
      <c r="W1551">
        <v>0</v>
      </c>
      <c r="X1551" t="s">
        <v>205</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276</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306</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276</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306</v>
      </c>
      <c r="V1553">
        <v>0</v>
      </c>
      <c r="W1553">
        <v>0</v>
      </c>
      <c r="X1553" t="s">
        <v>8</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276</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306</v>
      </c>
      <c r="V1554">
        <v>30000</v>
      </c>
      <c r="W1554">
        <v>0</v>
      </c>
      <c r="X1554" t="s">
        <v>205</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276</v>
      </c>
      <c r="F1555">
        <v>0</v>
      </c>
      <c r="G1555">
        <v>5000</v>
      </c>
      <c r="H1555" t="s">
        <v>205</v>
      </c>
      <c r="I1555" s="75" t="str">
        <f ca="1">IF(Table7[[#This Row],[Type]]="KILL",IF(_xlfn.NUMBERVALUE(RIGHT(Table7[[#This Row],[Min]],LEN(Table7[[#This Row],[Min]])-FIND("-",Table7[[#This Row],[Min]])))&gt;INDIRECT(ADDRESS(11+MATCH(LEFT(Table7[[#This Row],[Min]],FIND("-",Table7[[#This Row],[Min]])-1),Table1[Content Sku],0),14,1,1,"Entities")),"review","ok"),"ok")</f>
        <v>ok</v>
      </c>
      <c r="U1555" t="s">
        <v>306</v>
      </c>
      <c r="V1555">
        <v>0</v>
      </c>
      <c r="W1555">
        <v>0</v>
      </c>
      <c r="X1555" t="s">
        <v>8</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276</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306</v>
      </c>
      <c r="V1556">
        <v>0</v>
      </c>
      <c r="W1556">
        <v>0</v>
      </c>
      <c r="X1556" t="s">
        <v>8</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276</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306</v>
      </c>
      <c r="V1557">
        <v>28000</v>
      </c>
      <c r="W1557">
        <v>0</v>
      </c>
      <c r="X1557" t="s">
        <v>205</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276</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306</v>
      </c>
      <c r="V1558">
        <v>0</v>
      </c>
      <c r="W1558">
        <v>0</v>
      </c>
      <c r="X1558" t="s">
        <v>8</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276</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306</v>
      </c>
      <c r="V1559">
        <v>24000</v>
      </c>
      <c r="W1559">
        <v>0</v>
      </c>
      <c r="X1559" t="s">
        <v>205</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276</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306</v>
      </c>
      <c r="V1560" t="s">
        <v>6883</v>
      </c>
      <c r="W1560" t="s">
        <v>4477</v>
      </c>
      <c r="X1560" t="s">
        <v>4478</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278</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306</v>
      </c>
      <c r="V1561">
        <v>330</v>
      </c>
      <c r="W1561">
        <v>0</v>
      </c>
      <c r="X1561" t="s">
        <v>4439</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278</v>
      </c>
      <c r="F1562">
        <v>5000</v>
      </c>
      <c r="G1562">
        <v>0</v>
      </c>
      <c r="H1562" t="s">
        <v>205</v>
      </c>
      <c r="I1562" s="75" t="str">
        <f ca="1">IF(Table7[[#This Row],[Type]]="KILL",IF(_xlfn.NUMBERVALUE(RIGHT(Table7[[#This Row],[Min]],LEN(Table7[[#This Row],[Min]])-FIND("-",Table7[[#This Row],[Min]])))&gt;INDIRECT(ADDRESS(11+MATCH(LEFT(Table7[[#This Row],[Min]],FIND("-",Table7[[#This Row],[Min]])-1),Table1[Content Sku],0),14,1,1,"Entities")),"review","ok"),"ok")</f>
        <v>ok</v>
      </c>
      <c r="U1562" t="s">
        <v>306</v>
      </c>
      <c r="V1562">
        <v>30000</v>
      </c>
      <c r="W1562">
        <v>0</v>
      </c>
      <c r="X1562" t="s">
        <v>205</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278</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309</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278</v>
      </c>
      <c r="F1564">
        <v>5500</v>
      </c>
      <c r="G1564">
        <v>0</v>
      </c>
      <c r="H1564" t="s">
        <v>205</v>
      </c>
      <c r="I1564" s="75" t="str">
        <f ca="1">IF(Table7[[#This Row],[Type]]="KILL",IF(_xlfn.NUMBERVALUE(RIGHT(Table7[[#This Row],[Min]],LEN(Table7[[#This Row],[Min]])-FIND("-",Table7[[#This Row],[Min]])))&gt;INDIRECT(ADDRESS(11+MATCH(LEFT(Table7[[#This Row],[Min]],FIND("-",Table7[[#This Row],[Min]])-1),Table1[Content Sku],0),14,1,1,"Entities")),"review","ok"),"ok")</f>
        <v>ok</v>
      </c>
      <c r="U1564" t="s">
        <v>309</v>
      </c>
      <c r="V1564">
        <v>0</v>
      </c>
      <c r="W1564">
        <v>0</v>
      </c>
      <c r="X1564" t="s">
        <v>8</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278</v>
      </c>
      <c r="F1565">
        <v>80</v>
      </c>
      <c r="G1565">
        <v>0</v>
      </c>
      <c r="H1565" t="s">
        <v>4439</v>
      </c>
      <c r="I1565" s="75" t="str">
        <f ca="1">IF(Table7[[#This Row],[Type]]="KILL",IF(_xlfn.NUMBERVALUE(RIGHT(Table7[[#This Row],[Min]],LEN(Table7[[#This Row],[Min]])-FIND("-",Table7[[#This Row],[Min]])))&gt;INDIRECT(ADDRESS(11+MATCH(LEFT(Table7[[#This Row],[Min]],FIND("-",Table7[[#This Row],[Min]])-1),Table1[Content Sku],0),14,1,1,"Entities")),"review","ok"),"ok")</f>
        <v>ok</v>
      </c>
      <c r="U1565" t="s">
        <v>309</v>
      </c>
      <c r="V1565">
        <v>35000</v>
      </c>
      <c r="W1565">
        <v>0</v>
      </c>
      <c r="X1565" t="s">
        <v>205</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278</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309</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278</v>
      </c>
      <c r="F1567">
        <v>17000</v>
      </c>
      <c r="G1567">
        <v>0</v>
      </c>
      <c r="H1567" t="s">
        <v>205</v>
      </c>
      <c r="I1567" s="75" t="str">
        <f ca="1">IF(Table7[[#This Row],[Type]]="KILL",IF(_xlfn.NUMBERVALUE(RIGHT(Table7[[#This Row],[Min]],LEN(Table7[[#This Row],[Min]])-FIND("-",Table7[[#This Row],[Min]])))&gt;INDIRECT(ADDRESS(11+MATCH(LEFT(Table7[[#This Row],[Min]],FIND("-",Table7[[#This Row],[Min]])-1),Table1[Content Sku],0),14,1,1,"Entities")),"review","ok"),"ok")</f>
        <v>ok</v>
      </c>
      <c r="U1567" t="s">
        <v>309</v>
      </c>
      <c r="V1567">
        <v>0</v>
      </c>
      <c r="W1567">
        <v>0</v>
      </c>
      <c r="X1567" t="s">
        <v>8</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278</v>
      </c>
      <c r="F1568">
        <v>4500</v>
      </c>
      <c r="G1568">
        <v>0</v>
      </c>
      <c r="H1568" t="s">
        <v>205</v>
      </c>
      <c r="I1568" s="75" t="str">
        <f ca="1">IF(Table7[[#This Row],[Type]]="KILL",IF(_xlfn.NUMBERVALUE(RIGHT(Table7[[#This Row],[Min]],LEN(Table7[[#This Row],[Min]])-FIND("-",Table7[[#This Row],[Min]])))&gt;INDIRECT(ADDRESS(11+MATCH(LEFT(Table7[[#This Row],[Min]],FIND("-",Table7[[#This Row],[Min]])-1),Table1[Content Sku],0),14,1,1,"Entities")),"review","ok"),"ok")</f>
        <v>ok</v>
      </c>
      <c r="U1568" t="s">
        <v>309</v>
      </c>
      <c r="V1568">
        <v>0</v>
      </c>
      <c r="W1568">
        <v>0</v>
      </c>
      <c r="X1568" t="s">
        <v>8</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278</v>
      </c>
      <c r="F1569">
        <v>0</v>
      </c>
      <c r="G1569">
        <v>0</v>
      </c>
      <c r="H1569" t="s">
        <v>8</v>
      </c>
      <c r="I1569" s="75" t="str">
        <f ca="1">IF(Table7[[#This Row],[Type]]="KILL",IF(_xlfn.NUMBERVALUE(RIGHT(Table7[[#This Row],[Min]],LEN(Table7[[#This Row],[Min]])-FIND("-",Table7[[#This Row],[Min]])))&gt;INDIRECT(ADDRESS(11+MATCH(LEFT(Table7[[#This Row],[Min]],FIND("-",Table7[[#This Row],[Min]])-1),Table1[Content Sku],0),14,1,1,"Entities")),"review","ok"),"ok")</f>
        <v>ok</v>
      </c>
      <c r="U1569" t="s">
        <v>309</v>
      </c>
      <c r="V1569">
        <v>0</v>
      </c>
      <c r="W1569">
        <v>0</v>
      </c>
      <c r="X1569" t="s">
        <v>8</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278</v>
      </c>
      <c r="F1570">
        <v>0</v>
      </c>
      <c r="G1570">
        <v>0</v>
      </c>
      <c r="H1570" t="s">
        <v>8</v>
      </c>
      <c r="I1570" s="75" t="str">
        <f ca="1">IF(Table7[[#This Row],[Type]]="KILL",IF(_xlfn.NUMBERVALUE(RIGHT(Table7[[#This Row],[Min]],LEN(Table7[[#This Row],[Min]])-FIND("-",Table7[[#This Row],[Min]])))&gt;INDIRECT(ADDRESS(11+MATCH(LEFT(Table7[[#This Row],[Min]],FIND("-",Table7[[#This Row],[Min]])-1),Table1[Content Sku],0),14,1,1,"Entities")),"review","ok"),"ok")</f>
        <v>ok</v>
      </c>
      <c r="U1570" t="s">
        <v>309</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278</v>
      </c>
      <c r="F1571">
        <v>210</v>
      </c>
      <c r="G1571">
        <v>0</v>
      </c>
      <c r="H1571" t="s">
        <v>4439</v>
      </c>
      <c r="I1571" s="75" t="str">
        <f ca="1">IF(Table7[[#This Row],[Type]]="KILL",IF(_xlfn.NUMBERVALUE(RIGHT(Table7[[#This Row],[Min]],LEN(Table7[[#This Row],[Min]])-FIND("-",Table7[[#This Row],[Min]])))&gt;INDIRECT(ADDRESS(11+MATCH(LEFT(Table7[[#This Row],[Min]],FIND("-",Table7[[#This Row],[Min]])-1),Table1[Content Sku],0),14,1,1,"Entities")),"review","ok"),"ok")</f>
        <v>ok</v>
      </c>
      <c r="U1571" t="s">
        <v>309</v>
      </c>
      <c r="V1571">
        <v>45000</v>
      </c>
      <c r="W1571">
        <v>0</v>
      </c>
      <c r="X1571" t="s">
        <v>205</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278</v>
      </c>
      <c r="F1572">
        <v>2000</v>
      </c>
      <c r="G1572">
        <v>6000</v>
      </c>
      <c r="H1572" t="s">
        <v>205</v>
      </c>
      <c r="I1572" s="75" t="str">
        <f ca="1">IF(Table7[[#This Row],[Type]]="KILL",IF(_xlfn.NUMBERVALUE(RIGHT(Table7[[#This Row],[Min]],LEN(Table7[[#This Row],[Min]])-FIND("-",Table7[[#This Row],[Min]])))&gt;INDIRECT(ADDRESS(11+MATCH(LEFT(Table7[[#This Row],[Min]],FIND("-",Table7[[#This Row],[Min]])-1),Table1[Content Sku],0),14,1,1,"Entities")),"review","ok"),"ok")</f>
        <v>ok</v>
      </c>
      <c r="U1572" t="s">
        <v>309</v>
      </c>
      <c r="V1572">
        <v>45000</v>
      </c>
      <c r="W1572">
        <v>0</v>
      </c>
      <c r="X1572" t="s">
        <v>205</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278</v>
      </c>
      <c r="F1573">
        <v>90</v>
      </c>
      <c r="G1573">
        <v>0</v>
      </c>
      <c r="H1573" t="s">
        <v>4439</v>
      </c>
      <c r="I1573" s="75" t="str">
        <f ca="1">IF(Table7[[#This Row],[Type]]="KILL",IF(_xlfn.NUMBERVALUE(RIGHT(Table7[[#This Row],[Min]],LEN(Table7[[#This Row],[Min]])-FIND("-",Table7[[#This Row],[Min]])))&gt;INDIRECT(ADDRESS(11+MATCH(LEFT(Table7[[#This Row],[Min]],FIND("-",Table7[[#This Row],[Min]])-1),Table1[Content Sku],0),14,1,1,"Entities")),"review","ok"),"ok")</f>
        <v>ok</v>
      </c>
      <c r="U1573" t="s">
        <v>309</v>
      </c>
      <c r="V1573">
        <v>0</v>
      </c>
      <c r="W1573">
        <v>0</v>
      </c>
      <c r="X1573" t="s">
        <v>8</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278</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309</v>
      </c>
      <c r="V1574">
        <v>0</v>
      </c>
      <c r="W1574">
        <v>0</v>
      </c>
      <c r="X1574" t="s">
        <v>8</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278</v>
      </c>
      <c r="F1575">
        <v>100</v>
      </c>
      <c r="G1575">
        <v>0</v>
      </c>
      <c r="H1575" t="s">
        <v>4439</v>
      </c>
      <c r="I1575" s="75" t="str">
        <f ca="1">IF(Table7[[#This Row],[Type]]="KILL",IF(_xlfn.NUMBERVALUE(RIGHT(Table7[[#This Row],[Min]],LEN(Table7[[#This Row],[Min]])-FIND("-",Table7[[#This Row],[Min]])))&gt;INDIRECT(ADDRESS(11+MATCH(LEFT(Table7[[#This Row],[Min]],FIND("-",Table7[[#This Row],[Min]])-1),Table1[Content Sku],0),14,1,1,"Entities")),"review","ok"),"ok")</f>
        <v>ok</v>
      </c>
      <c r="U1575" t="s">
        <v>309</v>
      </c>
      <c r="V1575">
        <v>0</v>
      </c>
      <c r="W1575">
        <v>0</v>
      </c>
      <c r="X1575" t="s">
        <v>8</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278</v>
      </c>
      <c r="F1576">
        <v>0</v>
      </c>
      <c r="G1576">
        <v>0</v>
      </c>
      <c r="H1576" t="s">
        <v>8</v>
      </c>
      <c r="I1576" s="75" t="str">
        <f ca="1">IF(Table7[[#This Row],[Type]]="KILL",IF(_xlfn.NUMBERVALUE(RIGHT(Table7[[#This Row],[Min]],LEN(Table7[[#This Row],[Min]])-FIND("-",Table7[[#This Row],[Min]])))&gt;INDIRECT(ADDRESS(11+MATCH(LEFT(Table7[[#This Row],[Min]],FIND("-",Table7[[#This Row],[Min]])-1),Table1[Content Sku],0),14,1,1,"Entities")),"review","ok"),"ok")</f>
        <v>ok</v>
      </c>
      <c r="U1576" t="s">
        <v>309</v>
      </c>
      <c r="V1576">
        <v>0</v>
      </c>
      <c r="W1576">
        <v>0</v>
      </c>
      <c r="X1576" t="s">
        <v>8</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278</v>
      </c>
      <c r="F1577">
        <v>4000</v>
      </c>
      <c r="G1577">
        <v>0</v>
      </c>
      <c r="H1577" t="s">
        <v>205</v>
      </c>
      <c r="I1577" s="75" t="str">
        <f ca="1">IF(Table7[[#This Row],[Type]]="KILL",IF(_xlfn.NUMBERVALUE(RIGHT(Table7[[#This Row],[Min]],LEN(Table7[[#This Row],[Min]])-FIND("-",Table7[[#This Row],[Min]])))&gt;INDIRECT(ADDRESS(11+MATCH(LEFT(Table7[[#This Row],[Min]],FIND("-",Table7[[#This Row],[Min]])-1),Table1[Content Sku],0),14,1,1,"Entities")),"review","ok"),"ok")</f>
        <v>ok</v>
      </c>
      <c r="U1577" t="s">
        <v>309</v>
      </c>
      <c r="V1577">
        <v>0</v>
      </c>
      <c r="W1577">
        <v>0</v>
      </c>
      <c r="X1577" t="s">
        <v>8</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278</v>
      </c>
      <c r="F1578">
        <v>0</v>
      </c>
      <c r="G1578">
        <v>5000</v>
      </c>
      <c r="H1578" t="s">
        <v>205</v>
      </c>
      <c r="I1578" s="75" t="str">
        <f ca="1">IF(Table7[[#This Row],[Type]]="KILL",IF(_xlfn.NUMBERVALUE(RIGHT(Table7[[#This Row],[Min]],LEN(Table7[[#This Row],[Min]])-FIND("-",Table7[[#This Row],[Min]])))&gt;INDIRECT(ADDRESS(11+MATCH(LEFT(Table7[[#This Row],[Min]],FIND("-",Table7[[#This Row],[Min]])-1),Table1[Content Sku],0),14,1,1,"Entities")),"review","ok"),"ok")</f>
        <v>ok</v>
      </c>
      <c r="U1578" t="s">
        <v>309</v>
      </c>
      <c r="V1578">
        <v>0</v>
      </c>
      <c r="W1578">
        <v>0</v>
      </c>
      <c r="X1578" t="s">
        <v>8</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278</v>
      </c>
      <c r="F1579">
        <v>0</v>
      </c>
      <c r="G1579">
        <v>7000</v>
      </c>
      <c r="H1579" t="s">
        <v>205</v>
      </c>
      <c r="I1579" s="75" t="str">
        <f ca="1">IF(Table7[[#This Row],[Type]]="KILL",IF(_xlfn.NUMBERVALUE(RIGHT(Table7[[#This Row],[Min]],LEN(Table7[[#This Row],[Min]])-FIND("-",Table7[[#This Row],[Min]])))&gt;INDIRECT(ADDRESS(11+MATCH(LEFT(Table7[[#This Row],[Min]],FIND("-",Table7[[#This Row],[Min]])-1),Table1[Content Sku],0),14,1,1,"Entities")),"review","ok"),"ok")</f>
        <v>ok</v>
      </c>
      <c r="U1579" t="s">
        <v>309</v>
      </c>
      <c r="V1579">
        <v>44000</v>
      </c>
      <c r="W1579">
        <v>0</v>
      </c>
      <c r="X1579" t="s">
        <v>205</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278</v>
      </c>
      <c r="F1580">
        <v>0</v>
      </c>
      <c r="G1580">
        <v>0</v>
      </c>
      <c r="H1580" t="s">
        <v>8</v>
      </c>
      <c r="I1580" s="75" t="str">
        <f ca="1">IF(Table7[[#This Row],[Type]]="KILL",IF(_xlfn.NUMBERVALUE(RIGHT(Table7[[#This Row],[Min]],LEN(Table7[[#This Row],[Min]])-FIND("-",Table7[[#This Row],[Min]])))&gt;INDIRECT(ADDRESS(11+MATCH(LEFT(Table7[[#This Row],[Min]],FIND("-",Table7[[#This Row],[Min]])-1),Table1[Content Sku],0),14,1,1,"Entities")),"review","ok"),"ok")</f>
        <v>ok</v>
      </c>
      <c r="U1580" t="s">
        <v>309</v>
      </c>
      <c r="V1580">
        <v>29000</v>
      </c>
      <c r="W1580">
        <v>0</v>
      </c>
      <c r="X1580" t="s">
        <v>205</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278</v>
      </c>
      <c r="F1581">
        <v>3000</v>
      </c>
      <c r="G1581">
        <v>7000</v>
      </c>
      <c r="H1581" t="s">
        <v>205</v>
      </c>
      <c r="I1581" s="75" t="str">
        <f ca="1">IF(Table7[[#This Row],[Type]]="KILL",IF(_xlfn.NUMBERVALUE(RIGHT(Table7[[#This Row],[Min]],LEN(Table7[[#This Row],[Min]])-FIND("-",Table7[[#This Row],[Min]])))&gt;INDIRECT(ADDRESS(11+MATCH(LEFT(Table7[[#This Row],[Min]],FIND("-",Table7[[#This Row],[Min]])-1),Table1[Content Sku],0),14,1,1,"Entities")),"review","ok"),"ok")</f>
        <v>ok</v>
      </c>
      <c r="U1581" t="s">
        <v>309</v>
      </c>
      <c r="V1581">
        <v>31000</v>
      </c>
      <c r="W1581">
        <v>0</v>
      </c>
      <c r="X1581" t="s">
        <v>205</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278</v>
      </c>
      <c r="F1582">
        <v>2000</v>
      </c>
      <c r="G1582">
        <v>6000</v>
      </c>
      <c r="H1582" t="s">
        <v>205</v>
      </c>
      <c r="I1582" s="75" t="str">
        <f ca="1">IF(Table7[[#This Row],[Type]]="KILL",IF(_xlfn.NUMBERVALUE(RIGHT(Table7[[#This Row],[Min]],LEN(Table7[[#This Row],[Min]])-FIND("-",Table7[[#This Row],[Min]])))&gt;INDIRECT(ADDRESS(11+MATCH(LEFT(Table7[[#This Row],[Min]],FIND("-",Table7[[#This Row],[Min]])-1),Table1[Content Sku],0),14,1,1,"Entities")),"review","ok"),"ok")</f>
        <v>ok</v>
      </c>
      <c r="U1582" t="s">
        <v>309</v>
      </c>
      <c r="V1582">
        <v>42000</v>
      </c>
      <c r="W1582">
        <v>0</v>
      </c>
      <c r="X1582" t="s">
        <v>205</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278</v>
      </c>
      <c r="F1583">
        <v>0</v>
      </c>
      <c r="G1583">
        <v>0</v>
      </c>
      <c r="H1583" t="s">
        <v>8</v>
      </c>
      <c r="I1583" s="75" t="str">
        <f ca="1">IF(Table7[[#This Row],[Type]]="KILL",IF(_xlfn.NUMBERVALUE(RIGHT(Table7[[#This Row],[Min]],LEN(Table7[[#This Row],[Min]])-FIND("-",Table7[[#This Row],[Min]])))&gt;INDIRECT(ADDRESS(11+MATCH(LEFT(Table7[[#This Row],[Min]],FIND("-",Table7[[#This Row],[Min]])-1),Table1[Content Sku],0),14,1,1,"Entities")),"review","ok"),"ok")</f>
        <v>ok</v>
      </c>
      <c r="U1583" t="s">
        <v>309</v>
      </c>
      <c r="V1583">
        <v>36000</v>
      </c>
      <c r="W1583">
        <v>0</v>
      </c>
      <c r="X1583" t="s">
        <v>205</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278</v>
      </c>
      <c r="F1584">
        <v>0</v>
      </c>
      <c r="G1584">
        <v>0</v>
      </c>
      <c r="H1584" t="s">
        <v>8</v>
      </c>
      <c r="I1584" s="75" t="str">
        <f ca="1">IF(Table7[[#This Row],[Type]]="KILL",IF(_xlfn.NUMBERVALUE(RIGHT(Table7[[#This Row],[Min]],LEN(Table7[[#This Row],[Min]])-FIND("-",Table7[[#This Row],[Min]])))&gt;INDIRECT(ADDRESS(11+MATCH(LEFT(Table7[[#This Row],[Min]],FIND("-",Table7[[#This Row],[Min]])-1),Table1[Content Sku],0),14,1,1,"Entities")),"review","ok"),"ok")</f>
        <v>ok</v>
      </c>
      <c r="U1584" t="s">
        <v>309</v>
      </c>
      <c r="V1584">
        <v>28000</v>
      </c>
      <c r="W1584">
        <v>0</v>
      </c>
      <c r="X1584" t="s">
        <v>205</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278</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311</v>
      </c>
      <c r="V1585">
        <v>0</v>
      </c>
      <c r="W1585">
        <v>0</v>
      </c>
      <c r="X1585" t="s">
        <v>8</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278</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311</v>
      </c>
      <c r="V1586">
        <v>21000</v>
      </c>
      <c r="W1586">
        <v>0</v>
      </c>
      <c r="X1586" t="s">
        <v>205</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278</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311</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278</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311</v>
      </c>
      <c r="V1588">
        <v>0</v>
      </c>
      <c r="W1588">
        <v>0</v>
      </c>
      <c r="X1588" t="s">
        <v>8</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278</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311</v>
      </c>
      <c r="V1589">
        <v>24000</v>
      </c>
      <c r="W1589">
        <v>0</v>
      </c>
      <c r="X1589" t="s">
        <v>205</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278</v>
      </c>
      <c r="F1590">
        <v>2000</v>
      </c>
      <c r="G1590">
        <v>0</v>
      </c>
      <c r="H1590" t="s">
        <v>205</v>
      </c>
      <c r="I1590" s="75" t="str">
        <f ca="1">IF(Table7[[#This Row],[Type]]="KILL",IF(_xlfn.NUMBERVALUE(RIGHT(Table7[[#This Row],[Min]],LEN(Table7[[#This Row],[Min]])-FIND("-",Table7[[#This Row],[Min]])))&gt;INDIRECT(ADDRESS(11+MATCH(LEFT(Table7[[#This Row],[Min]],FIND("-",Table7[[#This Row],[Min]])-1),Table1[Content Sku],0),14,1,1,"Entities")),"review","ok"),"ok")</f>
        <v>ok</v>
      </c>
      <c r="U1590" t="s">
        <v>311</v>
      </c>
      <c r="V1590">
        <v>29000</v>
      </c>
      <c r="W1590">
        <v>0</v>
      </c>
      <c r="X1590" t="s">
        <v>205</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278</v>
      </c>
      <c r="F1591">
        <v>3000</v>
      </c>
      <c r="G1591">
        <v>0</v>
      </c>
      <c r="H1591" t="s">
        <v>205</v>
      </c>
      <c r="I1591" s="75" t="str">
        <f ca="1">IF(Table7[[#This Row],[Type]]="KILL",IF(_xlfn.NUMBERVALUE(RIGHT(Table7[[#This Row],[Min]],LEN(Table7[[#This Row],[Min]])-FIND("-",Table7[[#This Row],[Min]])))&gt;INDIRECT(ADDRESS(11+MATCH(LEFT(Table7[[#This Row],[Min]],FIND("-",Table7[[#This Row],[Min]])-1),Table1[Content Sku],0),14,1,1,"Entities")),"review","ok"),"ok")</f>
        <v>ok</v>
      </c>
      <c r="U1591" t="s">
        <v>311</v>
      </c>
      <c r="V1591">
        <v>0</v>
      </c>
      <c r="W1591">
        <v>0</v>
      </c>
      <c r="X1591" t="s">
        <v>8</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280</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311</v>
      </c>
      <c r="V1592">
        <v>0</v>
      </c>
      <c r="W1592">
        <v>0</v>
      </c>
      <c r="X1592" t="s">
        <v>8</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280</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311</v>
      </c>
      <c r="V1593">
        <v>0</v>
      </c>
      <c r="W1593">
        <v>0</v>
      </c>
      <c r="X1593" t="s">
        <v>8</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280</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311</v>
      </c>
      <c r="V1594">
        <v>0</v>
      </c>
      <c r="W1594">
        <v>0</v>
      </c>
      <c r="X1594" t="s">
        <v>8</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280</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311</v>
      </c>
      <c r="V1595">
        <v>0</v>
      </c>
      <c r="W1595">
        <v>0</v>
      </c>
      <c r="X1595" t="s">
        <v>8</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280</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311</v>
      </c>
      <c r="V1596">
        <v>0</v>
      </c>
      <c r="W1596">
        <v>0</v>
      </c>
      <c r="X1596" t="s">
        <v>8</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280</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311</v>
      </c>
      <c r="V1597">
        <v>0</v>
      </c>
      <c r="W1597">
        <v>0</v>
      </c>
      <c r="X1597" t="s">
        <v>8</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280</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311</v>
      </c>
      <c r="V1598">
        <v>18000</v>
      </c>
      <c r="W1598">
        <v>0</v>
      </c>
      <c r="X1598" t="s">
        <v>205</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280</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311</v>
      </c>
      <c r="V1599">
        <v>20000</v>
      </c>
      <c r="W1599">
        <v>0</v>
      </c>
      <c r="X1599" t="s">
        <v>205</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280</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311</v>
      </c>
      <c r="V1600">
        <v>17000</v>
      </c>
      <c r="W1600">
        <v>0</v>
      </c>
      <c r="X1600" t="s">
        <v>205</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280</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311</v>
      </c>
      <c r="V1601">
        <v>0</v>
      </c>
      <c r="W1601">
        <v>0</v>
      </c>
      <c r="X1601" t="s">
        <v>8</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280</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311</v>
      </c>
      <c r="V1602">
        <v>0</v>
      </c>
      <c r="W1602">
        <v>0</v>
      </c>
      <c r="X1602" t="s">
        <v>8</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280</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311</v>
      </c>
      <c r="V1603">
        <v>0</v>
      </c>
      <c r="W1603">
        <v>0</v>
      </c>
      <c r="X1603" t="s">
        <v>8</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280</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311</v>
      </c>
      <c r="V1604">
        <v>27000</v>
      </c>
      <c r="W1604">
        <v>0</v>
      </c>
      <c r="X1604" t="s">
        <v>205</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280</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311</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280</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311</v>
      </c>
      <c r="V1606">
        <v>0</v>
      </c>
      <c r="W1606">
        <v>0</v>
      </c>
      <c r="X1606" t="s">
        <v>8</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280</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311</v>
      </c>
      <c r="V1607">
        <v>0</v>
      </c>
      <c r="W1607">
        <v>0</v>
      </c>
      <c r="X1607" t="s">
        <v>8</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280</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311</v>
      </c>
      <c r="V1608">
        <v>0</v>
      </c>
      <c r="W1608">
        <v>0</v>
      </c>
      <c r="X1608" t="s">
        <v>8</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280</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311</v>
      </c>
      <c r="V1609">
        <v>22000</v>
      </c>
      <c r="W1609">
        <v>0</v>
      </c>
      <c r="X1609" t="s">
        <v>205</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280</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311</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280</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311</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280</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311</v>
      </c>
      <c r="V1612">
        <v>0</v>
      </c>
      <c r="W1612">
        <v>0</v>
      </c>
      <c r="X1612" t="s">
        <v>8</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280</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311</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280</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311</v>
      </c>
      <c r="V1614">
        <v>0</v>
      </c>
      <c r="W1614">
        <v>0</v>
      </c>
      <c r="X1614" t="s">
        <v>8</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280</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311</v>
      </c>
      <c r="V1615">
        <v>16000</v>
      </c>
      <c r="W1615">
        <v>0</v>
      </c>
      <c r="X1615" t="s">
        <v>205</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280</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311</v>
      </c>
      <c r="V1616">
        <v>25000</v>
      </c>
      <c r="W1616">
        <v>0</v>
      </c>
      <c r="X1616" t="s">
        <v>205</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280</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311</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280</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311</v>
      </c>
      <c r="V1618">
        <v>0</v>
      </c>
      <c r="W1618">
        <v>0</v>
      </c>
      <c r="X1618" t="s">
        <v>8</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280</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311</v>
      </c>
      <c r="V1619">
        <v>0</v>
      </c>
      <c r="W1619">
        <v>0</v>
      </c>
      <c r="X1619" t="s">
        <v>8</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280</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311</v>
      </c>
      <c r="V1620">
        <v>0</v>
      </c>
      <c r="W1620">
        <v>0</v>
      </c>
      <c r="X1620" t="s">
        <v>8</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280</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311</v>
      </c>
      <c r="V1621">
        <v>0</v>
      </c>
      <c r="W1621">
        <v>0</v>
      </c>
      <c r="X1621" t="s">
        <v>8</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280</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313</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280</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313</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283</v>
      </c>
      <c r="F1624">
        <v>7000</v>
      </c>
      <c r="G1624">
        <v>0</v>
      </c>
      <c r="H1624" t="s">
        <v>205</v>
      </c>
      <c r="I1624" s="75" t="str">
        <f ca="1">IF(Table7[[#This Row],[Type]]="KILL",IF(_xlfn.NUMBERVALUE(RIGHT(Table7[[#This Row],[Min]],LEN(Table7[[#This Row],[Min]])-FIND("-",Table7[[#This Row],[Min]])))&gt;INDIRECT(ADDRESS(11+MATCH(LEFT(Table7[[#This Row],[Min]],FIND("-",Table7[[#This Row],[Min]])-1),Table1[Content Sku],0),14,1,1,"Entities")),"review","ok"),"ok")</f>
        <v>ok</v>
      </c>
      <c r="U1624" t="s">
        <v>313</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283</v>
      </c>
      <c r="F1625">
        <v>3200</v>
      </c>
      <c r="G1625">
        <v>0</v>
      </c>
      <c r="H1625" t="s">
        <v>205</v>
      </c>
      <c r="I1625" s="75" t="str">
        <f ca="1">IF(Table7[[#This Row],[Type]]="KILL",IF(_xlfn.NUMBERVALUE(RIGHT(Table7[[#This Row],[Min]],LEN(Table7[[#This Row],[Min]])-FIND("-",Table7[[#This Row],[Min]])))&gt;INDIRECT(ADDRESS(11+MATCH(LEFT(Table7[[#This Row],[Min]],FIND("-",Table7[[#This Row],[Min]])-1),Table1[Content Sku],0),14,1,1,"Entities")),"review","ok"),"ok")</f>
        <v>ok</v>
      </c>
      <c r="U1625" t="s">
        <v>313</v>
      </c>
      <c r="V1625">
        <v>25000</v>
      </c>
      <c r="W1625">
        <v>0</v>
      </c>
      <c r="X1625" t="s">
        <v>205</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283</v>
      </c>
      <c r="F1626">
        <v>0</v>
      </c>
      <c r="G1626">
        <v>0</v>
      </c>
      <c r="H1626" t="s">
        <v>8</v>
      </c>
      <c r="I1626" s="75" t="str">
        <f ca="1">IF(Table7[[#This Row],[Type]]="KILL",IF(_xlfn.NUMBERVALUE(RIGHT(Table7[[#This Row],[Min]],LEN(Table7[[#This Row],[Min]])-FIND("-",Table7[[#This Row],[Min]])))&gt;INDIRECT(ADDRESS(11+MATCH(LEFT(Table7[[#This Row],[Min]],FIND("-",Table7[[#This Row],[Min]])-1),Table1[Content Sku],0),14,1,1,"Entities")),"review","ok"),"ok")</f>
        <v>ok</v>
      </c>
      <c r="U1626" t="s">
        <v>313</v>
      </c>
      <c r="V1626">
        <v>25000</v>
      </c>
      <c r="W1626">
        <v>0</v>
      </c>
      <c r="X1626" t="s">
        <v>205</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283</v>
      </c>
      <c r="F1627">
        <v>0</v>
      </c>
      <c r="G1627">
        <v>0</v>
      </c>
      <c r="H1627" t="s">
        <v>8</v>
      </c>
      <c r="I1627" s="75" t="str">
        <f ca="1">IF(Table7[[#This Row],[Type]]="KILL",IF(_xlfn.NUMBERVALUE(RIGHT(Table7[[#This Row],[Min]],LEN(Table7[[#This Row],[Min]])-FIND("-",Table7[[#This Row],[Min]])))&gt;INDIRECT(ADDRESS(11+MATCH(LEFT(Table7[[#This Row],[Min]],FIND("-",Table7[[#This Row],[Min]])-1),Table1[Content Sku],0),14,1,1,"Entities")),"review","ok"),"ok")</f>
        <v>ok</v>
      </c>
      <c r="U1627" t="s">
        <v>313</v>
      </c>
      <c r="V1627">
        <v>0</v>
      </c>
      <c r="W1627">
        <v>0</v>
      </c>
      <c r="X1627" t="s">
        <v>8</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283</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313</v>
      </c>
      <c r="V1628">
        <v>0</v>
      </c>
      <c r="W1628">
        <v>0</v>
      </c>
      <c r="X1628" t="s">
        <v>8</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283</v>
      </c>
      <c r="F1629">
        <v>9200</v>
      </c>
      <c r="G1629">
        <v>0</v>
      </c>
      <c r="H1629" t="s">
        <v>205</v>
      </c>
      <c r="I1629" s="75" t="str">
        <f ca="1">IF(Table7[[#This Row],[Type]]="KILL",IF(_xlfn.NUMBERVALUE(RIGHT(Table7[[#This Row],[Min]],LEN(Table7[[#This Row],[Min]])-FIND("-",Table7[[#This Row],[Min]])))&gt;INDIRECT(ADDRESS(11+MATCH(LEFT(Table7[[#This Row],[Min]],FIND("-",Table7[[#This Row],[Min]])-1),Table1[Content Sku],0),14,1,1,"Entities")),"review","ok"),"ok")</f>
        <v>ok</v>
      </c>
      <c r="U1629" t="s">
        <v>313</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283</v>
      </c>
      <c r="F1630">
        <v>5000</v>
      </c>
      <c r="G1630">
        <v>0</v>
      </c>
      <c r="H1630" t="s">
        <v>205</v>
      </c>
      <c r="I1630" s="75" t="str">
        <f ca="1">IF(Table7[[#This Row],[Type]]="KILL",IF(_xlfn.NUMBERVALUE(RIGHT(Table7[[#This Row],[Min]],LEN(Table7[[#This Row],[Min]])-FIND("-",Table7[[#This Row],[Min]])))&gt;INDIRECT(ADDRESS(11+MATCH(LEFT(Table7[[#This Row],[Min]],FIND("-",Table7[[#This Row],[Min]])-1),Table1[Content Sku],0),14,1,1,"Entities")),"review","ok"),"ok")</f>
        <v>ok</v>
      </c>
      <c r="U1630" t="s">
        <v>313</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283</v>
      </c>
      <c r="F1631">
        <v>5000</v>
      </c>
      <c r="G1631">
        <v>0</v>
      </c>
      <c r="H1631" t="s">
        <v>205</v>
      </c>
      <c r="I1631" s="75" t="str">
        <f ca="1">IF(Table7[[#This Row],[Type]]="KILL",IF(_xlfn.NUMBERVALUE(RIGHT(Table7[[#This Row],[Min]],LEN(Table7[[#This Row],[Min]])-FIND("-",Table7[[#This Row],[Min]])))&gt;INDIRECT(ADDRESS(11+MATCH(LEFT(Table7[[#This Row],[Min]],FIND("-",Table7[[#This Row],[Min]])-1),Table1[Content Sku],0),14,1,1,"Entities")),"review","ok"),"ok")</f>
        <v>ok</v>
      </c>
      <c r="U1631" t="s">
        <v>313</v>
      </c>
      <c r="V1631">
        <v>0</v>
      </c>
      <c r="W1631">
        <v>0</v>
      </c>
      <c r="X1631" t="s">
        <v>8</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283</v>
      </c>
      <c r="F1632">
        <v>0</v>
      </c>
      <c r="G1632">
        <v>0</v>
      </c>
      <c r="H1632" t="s">
        <v>8</v>
      </c>
      <c r="I1632" s="75" t="str">
        <f ca="1">IF(Table7[[#This Row],[Type]]="KILL",IF(_xlfn.NUMBERVALUE(RIGHT(Table7[[#This Row],[Min]],LEN(Table7[[#This Row],[Min]])-FIND("-",Table7[[#This Row],[Min]])))&gt;INDIRECT(ADDRESS(11+MATCH(LEFT(Table7[[#This Row],[Min]],FIND("-",Table7[[#This Row],[Min]])-1),Table1[Content Sku],0),14,1,1,"Entities")),"review","ok"),"ok")</f>
        <v>ok</v>
      </c>
      <c r="U1632" t="s">
        <v>313</v>
      </c>
      <c r="V1632">
        <v>0</v>
      </c>
      <c r="W1632">
        <v>0</v>
      </c>
      <c r="X1632" t="s">
        <v>8</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283</v>
      </c>
      <c r="F1633">
        <v>6000</v>
      </c>
      <c r="G1633">
        <v>0</v>
      </c>
      <c r="H1633" t="s">
        <v>205</v>
      </c>
      <c r="I1633" s="75" t="str">
        <f ca="1">IF(Table7[[#This Row],[Type]]="KILL",IF(_xlfn.NUMBERVALUE(RIGHT(Table7[[#This Row],[Min]],LEN(Table7[[#This Row],[Min]])-FIND("-",Table7[[#This Row],[Min]])))&gt;INDIRECT(ADDRESS(11+MATCH(LEFT(Table7[[#This Row],[Min]],FIND("-",Table7[[#This Row],[Min]])-1),Table1[Content Sku],0),14,1,1,"Entities")),"review","ok"),"ok")</f>
        <v>ok</v>
      </c>
      <c r="U1633" t="s">
        <v>313</v>
      </c>
      <c r="V1633">
        <v>0</v>
      </c>
      <c r="W1633">
        <v>0</v>
      </c>
      <c r="X1633" t="s">
        <v>8</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283</v>
      </c>
      <c r="F1634">
        <v>0</v>
      </c>
      <c r="G1634">
        <v>0</v>
      </c>
      <c r="H1634" t="s">
        <v>8</v>
      </c>
      <c r="I1634" s="75" t="str">
        <f ca="1">IF(Table7[[#This Row],[Type]]="KILL",IF(_xlfn.NUMBERVALUE(RIGHT(Table7[[#This Row],[Min]],LEN(Table7[[#This Row],[Min]])-FIND("-",Table7[[#This Row],[Min]])))&gt;INDIRECT(ADDRESS(11+MATCH(LEFT(Table7[[#This Row],[Min]],FIND("-",Table7[[#This Row],[Min]])-1),Table1[Content Sku],0),14,1,1,"Entities")),"review","ok"),"ok")</f>
        <v>ok</v>
      </c>
      <c r="U1634" t="s">
        <v>313</v>
      </c>
      <c r="V1634">
        <v>0</v>
      </c>
      <c r="W1634">
        <v>0</v>
      </c>
      <c r="X1634" t="s">
        <v>8</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283</v>
      </c>
      <c r="F1635">
        <v>8000</v>
      </c>
      <c r="G1635">
        <v>0</v>
      </c>
      <c r="H1635" t="s">
        <v>205</v>
      </c>
      <c r="I1635" s="75" t="str">
        <f ca="1">IF(Table7[[#This Row],[Type]]="KILL",IF(_xlfn.NUMBERVALUE(RIGHT(Table7[[#This Row],[Min]],LEN(Table7[[#This Row],[Min]])-FIND("-",Table7[[#This Row],[Min]])))&gt;INDIRECT(ADDRESS(11+MATCH(LEFT(Table7[[#This Row],[Min]],FIND("-",Table7[[#This Row],[Min]])-1),Table1[Content Sku],0),14,1,1,"Entities")),"review","ok"),"ok")</f>
        <v>ok</v>
      </c>
      <c r="U1635" t="s">
        <v>313</v>
      </c>
      <c r="V1635">
        <v>0</v>
      </c>
      <c r="W1635">
        <v>0</v>
      </c>
      <c r="X1635" t="s">
        <v>8</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283</v>
      </c>
      <c r="F1636">
        <v>10000</v>
      </c>
      <c r="G1636">
        <v>0</v>
      </c>
      <c r="H1636" t="s">
        <v>205</v>
      </c>
      <c r="I1636" s="75" t="str">
        <f ca="1">IF(Table7[[#This Row],[Type]]="KILL",IF(_xlfn.NUMBERVALUE(RIGHT(Table7[[#This Row],[Min]],LEN(Table7[[#This Row],[Min]])-FIND("-",Table7[[#This Row],[Min]])))&gt;INDIRECT(ADDRESS(11+MATCH(LEFT(Table7[[#This Row],[Min]],FIND("-",Table7[[#This Row],[Min]])-1),Table1[Content Sku],0),14,1,1,"Entities")),"review","ok"),"ok")</f>
        <v>ok</v>
      </c>
      <c r="U1636" t="s">
        <v>313</v>
      </c>
      <c r="V1636">
        <v>0</v>
      </c>
      <c r="W1636">
        <v>0</v>
      </c>
      <c r="X1636" t="s">
        <v>8</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283</v>
      </c>
      <c r="F1637">
        <v>0</v>
      </c>
      <c r="G1637">
        <v>0</v>
      </c>
      <c r="H1637" t="s">
        <v>8</v>
      </c>
      <c r="I1637" s="75" t="str">
        <f ca="1">IF(Table7[[#This Row],[Type]]="KILL",IF(_xlfn.NUMBERVALUE(RIGHT(Table7[[#This Row],[Min]],LEN(Table7[[#This Row],[Min]])-FIND("-",Table7[[#This Row],[Min]])))&gt;INDIRECT(ADDRESS(11+MATCH(LEFT(Table7[[#This Row],[Min]],FIND("-",Table7[[#This Row],[Min]])-1),Table1[Content Sku],0),14,1,1,"Entities")),"review","ok"),"ok")</f>
        <v>ok</v>
      </c>
      <c r="U1637" t="s">
        <v>313</v>
      </c>
      <c r="V1637">
        <v>33000</v>
      </c>
      <c r="W1637">
        <v>0</v>
      </c>
      <c r="X1637" t="s">
        <v>205</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283</v>
      </c>
      <c r="F1638">
        <v>8000</v>
      </c>
      <c r="G1638">
        <v>0</v>
      </c>
      <c r="H1638" t="s">
        <v>205</v>
      </c>
      <c r="I1638" s="75" t="str">
        <f ca="1">IF(Table7[[#This Row],[Type]]="KILL",IF(_xlfn.NUMBERVALUE(RIGHT(Table7[[#This Row],[Min]],LEN(Table7[[#This Row],[Min]])-FIND("-",Table7[[#This Row],[Min]])))&gt;INDIRECT(ADDRESS(11+MATCH(LEFT(Table7[[#This Row],[Min]],FIND("-",Table7[[#This Row],[Min]])-1),Table1[Content Sku],0),14,1,1,"Entities")),"review","ok"),"ok")</f>
        <v>ok</v>
      </c>
      <c r="U1638" t="s">
        <v>313</v>
      </c>
      <c r="V1638">
        <v>36000</v>
      </c>
      <c r="W1638">
        <v>0</v>
      </c>
      <c r="X1638" t="s">
        <v>205</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283</v>
      </c>
      <c r="F1639">
        <v>0</v>
      </c>
      <c r="G1639">
        <v>0</v>
      </c>
      <c r="H1639" t="s">
        <v>8</v>
      </c>
      <c r="I1639" s="75" t="str">
        <f ca="1">IF(Table7[[#This Row],[Type]]="KILL",IF(_xlfn.NUMBERVALUE(RIGHT(Table7[[#This Row],[Min]],LEN(Table7[[#This Row],[Min]])-FIND("-",Table7[[#This Row],[Min]])))&gt;INDIRECT(ADDRESS(11+MATCH(LEFT(Table7[[#This Row],[Min]],FIND("-",Table7[[#This Row],[Min]])-1),Table1[Content Sku],0),14,1,1,"Entities")),"review","ok"),"ok")</f>
        <v>ok</v>
      </c>
      <c r="U1639" t="s">
        <v>313</v>
      </c>
      <c r="V1639">
        <v>0</v>
      </c>
      <c r="W1639">
        <v>0</v>
      </c>
      <c r="X1639" t="s">
        <v>8</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283</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313</v>
      </c>
      <c r="V1640">
        <v>31000</v>
      </c>
      <c r="W1640">
        <v>0</v>
      </c>
      <c r="X1640" t="s">
        <v>205</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283</v>
      </c>
      <c r="F1641">
        <v>4000</v>
      </c>
      <c r="G1641">
        <v>0</v>
      </c>
      <c r="H1641" t="s">
        <v>205</v>
      </c>
      <c r="I1641" s="75" t="str">
        <f ca="1">IF(Table7[[#This Row],[Type]]="KILL",IF(_xlfn.NUMBERVALUE(RIGHT(Table7[[#This Row],[Min]],LEN(Table7[[#This Row],[Min]])-FIND("-",Table7[[#This Row],[Min]])))&gt;INDIRECT(ADDRESS(11+MATCH(LEFT(Table7[[#This Row],[Min]],FIND("-",Table7[[#This Row],[Min]])-1),Table1[Content Sku],0),14,1,1,"Entities")),"review","ok"),"ok")</f>
        <v>ok</v>
      </c>
      <c r="U1641" t="s">
        <v>313</v>
      </c>
      <c r="V1641">
        <v>0</v>
      </c>
      <c r="W1641">
        <v>0</v>
      </c>
      <c r="X1641" t="s">
        <v>8</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286</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313</v>
      </c>
      <c r="V1642">
        <v>0</v>
      </c>
      <c r="W1642">
        <v>0</v>
      </c>
      <c r="X1642" t="s">
        <v>8</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286</v>
      </c>
      <c r="F1643">
        <v>120</v>
      </c>
      <c r="G1643">
        <v>0</v>
      </c>
      <c r="H1643" t="s">
        <v>4439</v>
      </c>
      <c r="I1643" s="75" t="str">
        <f ca="1">IF(Table7[[#This Row],[Type]]="KILL",IF(_xlfn.NUMBERVALUE(RIGHT(Table7[[#This Row],[Min]],LEN(Table7[[#This Row],[Min]])-FIND("-",Table7[[#This Row],[Min]])))&gt;INDIRECT(ADDRESS(11+MATCH(LEFT(Table7[[#This Row],[Min]],FIND("-",Table7[[#This Row],[Min]])-1),Table1[Content Sku],0),14,1,1,"Entities")),"review","ok"),"ok")</f>
        <v>ok</v>
      </c>
      <c r="U1643" t="s">
        <v>313</v>
      </c>
      <c r="V1643">
        <v>0</v>
      </c>
      <c r="W1643">
        <v>0</v>
      </c>
      <c r="X1643" t="s">
        <v>8</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286</v>
      </c>
      <c r="F1644">
        <v>0</v>
      </c>
      <c r="G1644">
        <v>27000</v>
      </c>
      <c r="H1644" t="s">
        <v>205</v>
      </c>
      <c r="I1644" s="75" t="str">
        <f ca="1">IF(Table7[[#This Row],[Type]]="KILL",IF(_xlfn.NUMBERVALUE(RIGHT(Table7[[#This Row],[Min]],LEN(Table7[[#This Row],[Min]])-FIND("-",Table7[[#This Row],[Min]])))&gt;INDIRECT(ADDRESS(11+MATCH(LEFT(Table7[[#This Row],[Min]],FIND("-",Table7[[#This Row],[Min]])-1),Table1[Content Sku],0),14,1,1,"Entities")),"review","ok"),"ok")</f>
        <v>ok</v>
      </c>
      <c r="U1644" t="s">
        <v>313</v>
      </c>
      <c r="V1644">
        <v>22000</v>
      </c>
      <c r="W1644">
        <v>0</v>
      </c>
      <c r="X1644" t="s">
        <v>205</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286</v>
      </c>
      <c r="F1645">
        <v>0</v>
      </c>
      <c r="G1645">
        <v>0</v>
      </c>
      <c r="H1645" t="s">
        <v>8</v>
      </c>
      <c r="I1645" s="75" t="str">
        <f ca="1">IF(Table7[[#This Row],[Type]]="KILL",IF(_xlfn.NUMBERVALUE(RIGHT(Table7[[#This Row],[Min]],LEN(Table7[[#This Row],[Min]])-FIND("-",Table7[[#This Row],[Min]])))&gt;INDIRECT(ADDRESS(11+MATCH(LEFT(Table7[[#This Row],[Min]],FIND("-",Table7[[#This Row],[Min]])-1),Table1[Content Sku],0),14,1,1,"Entities")),"review","ok"),"ok")</f>
        <v>ok</v>
      </c>
      <c r="U1645" t="s">
        <v>313</v>
      </c>
      <c r="V1645">
        <v>0</v>
      </c>
      <c r="W1645">
        <v>0</v>
      </c>
      <c r="X1645" t="s">
        <v>8</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286</v>
      </c>
      <c r="F1646">
        <v>6000</v>
      </c>
      <c r="G1646">
        <v>0</v>
      </c>
      <c r="H1646" t="s">
        <v>205</v>
      </c>
      <c r="I1646" s="75" t="str">
        <f ca="1">IF(Table7[[#This Row],[Type]]="KILL",IF(_xlfn.NUMBERVALUE(RIGHT(Table7[[#This Row],[Min]],LEN(Table7[[#This Row],[Min]])-FIND("-",Table7[[#This Row],[Min]])))&gt;INDIRECT(ADDRESS(11+MATCH(LEFT(Table7[[#This Row],[Min]],FIND("-",Table7[[#This Row],[Min]])-1),Table1[Content Sku],0),14,1,1,"Entities")),"review","ok"),"ok")</f>
        <v>ok</v>
      </c>
      <c r="U1646" t="s">
        <v>313</v>
      </c>
      <c r="V1646">
        <v>0</v>
      </c>
      <c r="W1646">
        <v>0</v>
      </c>
      <c r="X1646" t="s">
        <v>8</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286</v>
      </c>
      <c r="F1647">
        <v>0</v>
      </c>
      <c r="G1647">
        <v>0</v>
      </c>
      <c r="H1647" t="s">
        <v>8</v>
      </c>
      <c r="I1647" s="75" t="str">
        <f ca="1">IF(Table7[[#This Row],[Type]]="KILL",IF(_xlfn.NUMBERVALUE(RIGHT(Table7[[#This Row],[Min]],LEN(Table7[[#This Row],[Min]])-FIND("-",Table7[[#This Row],[Min]])))&gt;INDIRECT(ADDRESS(11+MATCH(LEFT(Table7[[#This Row],[Min]],FIND("-",Table7[[#This Row],[Min]])-1),Table1[Content Sku],0),14,1,1,"Entities")),"review","ok"),"ok")</f>
        <v>ok</v>
      </c>
      <c r="U1647" t="s">
        <v>313</v>
      </c>
      <c r="V1647">
        <v>0</v>
      </c>
      <c r="W1647">
        <v>0</v>
      </c>
      <c r="X1647" t="s">
        <v>8</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286</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313</v>
      </c>
      <c r="V1648">
        <v>0</v>
      </c>
      <c r="W1648">
        <v>0</v>
      </c>
      <c r="X1648" t="s">
        <v>8</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286</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313</v>
      </c>
      <c r="V1649">
        <v>0</v>
      </c>
      <c r="W1649">
        <v>0</v>
      </c>
      <c r="X1649" t="s">
        <v>8</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286</v>
      </c>
      <c r="F1650">
        <v>8000</v>
      </c>
      <c r="G1650">
        <v>0</v>
      </c>
      <c r="H1650" t="s">
        <v>205</v>
      </c>
      <c r="I1650" s="75" t="str">
        <f ca="1">IF(Table7[[#This Row],[Type]]="KILL",IF(_xlfn.NUMBERVALUE(RIGHT(Table7[[#This Row],[Min]],LEN(Table7[[#This Row],[Min]])-FIND("-",Table7[[#This Row],[Min]])))&gt;INDIRECT(ADDRESS(11+MATCH(LEFT(Table7[[#This Row],[Min]],FIND("-",Table7[[#This Row],[Min]])-1),Table1[Content Sku],0),14,1,1,"Entities")),"review","ok"),"ok")</f>
        <v>ok</v>
      </c>
      <c r="U1650" t="s">
        <v>313</v>
      </c>
      <c r="V1650">
        <v>0</v>
      </c>
      <c r="W1650">
        <v>0</v>
      </c>
      <c r="X1650" t="s">
        <v>8</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286</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313</v>
      </c>
      <c r="V1651">
        <v>0</v>
      </c>
      <c r="W1651">
        <v>0</v>
      </c>
      <c r="X1651" t="s">
        <v>8</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286</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313</v>
      </c>
      <c r="V1652">
        <v>0</v>
      </c>
      <c r="W1652">
        <v>0</v>
      </c>
      <c r="X1652" t="s">
        <v>8</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286</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313</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286</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313</v>
      </c>
      <c r="V1654">
        <v>0</v>
      </c>
      <c r="W1654">
        <v>0</v>
      </c>
      <c r="X1654" t="s">
        <v>8</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286</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313</v>
      </c>
      <c r="V1655">
        <v>29000</v>
      </c>
      <c r="W1655">
        <v>0</v>
      </c>
      <c r="X1655" t="s">
        <v>205</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286</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313</v>
      </c>
      <c r="V1656">
        <v>0</v>
      </c>
      <c r="W1656">
        <v>0</v>
      </c>
      <c r="X1656" t="s">
        <v>8</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286</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313</v>
      </c>
      <c r="V1657">
        <v>23000</v>
      </c>
      <c r="W1657">
        <v>0</v>
      </c>
      <c r="X1657" t="s">
        <v>205</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286</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313</v>
      </c>
      <c r="V1658">
        <v>0</v>
      </c>
      <c r="W1658">
        <v>0</v>
      </c>
      <c r="X1658" t="s">
        <v>8</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286</v>
      </c>
      <c r="F1659">
        <v>0</v>
      </c>
      <c r="G1659">
        <v>40000</v>
      </c>
      <c r="H1659" t="s">
        <v>205</v>
      </c>
      <c r="I1659" s="75" t="str">
        <f ca="1">IF(Table7[[#This Row],[Type]]="KILL",IF(_xlfn.NUMBERVALUE(RIGHT(Table7[[#This Row],[Min]],LEN(Table7[[#This Row],[Min]])-FIND("-",Table7[[#This Row],[Min]])))&gt;INDIRECT(ADDRESS(11+MATCH(LEFT(Table7[[#This Row],[Min]],FIND("-",Table7[[#This Row],[Min]])-1),Table1[Content Sku],0),14,1,1,"Entities")),"review","ok"),"ok")</f>
        <v>ok</v>
      </c>
      <c r="U1659" t="s">
        <v>313</v>
      </c>
      <c r="V1659">
        <v>0</v>
      </c>
      <c r="W1659">
        <v>0</v>
      </c>
      <c r="X1659" t="s">
        <v>8</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286</v>
      </c>
      <c r="F1660">
        <v>9500</v>
      </c>
      <c r="G1660">
        <v>0</v>
      </c>
      <c r="H1660" t="s">
        <v>205</v>
      </c>
      <c r="I1660" s="75" t="str">
        <f ca="1">IF(Table7[[#This Row],[Type]]="KILL",IF(_xlfn.NUMBERVALUE(RIGHT(Table7[[#This Row],[Min]],LEN(Table7[[#This Row],[Min]])-FIND("-",Table7[[#This Row],[Min]])))&gt;INDIRECT(ADDRESS(11+MATCH(LEFT(Table7[[#This Row],[Min]],FIND("-",Table7[[#This Row],[Min]])-1),Table1[Content Sku],0),14,1,1,"Entities")),"review","ok"),"ok")</f>
        <v>ok</v>
      </c>
      <c r="U1660" t="s">
        <v>313</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286</v>
      </c>
      <c r="F1661">
        <v>12000</v>
      </c>
      <c r="G1661">
        <v>0</v>
      </c>
      <c r="H1661" t="s">
        <v>205</v>
      </c>
      <c r="I1661" s="75" t="str">
        <f ca="1">IF(Table7[[#This Row],[Type]]="KILL",IF(_xlfn.NUMBERVALUE(RIGHT(Table7[[#This Row],[Min]],LEN(Table7[[#This Row],[Min]])-FIND("-",Table7[[#This Row],[Min]])))&gt;INDIRECT(ADDRESS(11+MATCH(LEFT(Table7[[#This Row],[Min]],FIND("-",Table7[[#This Row],[Min]])-1),Table1[Content Sku],0),14,1,1,"Entities")),"review","ok"),"ok")</f>
        <v>ok</v>
      </c>
      <c r="U1661" t="s">
        <v>313</v>
      </c>
      <c r="V1661">
        <v>0</v>
      </c>
      <c r="W1661">
        <v>0</v>
      </c>
      <c r="X1661" t="s">
        <v>8</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286</v>
      </c>
      <c r="F1662">
        <v>4000</v>
      </c>
      <c r="G1662">
        <v>40000</v>
      </c>
      <c r="H1662" t="s">
        <v>205</v>
      </c>
      <c r="I1662" s="75" t="str">
        <f ca="1">IF(Table7[[#This Row],[Type]]="KILL",IF(_xlfn.NUMBERVALUE(RIGHT(Table7[[#This Row],[Min]],LEN(Table7[[#This Row],[Min]])-FIND("-",Table7[[#This Row],[Min]])))&gt;INDIRECT(ADDRESS(11+MATCH(LEFT(Table7[[#This Row],[Min]],FIND("-",Table7[[#This Row],[Min]])-1),Table1[Content Sku],0),14,1,1,"Entities")),"review","ok"),"ok")</f>
        <v>ok</v>
      </c>
      <c r="U1662" t="s">
        <v>313</v>
      </c>
      <c r="V1662">
        <v>0</v>
      </c>
      <c r="W1662">
        <v>0</v>
      </c>
      <c r="X1662" t="s">
        <v>8</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286</v>
      </c>
      <c r="F1663">
        <v>0</v>
      </c>
      <c r="G1663">
        <v>0</v>
      </c>
      <c r="H1663" t="s">
        <v>8</v>
      </c>
      <c r="I1663" s="75" t="str">
        <f ca="1">IF(Table7[[#This Row],[Type]]="KILL",IF(_xlfn.NUMBERVALUE(RIGHT(Table7[[#This Row],[Min]],LEN(Table7[[#This Row],[Min]])-FIND("-",Table7[[#This Row],[Min]])))&gt;INDIRECT(ADDRESS(11+MATCH(LEFT(Table7[[#This Row],[Min]],FIND("-",Table7[[#This Row],[Min]])-1),Table1[Content Sku],0),14,1,1,"Entities")),"review","ok"),"ok")</f>
        <v>ok</v>
      </c>
      <c r="U1663" t="s">
        <v>313</v>
      </c>
      <c r="V1663">
        <v>0</v>
      </c>
      <c r="W1663">
        <v>0</v>
      </c>
      <c r="X1663" t="s">
        <v>8</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286</v>
      </c>
      <c r="F1664">
        <v>0</v>
      </c>
      <c r="G1664">
        <v>22000</v>
      </c>
      <c r="H1664" t="s">
        <v>205</v>
      </c>
      <c r="I1664" s="75" t="str">
        <f ca="1">IF(Table7[[#This Row],[Type]]="KILL",IF(_xlfn.NUMBERVALUE(RIGHT(Table7[[#This Row],[Min]],LEN(Table7[[#This Row],[Min]])-FIND("-",Table7[[#This Row],[Min]])))&gt;INDIRECT(ADDRESS(11+MATCH(LEFT(Table7[[#This Row],[Min]],FIND("-",Table7[[#This Row],[Min]])-1),Table1[Content Sku],0),14,1,1,"Entities")),"review","ok"),"ok")</f>
        <v>ok</v>
      </c>
      <c r="U1664" t="s">
        <v>313</v>
      </c>
      <c r="V1664">
        <v>0</v>
      </c>
      <c r="W1664">
        <v>0</v>
      </c>
      <c r="X1664" t="s">
        <v>8</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286</v>
      </c>
      <c r="F1665">
        <v>0</v>
      </c>
      <c r="G1665">
        <v>0</v>
      </c>
      <c r="H1665" t="s">
        <v>8</v>
      </c>
      <c r="I1665" s="75" t="str">
        <f ca="1">IF(Table7[[#This Row],[Type]]="KILL",IF(_xlfn.NUMBERVALUE(RIGHT(Table7[[#This Row],[Min]],LEN(Table7[[#This Row],[Min]])-FIND("-",Table7[[#This Row],[Min]])))&gt;INDIRECT(ADDRESS(11+MATCH(LEFT(Table7[[#This Row],[Min]],FIND("-",Table7[[#This Row],[Min]])-1),Table1[Content Sku],0),14,1,1,"Entities")),"review","ok"),"ok")</f>
        <v>ok</v>
      </c>
      <c r="U1665" t="s">
        <v>313</v>
      </c>
      <c r="V1665">
        <v>0</v>
      </c>
      <c r="W1665">
        <v>0</v>
      </c>
      <c r="X1665" t="s">
        <v>8</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286</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313</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286</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313</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286</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313</v>
      </c>
      <c r="V1668">
        <v>0</v>
      </c>
      <c r="W1668">
        <v>0</v>
      </c>
      <c r="X1668" t="s">
        <v>8</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286</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313</v>
      </c>
      <c r="V1669">
        <v>0</v>
      </c>
      <c r="W1669">
        <v>0</v>
      </c>
      <c r="X1669" t="s">
        <v>8</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286</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313</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286</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313</v>
      </c>
      <c r="V1671">
        <v>0</v>
      </c>
      <c r="W1671">
        <v>0</v>
      </c>
      <c r="X1671" t="s">
        <v>8</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289</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313</v>
      </c>
      <c r="V1672">
        <v>0</v>
      </c>
      <c r="W1672">
        <v>0</v>
      </c>
      <c r="X1672" t="s">
        <v>8</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289</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313</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289</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313</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289</v>
      </c>
      <c r="F1675">
        <v>0</v>
      </c>
      <c r="G1675">
        <v>24000</v>
      </c>
      <c r="H1675" t="s">
        <v>205</v>
      </c>
      <c r="I1675" s="75" t="str">
        <f ca="1">IF(Table7[[#This Row],[Type]]="KILL",IF(_xlfn.NUMBERVALUE(RIGHT(Table7[[#This Row],[Min]],LEN(Table7[[#This Row],[Min]])-FIND("-",Table7[[#This Row],[Min]])))&gt;INDIRECT(ADDRESS(11+MATCH(LEFT(Table7[[#This Row],[Min]],FIND("-",Table7[[#This Row],[Min]])-1),Table1[Content Sku],0),14,1,1,"Entities")),"review","ok"),"ok")</f>
        <v>ok</v>
      </c>
      <c r="U1675" t="s">
        <v>313</v>
      </c>
      <c r="V1675">
        <v>19000</v>
      </c>
      <c r="W1675">
        <v>0</v>
      </c>
      <c r="X1675" t="s">
        <v>205</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289</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313</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289</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313</v>
      </c>
      <c r="V1677">
        <v>0</v>
      </c>
      <c r="W1677">
        <v>0</v>
      </c>
      <c r="X1677" t="s">
        <v>8</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289</v>
      </c>
      <c r="F1678">
        <v>0</v>
      </c>
      <c r="G1678">
        <v>20000</v>
      </c>
      <c r="H1678" t="s">
        <v>205</v>
      </c>
      <c r="I1678" s="75" t="str">
        <f ca="1">IF(Table7[[#This Row],[Type]]="KILL",IF(_xlfn.NUMBERVALUE(RIGHT(Table7[[#This Row],[Min]],LEN(Table7[[#This Row],[Min]])-FIND("-",Table7[[#This Row],[Min]])))&gt;INDIRECT(ADDRESS(11+MATCH(LEFT(Table7[[#This Row],[Min]],FIND("-",Table7[[#This Row],[Min]])-1),Table1[Content Sku],0),14,1,1,"Entities")),"review","ok"),"ok")</f>
        <v>ok</v>
      </c>
      <c r="U1678" t="s">
        <v>313</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289</v>
      </c>
      <c r="F1679">
        <v>0</v>
      </c>
      <c r="G1679">
        <v>21000</v>
      </c>
      <c r="H1679" t="s">
        <v>205</v>
      </c>
      <c r="I1679" s="75" t="str">
        <f ca="1">IF(Table7[[#This Row],[Type]]="KILL",IF(_xlfn.NUMBERVALUE(RIGHT(Table7[[#This Row],[Min]],LEN(Table7[[#This Row],[Min]])-FIND("-",Table7[[#This Row],[Min]])))&gt;INDIRECT(ADDRESS(11+MATCH(LEFT(Table7[[#This Row],[Min]],FIND("-",Table7[[#This Row],[Min]])-1),Table1[Content Sku],0),14,1,1,"Entities")),"review","ok"),"ok")</f>
        <v>ok</v>
      </c>
      <c r="U1679" t="s">
        <v>313</v>
      </c>
      <c r="V1679">
        <v>0</v>
      </c>
      <c r="W1679">
        <v>0</v>
      </c>
      <c r="X1679" t="s">
        <v>8</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289</v>
      </c>
      <c r="F1680">
        <v>0</v>
      </c>
      <c r="G1680">
        <v>24000</v>
      </c>
      <c r="H1680" t="s">
        <v>205</v>
      </c>
      <c r="I1680" s="75" t="str">
        <f ca="1">IF(Table7[[#This Row],[Type]]="KILL",IF(_xlfn.NUMBERVALUE(RIGHT(Table7[[#This Row],[Min]],LEN(Table7[[#This Row],[Min]])-FIND("-",Table7[[#This Row],[Min]])))&gt;INDIRECT(ADDRESS(11+MATCH(LEFT(Table7[[#This Row],[Min]],FIND("-",Table7[[#This Row],[Min]])-1),Table1[Content Sku],0),14,1,1,"Entities")),"review","ok"),"ok")</f>
        <v>ok</v>
      </c>
      <c r="U1680" t="s">
        <v>313</v>
      </c>
      <c r="V1680">
        <v>0</v>
      </c>
      <c r="W1680">
        <v>0</v>
      </c>
      <c r="X1680" t="s">
        <v>8</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289</v>
      </c>
      <c r="F1681">
        <v>0</v>
      </c>
      <c r="G1681">
        <v>24000</v>
      </c>
      <c r="H1681" t="s">
        <v>205</v>
      </c>
      <c r="I1681" s="75" t="str">
        <f ca="1">IF(Table7[[#This Row],[Type]]="KILL",IF(_xlfn.NUMBERVALUE(RIGHT(Table7[[#This Row],[Min]],LEN(Table7[[#This Row],[Min]])-FIND("-",Table7[[#This Row],[Min]])))&gt;INDIRECT(ADDRESS(11+MATCH(LEFT(Table7[[#This Row],[Min]],FIND("-",Table7[[#This Row],[Min]])-1),Table1[Content Sku],0),14,1,1,"Entities")),"review","ok"),"ok")</f>
        <v>ok</v>
      </c>
      <c r="U1681" t="s">
        <v>313</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289</v>
      </c>
      <c r="F1682">
        <v>0</v>
      </c>
      <c r="G1682">
        <v>0</v>
      </c>
      <c r="H1682" t="s">
        <v>8</v>
      </c>
      <c r="I1682" s="75" t="str">
        <f ca="1">IF(Table7[[#This Row],[Type]]="KILL",IF(_xlfn.NUMBERVALUE(RIGHT(Table7[[#This Row],[Min]],LEN(Table7[[#This Row],[Min]])-FIND("-",Table7[[#This Row],[Min]])))&gt;INDIRECT(ADDRESS(11+MATCH(LEFT(Table7[[#This Row],[Min]],FIND("-",Table7[[#This Row],[Min]])-1),Table1[Content Sku],0),14,1,1,"Entities")),"review","ok"),"ok")</f>
        <v>ok</v>
      </c>
      <c r="U1682" t="s">
        <v>313</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289</v>
      </c>
      <c r="F1683">
        <v>0</v>
      </c>
      <c r="G1683">
        <v>22000</v>
      </c>
      <c r="H1683" t="s">
        <v>205</v>
      </c>
      <c r="I1683" s="75" t="str">
        <f ca="1">IF(Table7[[#This Row],[Type]]="KILL",IF(_xlfn.NUMBERVALUE(RIGHT(Table7[[#This Row],[Min]],LEN(Table7[[#This Row],[Min]])-FIND("-",Table7[[#This Row],[Min]])))&gt;INDIRECT(ADDRESS(11+MATCH(LEFT(Table7[[#This Row],[Min]],FIND("-",Table7[[#This Row],[Min]])-1),Table1[Content Sku],0),14,1,1,"Entities")),"review","ok"),"ok")</f>
        <v>ok</v>
      </c>
      <c r="U1683" t="s">
        <v>313</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289</v>
      </c>
      <c r="F1684">
        <v>0</v>
      </c>
      <c r="G1684">
        <v>0</v>
      </c>
      <c r="H1684" t="s">
        <v>8</v>
      </c>
      <c r="I1684" s="75" t="str">
        <f ca="1">IF(Table7[[#This Row],[Type]]="KILL",IF(_xlfn.NUMBERVALUE(RIGHT(Table7[[#This Row],[Min]],LEN(Table7[[#This Row],[Min]])-FIND("-",Table7[[#This Row],[Min]])))&gt;INDIRECT(ADDRESS(11+MATCH(LEFT(Table7[[#This Row],[Min]],FIND("-",Table7[[#This Row],[Min]])-1),Table1[Content Sku],0),14,1,1,"Entities")),"review","ok"),"ok")</f>
        <v>ok</v>
      </c>
      <c r="U1684" t="s">
        <v>313</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289</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313</v>
      </c>
      <c r="V1685">
        <v>20000</v>
      </c>
      <c r="W1685">
        <v>0</v>
      </c>
      <c r="X1685" t="s">
        <v>205</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289</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313</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289</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313</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289</v>
      </c>
      <c r="F1688">
        <v>0</v>
      </c>
      <c r="G1688">
        <v>24000</v>
      </c>
      <c r="H1688" t="s">
        <v>205</v>
      </c>
      <c r="I1688" s="75" t="str">
        <f ca="1">IF(Table7[[#This Row],[Type]]="KILL",IF(_xlfn.NUMBERVALUE(RIGHT(Table7[[#This Row],[Min]],LEN(Table7[[#This Row],[Min]])-FIND("-",Table7[[#This Row],[Min]])))&gt;INDIRECT(ADDRESS(11+MATCH(LEFT(Table7[[#This Row],[Min]],FIND("-",Table7[[#This Row],[Min]])-1),Table1[Content Sku],0),14,1,1,"Entities")),"review","ok"),"ok")</f>
        <v>ok</v>
      </c>
      <c r="U1688" t="s">
        <v>313</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289</v>
      </c>
      <c r="F1689">
        <v>0</v>
      </c>
      <c r="G1689">
        <v>24000</v>
      </c>
      <c r="H1689" t="s">
        <v>205</v>
      </c>
      <c r="I1689" s="75" t="str">
        <f ca="1">IF(Table7[[#This Row],[Type]]="KILL",IF(_xlfn.NUMBERVALUE(RIGHT(Table7[[#This Row],[Min]],LEN(Table7[[#This Row],[Min]])-FIND("-",Table7[[#This Row],[Min]])))&gt;INDIRECT(ADDRESS(11+MATCH(LEFT(Table7[[#This Row],[Min]],FIND("-",Table7[[#This Row],[Min]])-1),Table1[Content Sku],0),14,1,1,"Entities")),"review","ok"),"ok")</f>
        <v>ok</v>
      </c>
      <c r="U1689" t="s">
        <v>313</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289</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313</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289</v>
      </c>
      <c r="F1691">
        <v>0</v>
      </c>
      <c r="G1691">
        <v>28000</v>
      </c>
      <c r="H1691" t="s">
        <v>205</v>
      </c>
      <c r="I1691" s="75" t="str">
        <f ca="1">IF(Table7[[#This Row],[Type]]="KILL",IF(_xlfn.NUMBERVALUE(RIGHT(Table7[[#This Row],[Min]],LEN(Table7[[#This Row],[Min]])-FIND("-",Table7[[#This Row],[Min]])))&gt;INDIRECT(ADDRESS(11+MATCH(LEFT(Table7[[#This Row],[Min]],FIND("-",Table7[[#This Row],[Min]])-1),Table1[Content Sku],0),14,1,1,"Entities")),"review","ok"),"ok")</f>
        <v>ok</v>
      </c>
      <c r="U1691" t="s">
        <v>313</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289</v>
      </c>
      <c r="F1692">
        <v>0</v>
      </c>
      <c r="G1692">
        <v>0</v>
      </c>
      <c r="H1692" t="s">
        <v>8</v>
      </c>
      <c r="I1692" s="75" t="str">
        <f ca="1">IF(Table7[[#This Row],[Type]]="KILL",IF(_xlfn.NUMBERVALUE(RIGHT(Table7[[#This Row],[Min]],LEN(Table7[[#This Row],[Min]])-FIND("-",Table7[[#This Row],[Min]])))&gt;INDIRECT(ADDRESS(11+MATCH(LEFT(Table7[[#This Row],[Min]],FIND("-",Table7[[#This Row],[Min]])-1),Table1[Content Sku],0),14,1,1,"Entities")),"review","ok"),"ok")</f>
        <v>ok</v>
      </c>
      <c r="U1692" t="s">
        <v>313</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289</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313</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289</v>
      </c>
      <c r="F1694">
        <v>0</v>
      </c>
      <c r="G1694">
        <v>0</v>
      </c>
      <c r="H1694" t="s">
        <v>8</v>
      </c>
      <c r="I1694" s="75" t="str">
        <f ca="1">IF(Table7[[#This Row],[Type]]="KILL",IF(_xlfn.NUMBERVALUE(RIGHT(Table7[[#This Row],[Min]],LEN(Table7[[#This Row],[Min]])-FIND("-",Table7[[#This Row],[Min]])))&gt;INDIRECT(ADDRESS(11+MATCH(LEFT(Table7[[#This Row],[Min]],FIND("-",Table7[[#This Row],[Min]])-1),Table1[Content Sku],0),14,1,1,"Entities")),"review","ok"),"ok")</f>
        <v>ok</v>
      </c>
      <c r="U1694" t="s">
        <v>313</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289</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313</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289</v>
      </c>
      <c r="F1696">
        <v>0</v>
      </c>
      <c r="G1696">
        <v>24000</v>
      </c>
      <c r="H1696" t="s">
        <v>205</v>
      </c>
      <c r="I1696" s="75" t="str">
        <f ca="1">IF(Table7[[#This Row],[Type]]="KILL",IF(_xlfn.NUMBERVALUE(RIGHT(Table7[[#This Row],[Min]],LEN(Table7[[#This Row],[Min]])-FIND("-",Table7[[#This Row],[Min]])))&gt;INDIRECT(ADDRESS(11+MATCH(LEFT(Table7[[#This Row],[Min]],FIND("-",Table7[[#This Row],[Min]])-1),Table1[Content Sku],0),14,1,1,"Entities")),"review","ok"),"ok")</f>
        <v>ok</v>
      </c>
      <c r="U1696" t="s">
        <v>313</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289</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313</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289</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313</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289</v>
      </c>
      <c r="F1699">
        <v>0</v>
      </c>
      <c r="G1699">
        <v>0</v>
      </c>
      <c r="H1699" t="s">
        <v>8</v>
      </c>
      <c r="I1699" s="75" t="str">
        <f ca="1">IF(Table7[[#This Row],[Type]]="KILL",IF(_xlfn.NUMBERVALUE(RIGHT(Table7[[#This Row],[Min]],LEN(Table7[[#This Row],[Min]])-FIND("-",Table7[[#This Row],[Min]])))&gt;INDIRECT(ADDRESS(11+MATCH(LEFT(Table7[[#This Row],[Min]],FIND("-",Table7[[#This Row],[Min]])-1),Table1[Content Sku],0),14,1,1,"Entities")),"review","ok"),"ok")</f>
        <v>ok</v>
      </c>
      <c r="U1699" t="s">
        <v>313</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289</v>
      </c>
      <c r="F1700">
        <v>0</v>
      </c>
      <c r="G1700">
        <v>24000</v>
      </c>
      <c r="H1700" t="s">
        <v>205</v>
      </c>
      <c r="I1700" s="75" t="str">
        <f ca="1">IF(Table7[[#This Row],[Type]]="KILL",IF(_xlfn.NUMBERVALUE(RIGHT(Table7[[#This Row],[Min]],LEN(Table7[[#This Row],[Min]])-FIND("-",Table7[[#This Row],[Min]])))&gt;INDIRECT(ADDRESS(11+MATCH(LEFT(Table7[[#This Row],[Min]],FIND("-",Table7[[#This Row],[Min]])-1),Table1[Content Sku],0),14,1,1,"Entities")),"review","ok"),"ok")</f>
        <v>ok</v>
      </c>
      <c r="U1700" t="s">
        <v>313</v>
      </c>
      <c r="V1700">
        <v>0</v>
      </c>
      <c r="W1700">
        <v>0</v>
      </c>
      <c r="X1700" t="s">
        <v>8</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289</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313</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289</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313</v>
      </c>
      <c r="V1702">
        <v>0</v>
      </c>
      <c r="W1702">
        <v>0</v>
      </c>
      <c r="X1702" t="s">
        <v>8</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289</v>
      </c>
      <c r="F1703">
        <v>0</v>
      </c>
      <c r="G1703">
        <v>0</v>
      </c>
      <c r="H1703" t="s">
        <v>8</v>
      </c>
      <c r="I1703" s="75" t="str">
        <f ca="1">IF(Table7[[#This Row],[Type]]="KILL",IF(_xlfn.NUMBERVALUE(RIGHT(Table7[[#This Row],[Min]],LEN(Table7[[#This Row],[Min]])-FIND("-",Table7[[#This Row],[Min]])))&gt;INDIRECT(ADDRESS(11+MATCH(LEFT(Table7[[#This Row],[Min]],FIND("-",Table7[[#This Row],[Min]])-1),Table1[Content Sku],0),14,1,1,"Entities")),"review","ok"),"ok")</f>
        <v>ok</v>
      </c>
      <c r="U1703" t="s">
        <v>313</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289</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313</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289</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313</v>
      </c>
      <c r="V1705">
        <v>32000</v>
      </c>
      <c r="W1705">
        <v>0</v>
      </c>
      <c r="X1705" t="s">
        <v>205</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289</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313</v>
      </c>
      <c r="V1706">
        <v>0</v>
      </c>
      <c r="W1706">
        <v>0</v>
      </c>
      <c r="X1706" t="s">
        <v>8</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289</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313</v>
      </c>
      <c r="V1707">
        <v>0</v>
      </c>
      <c r="W1707">
        <v>0</v>
      </c>
      <c r="X1707" t="s">
        <v>8</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289</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313</v>
      </c>
      <c r="V1708">
        <v>0</v>
      </c>
      <c r="W1708">
        <v>0</v>
      </c>
      <c r="X1708" t="s">
        <v>8</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289</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313</v>
      </c>
      <c r="V1709">
        <v>0</v>
      </c>
      <c r="W1709">
        <v>0</v>
      </c>
      <c r="X1709" t="s">
        <v>8</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289</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313</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289</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313</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289</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313</v>
      </c>
      <c r="V1712">
        <v>0</v>
      </c>
      <c r="W1712">
        <v>0</v>
      </c>
      <c r="X1712" t="s">
        <v>8</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289</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313</v>
      </c>
      <c r="V1713">
        <v>0</v>
      </c>
      <c r="W1713">
        <v>0</v>
      </c>
      <c r="X1713" t="s">
        <v>8</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289</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313</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289</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313</v>
      </c>
      <c r="V1715">
        <v>26000</v>
      </c>
      <c r="W1715">
        <v>0</v>
      </c>
      <c r="X1715" t="s">
        <v>205</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289</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313</v>
      </c>
      <c r="V1716">
        <v>18000</v>
      </c>
      <c r="W1716">
        <v>0</v>
      </c>
      <c r="X1716" t="s">
        <v>205</v>
      </c>
      <c r="Y1716" s="75"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289</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313</v>
      </c>
      <c r="V1717">
        <v>0</v>
      </c>
      <c r="W1717">
        <v>0</v>
      </c>
      <c r="X1717" t="s">
        <v>8</v>
      </c>
      <c r="Y1717" s="75"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289</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313</v>
      </c>
      <c r="V1718">
        <v>0</v>
      </c>
      <c r="W1718">
        <v>0</v>
      </c>
      <c r="X1718" t="s">
        <v>8</v>
      </c>
      <c r="Y1718" s="75"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289</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313</v>
      </c>
      <c r="V1719">
        <v>0</v>
      </c>
      <c r="W1719">
        <v>0</v>
      </c>
      <c r="X1719" t="s">
        <v>8</v>
      </c>
      <c r="Y1719" s="75"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289</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313</v>
      </c>
      <c r="V1720">
        <v>21000</v>
      </c>
      <c r="W1720">
        <v>0</v>
      </c>
      <c r="X1720" t="s">
        <v>205</v>
      </c>
      <c r="Y1720" s="75"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518</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313</v>
      </c>
      <c r="V1721">
        <v>16000</v>
      </c>
      <c r="W1721">
        <v>0</v>
      </c>
      <c r="X1721" t="s">
        <v>205</v>
      </c>
      <c r="Y1721" s="75"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518</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313</v>
      </c>
      <c r="V1722">
        <v>34000</v>
      </c>
      <c r="W1722">
        <v>0</v>
      </c>
      <c r="X1722" t="s">
        <v>205</v>
      </c>
      <c r="Y1722" s="75"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518</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313</v>
      </c>
      <c r="V1723">
        <v>0</v>
      </c>
      <c r="W1723">
        <v>0</v>
      </c>
      <c r="X1723" t="s">
        <v>8</v>
      </c>
      <c r="Y1723" s="75"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419</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313</v>
      </c>
      <c r="V1724">
        <v>0</v>
      </c>
      <c r="W1724">
        <v>0</v>
      </c>
      <c r="X1724" t="s">
        <v>8</v>
      </c>
      <c r="Y1724" s="75"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419</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313</v>
      </c>
      <c r="V1725">
        <v>0</v>
      </c>
      <c r="W1725">
        <v>0</v>
      </c>
      <c r="X1725" t="s">
        <v>8</v>
      </c>
      <c r="Y1725" s="7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419</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313</v>
      </c>
      <c r="V1726">
        <v>0</v>
      </c>
      <c r="W1726">
        <v>0</v>
      </c>
      <c r="X1726" t="s">
        <v>8</v>
      </c>
      <c r="Y1726" s="75"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419</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313</v>
      </c>
      <c r="V1727">
        <v>22000</v>
      </c>
      <c r="W1727">
        <v>0</v>
      </c>
      <c r="X1727" t="s">
        <v>205</v>
      </c>
      <c r="Y1727" s="75"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419</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313</v>
      </c>
      <c r="V1728">
        <v>0</v>
      </c>
      <c r="W1728">
        <v>0</v>
      </c>
      <c r="X1728" t="s">
        <v>8</v>
      </c>
      <c r="Y1728" s="75"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419</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313</v>
      </c>
      <c r="V1729">
        <v>24000</v>
      </c>
      <c r="W1729">
        <v>0</v>
      </c>
      <c r="X1729" t="s">
        <v>205</v>
      </c>
      <c r="Y1729" s="75"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419</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313</v>
      </c>
      <c r="V1730">
        <v>0</v>
      </c>
      <c r="W1730">
        <v>0</v>
      </c>
      <c r="X1730" t="s">
        <v>8</v>
      </c>
      <c r="Y1730" s="75"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419</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313</v>
      </c>
      <c r="V1731">
        <v>0</v>
      </c>
      <c r="W1731">
        <v>0</v>
      </c>
      <c r="X1731" t="s">
        <v>8</v>
      </c>
      <c r="Y1731" s="75"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419</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313</v>
      </c>
      <c r="V1732">
        <v>0</v>
      </c>
      <c r="W1732">
        <v>0</v>
      </c>
      <c r="X1732" t="s">
        <v>8</v>
      </c>
      <c r="Y1732" s="75"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419</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313</v>
      </c>
      <c r="V1733">
        <v>0</v>
      </c>
      <c r="W1733">
        <v>0</v>
      </c>
      <c r="X1733" t="s">
        <v>8</v>
      </c>
      <c r="Y1733" s="75"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419</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313</v>
      </c>
      <c r="V1734">
        <v>28000</v>
      </c>
      <c r="W1734">
        <v>0</v>
      </c>
      <c r="X1734" t="s">
        <v>205</v>
      </c>
      <c r="Y1734" s="75"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419</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313</v>
      </c>
      <c r="V1735">
        <v>0</v>
      </c>
      <c r="W1735">
        <v>0</v>
      </c>
      <c r="X1735" t="s">
        <v>8</v>
      </c>
      <c r="Y1735" s="7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2450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313</v>
      </c>
      <c r="V1736">
        <v>0</v>
      </c>
      <c r="W1736">
        <v>0</v>
      </c>
      <c r="X1736" t="s">
        <v>8</v>
      </c>
      <c r="Y1736" s="75"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2450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313</v>
      </c>
      <c r="V1737">
        <v>0</v>
      </c>
      <c r="W1737">
        <v>0</v>
      </c>
      <c r="X1737" t="s">
        <v>8</v>
      </c>
      <c r="Y1737" s="75"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2450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313</v>
      </c>
      <c r="V1738">
        <v>0</v>
      </c>
      <c r="W1738">
        <v>0</v>
      </c>
      <c r="X1738" t="s">
        <v>8</v>
      </c>
      <c r="Y1738" s="75"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2450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313</v>
      </c>
      <c r="V1739">
        <v>0</v>
      </c>
      <c r="W1739">
        <v>0</v>
      </c>
      <c r="X1739" t="s">
        <v>8</v>
      </c>
      <c r="Y1739" s="75"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2450</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313</v>
      </c>
      <c r="V1740">
        <v>0</v>
      </c>
      <c r="W1740">
        <v>0</v>
      </c>
      <c r="X1740" t="s">
        <v>8</v>
      </c>
      <c r="Y1740" s="75"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2450</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313</v>
      </c>
      <c r="V1741">
        <v>0</v>
      </c>
      <c r="W1741">
        <v>0</v>
      </c>
      <c r="X1741" t="s">
        <v>8</v>
      </c>
      <c r="Y1741" s="75"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333</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313</v>
      </c>
      <c r="V1742">
        <v>0</v>
      </c>
      <c r="W1742">
        <v>0</v>
      </c>
      <c r="X1742" t="s">
        <v>8</v>
      </c>
      <c r="Y1742" s="75"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333</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313</v>
      </c>
      <c r="V1743">
        <v>0</v>
      </c>
      <c r="W1743">
        <v>0</v>
      </c>
      <c r="X1743" t="s">
        <v>8</v>
      </c>
      <c r="Y1743" s="75"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295</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313</v>
      </c>
      <c r="V1744">
        <v>0</v>
      </c>
      <c r="W1744">
        <v>0</v>
      </c>
      <c r="X1744" t="s">
        <v>8</v>
      </c>
      <c r="Y1744" s="75"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295</v>
      </c>
      <c r="F1745">
        <v>3000</v>
      </c>
      <c r="G1745">
        <v>0</v>
      </c>
      <c r="H1745" t="s">
        <v>205</v>
      </c>
      <c r="I1745" s="75" t="str">
        <f ca="1">IF(Table7[[#This Row],[Type]]="KILL",IF(_xlfn.NUMBERVALUE(RIGHT(Table7[[#This Row],[Min]],LEN(Table7[[#This Row],[Min]])-FIND("-",Table7[[#This Row],[Min]])))&gt;INDIRECT(ADDRESS(11+MATCH(LEFT(Table7[[#This Row],[Min]],FIND("-",Table7[[#This Row],[Min]])-1),Table1[Content Sku],0),14,1,1,"Entities")),"review","ok"),"ok")</f>
        <v>ok</v>
      </c>
      <c r="U1745" t="s">
        <v>313</v>
      </c>
      <c r="V1745">
        <v>0</v>
      </c>
      <c r="W1745">
        <v>0</v>
      </c>
      <c r="X1745" t="s">
        <v>8</v>
      </c>
      <c r="Y1745" s="7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295</v>
      </c>
      <c r="F1746">
        <v>0</v>
      </c>
      <c r="G1746">
        <v>14000</v>
      </c>
      <c r="H1746" t="s">
        <v>205</v>
      </c>
      <c r="I1746" s="75" t="str">
        <f ca="1">IF(Table7[[#This Row],[Type]]="KILL",IF(_xlfn.NUMBERVALUE(RIGHT(Table7[[#This Row],[Min]],LEN(Table7[[#This Row],[Min]])-FIND("-",Table7[[#This Row],[Min]])))&gt;INDIRECT(ADDRESS(11+MATCH(LEFT(Table7[[#This Row],[Min]],FIND("-",Table7[[#This Row],[Min]])-1),Table1[Content Sku],0),14,1,1,"Entities")),"review","ok"),"ok")</f>
        <v>ok</v>
      </c>
      <c r="U1746" t="s">
        <v>313</v>
      </c>
      <c r="V1746">
        <v>0</v>
      </c>
      <c r="W1746">
        <v>0</v>
      </c>
      <c r="X1746" t="s">
        <v>8</v>
      </c>
      <c r="Y1746" s="75"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295</v>
      </c>
      <c r="F1747">
        <v>0</v>
      </c>
      <c r="G1747">
        <v>0</v>
      </c>
      <c r="H1747" t="s">
        <v>8</v>
      </c>
      <c r="I1747" s="75" t="str">
        <f ca="1">IF(Table7[[#This Row],[Type]]="KILL",IF(_xlfn.NUMBERVALUE(RIGHT(Table7[[#This Row],[Min]],LEN(Table7[[#This Row],[Min]])-FIND("-",Table7[[#This Row],[Min]])))&gt;INDIRECT(ADDRESS(11+MATCH(LEFT(Table7[[#This Row],[Min]],FIND("-",Table7[[#This Row],[Min]])-1),Table1[Content Sku],0),14,1,1,"Entities")),"review","ok"),"ok")</f>
        <v>ok</v>
      </c>
      <c r="U1747" t="s">
        <v>313</v>
      </c>
      <c r="V1747">
        <v>0</v>
      </c>
      <c r="W1747">
        <v>0</v>
      </c>
      <c r="X1747" t="s">
        <v>8</v>
      </c>
      <c r="Y1747" s="75"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295</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313</v>
      </c>
      <c r="V1748">
        <v>0</v>
      </c>
      <c r="W1748">
        <v>0</v>
      </c>
      <c r="X1748" t="s">
        <v>8</v>
      </c>
      <c r="Y1748" s="75"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295</v>
      </c>
      <c r="F1749">
        <v>0</v>
      </c>
      <c r="G1749">
        <v>16000</v>
      </c>
      <c r="H1749" t="s">
        <v>205</v>
      </c>
      <c r="I1749" s="75" t="str">
        <f ca="1">IF(Table7[[#This Row],[Type]]="KILL",IF(_xlfn.NUMBERVALUE(RIGHT(Table7[[#This Row],[Min]],LEN(Table7[[#This Row],[Min]])-FIND("-",Table7[[#This Row],[Min]])))&gt;INDIRECT(ADDRESS(11+MATCH(LEFT(Table7[[#This Row],[Min]],FIND("-",Table7[[#This Row],[Min]])-1),Table1[Content Sku],0),14,1,1,"Entities")),"review","ok"),"ok")</f>
        <v>ok</v>
      </c>
      <c r="U1749" t="s">
        <v>313</v>
      </c>
      <c r="V1749">
        <v>0</v>
      </c>
      <c r="W1749">
        <v>0</v>
      </c>
      <c r="X1749" t="s">
        <v>8</v>
      </c>
      <c r="Y1749" s="75"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295</v>
      </c>
      <c r="F1750">
        <v>0</v>
      </c>
      <c r="G1750">
        <v>12000</v>
      </c>
      <c r="H1750" t="s">
        <v>205</v>
      </c>
      <c r="I1750" s="75" t="str">
        <f ca="1">IF(Table7[[#This Row],[Type]]="KILL",IF(_xlfn.NUMBERVALUE(RIGHT(Table7[[#This Row],[Min]],LEN(Table7[[#This Row],[Min]])-FIND("-",Table7[[#This Row],[Min]])))&gt;INDIRECT(ADDRESS(11+MATCH(LEFT(Table7[[#This Row],[Min]],FIND("-",Table7[[#This Row],[Min]])-1),Table1[Content Sku],0),14,1,1,"Entities")),"review","ok"),"ok")</f>
        <v>ok</v>
      </c>
      <c r="U1750" t="s">
        <v>313</v>
      </c>
      <c r="V1750">
        <v>0</v>
      </c>
      <c r="W1750">
        <v>0</v>
      </c>
      <c r="X1750" t="s">
        <v>8</v>
      </c>
      <c r="Y1750" s="75"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295</v>
      </c>
      <c r="F1751">
        <v>16000</v>
      </c>
      <c r="G1751">
        <v>0</v>
      </c>
      <c r="H1751" t="s">
        <v>205</v>
      </c>
      <c r="I1751" s="75" t="str">
        <f ca="1">IF(Table7[[#This Row],[Type]]="KILL",IF(_xlfn.NUMBERVALUE(RIGHT(Table7[[#This Row],[Min]],LEN(Table7[[#This Row],[Min]])-FIND("-",Table7[[#This Row],[Min]])))&gt;INDIRECT(ADDRESS(11+MATCH(LEFT(Table7[[#This Row],[Min]],FIND("-",Table7[[#This Row],[Min]])-1),Table1[Content Sku],0),14,1,1,"Entities")),"review","ok"),"ok")</f>
        <v>ok</v>
      </c>
      <c r="U1751" t="s">
        <v>313</v>
      </c>
      <c r="V1751">
        <v>0</v>
      </c>
      <c r="W1751">
        <v>0</v>
      </c>
      <c r="X1751" t="s">
        <v>8</v>
      </c>
      <c r="Y1751" s="75"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295</v>
      </c>
      <c r="F1752">
        <v>0</v>
      </c>
      <c r="G1752">
        <v>35000</v>
      </c>
      <c r="H1752" t="s">
        <v>205</v>
      </c>
      <c r="I1752" s="75" t="str">
        <f ca="1">IF(Table7[[#This Row],[Type]]="KILL",IF(_xlfn.NUMBERVALUE(RIGHT(Table7[[#This Row],[Min]],LEN(Table7[[#This Row],[Min]])-FIND("-",Table7[[#This Row],[Min]])))&gt;INDIRECT(ADDRESS(11+MATCH(LEFT(Table7[[#This Row],[Min]],FIND("-",Table7[[#This Row],[Min]])-1),Table1[Content Sku],0),14,1,1,"Entities")),"review","ok"),"ok")</f>
        <v>ok</v>
      </c>
      <c r="U1752" t="s">
        <v>313</v>
      </c>
      <c r="V1752">
        <v>0</v>
      </c>
      <c r="W1752">
        <v>0</v>
      </c>
      <c r="X1752" t="s">
        <v>8</v>
      </c>
      <c r="Y1752" s="75"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295</v>
      </c>
      <c r="F1753">
        <v>0</v>
      </c>
      <c r="G1753">
        <v>0</v>
      </c>
      <c r="H1753" t="s">
        <v>8</v>
      </c>
      <c r="I1753" s="75" t="str">
        <f ca="1">IF(Table7[[#This Row],[Type]]="KILL",IF(_xlfn.NUMBERVALUE(RIGHT(Table7[[#This Row],[Min]],LEN(Table7[[#This Row],[Min]])-FIND("-",Table7[[#This Row],[Min]])))&gt;INDIRECT(ADDRESS(11+MATCH(LEFT(Table7[[#This Row],[Min]],FIND("-",Table7[[#This Row],[Min]])-1),Table1[Content Sku],0),14,1,1,"Entities")),"review","ok"),"ok")</f>
        <v>ok</v>
      </c>
      <c r="U1753" t="s">
        <v>313</v>
      </c>
      <c r="V1753">
        <v>35000</v>
      </c>
      <c r="W1753">
        <v>0</v>
      </c>
      <c r="X1753" t="s">
        <v>205</v>
      </c>
      <c r="Y1753" s="75"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295</v>
      </c>
      <c r="F1754">
        <v>0</v>
      </c>
      <c r="G1754">
        <v>4000</v>
      </c>
      <c r="H1754" t="s">
        <v>205</v>
      </c>
      <c r="I1754" s="75" t="str">
        <f ca="1">IF(Table7[[#This Row],[Type]]="KILL",IF(_xlfn.NUMBERVALUE(RIGHT(Table7[[#This Row],[Min]],LEN(Table7[[#This Row],[Min]])-FIND("-",Table7[[#This Row],[Min]])))&gt;INDIRECT(ADDRESS(11+MATCH(LEFT(Table7[[#This Row],[Min]],FIND("-",Table7[[#This Row],[Min]])-1),Table1[Content Sku],0),14,1,1,"Entities")),"review","ok"),"ok")</f>
        <v>ok</v>
      </c>
      <c r="U1754" t="s">
        <v>313</v>
      </c>
      <c r="V1754">
        <v>0</v>
      </c>
      <c r="W1754">
        <v>0</v>
      </c>
      <c r="X1754" t="s">
        <v>8</v>
      </c>
      <c r="Y1754" s="75"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295</v>
      </c>
      <c r="F1755">
        <v>0</v>
      </c>
      <c r="G1755">
        <v>12000</v>
      </c>
      <c r="H1755" t="s">
        <v>205</v>
      </c>
      <c r="I1755" s="75" t="str">
        <f ca="1">IF(Table7[[#This Row],[Type]]="KILL",IF(_xlfn.NUMBERVALUE(RIGHT(Table7[[#This Row],[Min]],LEN(Table7[[#This Row],[Min]])-FIND("-",Table7[[#This Row],[Min]])))&gt;INDIRECT(ADDRESS(11+MATCH(LEFT(Table7[[#This Row],[Min]],FIND("-",Table7[[#This Row],[Min]])-1),Table1[Content Sku],0),14,1,1,"Entities")),"review","ok"),"ok")</f>
        <v>ok</v>
      </c>
      <c r="U1755" t="s">
        <v>313</v>
      </c>
      <c r="V1755">
        <v>0</v>
      </c>
      <c r="W1755">
        <v>0</v>
      </c>
      <c r="X1755" t="s">
        <v>8</v>
      </c>
      <c r="Y1755" s="7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295</v>
      </c>
      <c r="F1756">
        <v>0</v>
      </c>
      <c r="G1756">
        <v>16000</v>
      </c>
      <c r="H1756" t="s">
        <v>205</v>
      </c>
      <c r="I1756" s="75" t="str">
        <f ca="1">IF(Table7[[#This Row],[Type]]="KILL",IF(_xlfn.NUMBERVALUE(RIGHT(Table7[[#This Row],[Min]],LEN(Table7[[#This Row],[Min]])-FIND("-",Table7[[#This Row],[Min]])))&gt;INDIRECT(ADDRESS(11+MATCH(LEFT(Table7[[#This Row],[Min]],FIND("-",Table7[[#This Row],[Min]])-1),Table1[Content Sku],0),14,1,1,"Entities")),"review","ok"),"ok")</f>
        <v>ok</v>
      </c>
      <c r="U1756" t="s">
        <v>313</v>
      </c>
      <c r="V1756">
        <v>30000</v>
      </c>
      <c r="W1756">
        <v>0</v>
      </c>
      <c r="X1756" t="s">
        <v>205</v>
      </c>
      <c r="Y1756" s="75"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295</v>
      </c>
      <c r="F1757">
        <v>2400</v>
      </c>
      <c r="G1757">
        <v>0</v>
      </c>
      <c r="H1757" t="s">
        <v>205</v>
      </c>
      <c r="I1757" s="75" t="str">
        <f ca="1">IF(Table7[[#This Row],[Type]]="KILL",IF(_xlfn.NUMBERVALUE(RIGHT(Table7[[#This Row],[Min]],LEN(Table7[[#This Row],[Min]])-FIND("-",Table7[[#This Row],[Min]])))&gt;INDIRECT(ADDRESS(11+MATCH(LEFT(Table7[[#This Row],[Min]],FIND("-",Table7[[#This Row],[Min]])-1),Table1[Content Sku],0),14,1,1,"Entities")),"review","ok"),"ok")</f>
        <v>ok</v>
      </c>
      <c r="U1757" t="s">
        <v>313</v>
      </c>
      <c r="V1757">
        <v>0</v>
      </c>
      <c r="W1757">
        <v>0</v>
      </c>
      <c r="X1757" t="s">
        <v>8</v>
      </c>
      <c r="Y1757" s="75"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295</v>
      </c>
      <c r="F1758">
        <v>0</v>
      </c>
      <c r="G1758">
        <v>12000</v>
      </c>
      <c r="H1758" t="s">
        <v>205</v>
      </c>
      <c r="I1758" s="75" t="str">
        <f ca="1">IF(Table7[[#This Row],[Type]]="KILL",IF(_xlfn.NUMBERVALUE(RIGHT(Table7[[#This Row],[Min]],LEN(Table7[[#This Row],[Min]])-FIND("-",Table7[[#This Row],[Min]])))&gt;INDIRECT(ADDRESS(11+MATCH(LEFT(Table7[[#This Row],[Min]],FIND("-",Table7[[#This Row],[Min]])-1),Table1[Content Sku],0),14,1,1,"Entities")),"review","ok"),"ok")</f>
        <v>ok</v>
      </c>
      <c r="U1758" t="s">
        <v>313</v>
      </c>
      <c r="V1758">
        <v>0</v>
      </c>
      <c r="W1758">
        <v>0</v>
      </c>
      <c r="X1758" t="s">
        <v>8</v>
      </c>
      <c r="Y1758" s="75"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295</v>
      </c>
      <c r="F1759" t="s">
        <v>7990</v>
      </c>
      <c r="G1759" t="s">
        <v>4477</v>
      </c>
      <c r="H1759" t="s">
        <v>4478</v>
      </c>
      <c r="I1759" s="75" t="str">
        <f ca="1">IF(Table7[[#This Row],[Type]]="KILL",IF(_xlfn.NUMBERVALUE(RIGHT(Table7[[#This Row],[Min]],LEN(Table7[[#This Row],[Min]])-FIND("-",Table7[[#This Row],[Min]])))&gt;INDIRECT(ADDRESS(11+MATCH(LEFT(Table7[[#This Row],[Min]],FIND("-",Table7[[#This Row],[Min]])-1),Table1[Content Sku],0),14,1,1,"Entities")),"review","ok"),"ok")</f>
        <v>ok</v>
      </c>
      <c r="U1759" t="s">
        <v>313</v>
      </c>
      <c r="V1759">
        <v>0</v>
      </c>
      <c r="W1759">
        <v>0</v>
      </c>
      <c r="X1759" t="s">
        <v>8</v>
      </c>
      <c r="Y1759" s="75"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295</v>
      </c>
      <c r="F1760">
        <v>0</v>
      </c>
      <c r="G1760">
        <v>0</v>
      </c>
      <c r="H1760" t="s">
        <v>8</v>
      </c>
      <c r="I1760" s="75" t="str">
        <f ca="1">IF(Table7[[#This Row],[Type]]="KILL",IF(_xlfn.NUMBERVALUE(RIGHT(Table7[[#This Row],[Min]],LEN(Table7[[#This Row],[Min]])-FIND("-",Table7[[#This Row],[Min]])))&gt;INDIRECT(ADDRESS(11+MATCH(LEFT(Table7[[#This Row],[Min]],FIND("-",Table7[[#This Row],[Min]])-1),Table1[Content Sku],0),14,1,1,"Entities")),"review","ok"),"ok")</f>
        <v>ok</v>
      </c>
      <c r="U1760" t="s">
        <v>313</v>
      </c>
      <c r="V1760">
        <v>0</v>
      </c>
      <c r="W1760">
        <v>0</v>
      </c>
      <c r="X1760" t="s">
        <v>8</v>
      </c>
      <c r="Y1760" s="75"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295</v>
      </c>
      <c r="F1761">
        <v>4500</v>
      </c>
      <c r="G1761">
        <v>0</v>
      </c>
      <c r="H1761" t="s">
        <v>205</v>
      </c>
      <c r="I1761" s="75" t="str">
        <f ca="1">IF(Table7[[#This Row],[Type]]="KILL",IF(_xlfn.NUMBERVALUE(RIGHT(Table7[[#This Row],[Min]],LEN(Table7[[#This Row],[Min]])-FIND("-",Table7[[#This Row],[Min]])))&gt;INDIRECT(ADDRESS(11+MATCH(LEFT(Table7[[#This Row],[Min]],FIND("-",Table7[[#This Row],[Min]])-1),Table1[Content Sku],0),14,1,1,"Entities")),"review","ok"),"ok")</f>
        <v>ok</v>
      </c>
      <c r="U1761" t="s">
        <v>313</v>
      </c>
      <c r="V1761">
        <v>0</v>
      </c>
      <c r="W1761">
        <v>0</v>
      </c>
      <c r="X1761" t="s">
        <v>8</v>
      </c>
      <c r="Y1761" s="75"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295</v>
      </c>
      <c r="F1762">
        <v>5500</v>
      </c>
      <c r="G1762">
        <v>0</v>
      </c>
      <c r="H1762" t="s">
        <v>205</v>
      </c>
      <c r="I1762" s="75" t="str">
        <f ca="1">IF(Table7[[#This Row],[Type]]="KILL",IF(_xlfn.NUMBERVALUE(RIGHT(Table7[[#This Row],[Min]],LEN(Table7[[#This Row],[Min]])-FIND("-",Table7[[#This Row],[Min]])))&gt;INDIRECT(ADDRESS(11+MATCH(LEFT(Table7[[#This Row],[Min]],FIND("-",Table7[[#This Row],[Min]])-1),Table1[Content Sku],0),14,1,1,"Entities")),"review","ok"),"ok")</f>
        <v>ok</v>
      </c>
      <c r="U1762" t="s">
        <v>313</v>
      </c>
      <c r="V1762">
        <v>0</v>
      </c>
      <c r="W1762">
        <v>0</v>
      </c>
      <c r="X1762" t="s">
        <v>8</v>
      </c>
      <c r="Y1762" s="75"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295</v>
      </c>
      <c r="F1763">
        <v>0</v>
      </c>
      <c r="G1763">
        <v>0</v>
      </c>
      <c r="H1763" t="s">
        <v>8</v>
      </c>
      <c r="I1763" s="75" t="str">
        <f ca="1">IF(Table7[[#This Row],[Type]]="KILL",IF(_xlfn.NUMBERVALUE(RIGHT(Table7[[#This Row],[Min]],LEN(Table7[[#This Row],[Min]])-FIND("-",Table7[[#This Row],[Min]])))&gt;INDIRECT(ADDRESS(11+MATCH(LEFT(Table7[[#This Row],[Min]],FIND("-",Table7[[#This Row],[Min]])-1),Table1[Content Sku],0),14,1,1,"Entities")),"review","ok"),"ok")</f>
        <v>ok</v>
      </c>
      <c r="U1763" t="s">
        <v>313</v>
      </c>
      <c r="V1763">
        <v>0</v>
      </c>
      <c r="W1763">
        <v>0</v>
      </c>
      <c r="X1763" t="s">
        <v>8</v>
      </c>
      <c r="Y1763" s="75"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295</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313</v>
      </c>
      <c r="V1764">
        <v>0</v>
      </c>
      <c r="W1764">
        <v>0</v>
      </c>
      <c r="X1764" t="s">
        <v>8</v>
      </c>
      <c r="Y1764" s="75"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295</v>
      </c>
      <c r="F1765">
        <v>0</v>
      </c>
      <c r="G1765">
        <v>16000</v>
      </c>
      <c r="H1765" t="s">
        <v>205</v>
      </c>
      <c r="I1765" s="75" t="str">
        <f ca="1">IF(Table7[[#This Row],[Type]]="KILL",IF(_xlfn.NUMBERVALUE(RIGHT(Table7[[#This Row],[Min]],LEN(Table7[[#This Row],[Min]])-FIND("-",Table7[[#This Row],[Min]])))&gt;INDIRECT(ADDRESS(11+MATCH(LEFT(Table7[[#This Row],[Min]],FIND("-",Table7[[#This Row],[Min]])-1),Table1[Content Sku],0),14,1,1,"Entities")),"review","ok"),"ok")</f>
        <v>ok</v>
      </c>
      <c r="U1765" t="s">
        <v>313</v>
      </c>
      <c r="V1765">
        <v>0</v>
      </c>
      <c r="W1765">
        <v>0</v>
      </c>
      <c r="X1765" t="s">
        <v>8</v>
      </c>
      <c r="Y1765" s="7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295</v>
      </c>
      <c r="F1766">
        <v>0</v>
      </c>
      <c r="G1766">
        <v>8000</v>
      </c>
      <c r="H1766" t="s">
        <v>205</v>
      </c>
      <c r="I1766" s="75" t="str">
        <f ca="1">IF(Table7[[#This Row],[Type]]="KILL",IF(_xlfn.NUMBERVALUE(RIGHT(Table7[[#This Row],[Min]],LEN(Table7[[#This Row],[Min]])-FIND("-",Table7[[#This Row],[Min]])))&gt;INDIRECT(ADDRESS(11+MATCH(LEFT(Table7[[#This Row],[Min]],FIND("-",Table7[[#This Row],[Min]])-1),Table1[Content Sku],0),14,1,1,"Entities")),"review","ok"),"ok")</f>
        <v>ok</v>
      </c>
      <c r="U1766" t="s">
        <v>313</v>
      </c>
      <c r="V1766">
        <v>0</v>
      </c>
      <c r="W1766">
        <v>0</v>
      </c>
      <c r="X1766" t="s">
        <v>8</v>
      </c>
      <c r="Y1766" s="75"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295</v>
      </c>
      <c r="F1767" t="s">
        <v>7990</v>
      </c>
      <c r="G1767" t="s">
        <v>4477</v>
      </c>
      <c r="H1767" t="s">
        <v>4478</v>
      </c>
      <c r="I1767" s="75" t="str">
        <f ca="1">IF(Table7[[#This Row],[Type]]="KILL",IF(_xlfn.NUMBERVALUE(RIGHT(Table7[[#This Row],[Min]],LEN(Table7[[#This Row],[Min]])-FIND("-",Table7[[#This Row],[Min]])))&gt;INDIRECT(ADDRESS(11+MATCH(LEFT(Table7[[#This Row],[Min]],FIND("-",Table7[[#This Row],[Min]])-1),Table1[Content Sku],0),14,1,1,"Entities")),"review","ok"),"ok")</f>
        <v>ok</v>
      </c>
      <c r="U1767" t="s">
        <v>313</v>
      </c>
      <c r="V1767">
        <v>0</v>
      </c>
      <c r="W1767">
        <v>0</v>
      </c>
      <c r="X1767" t="s">
        <v>8</v>
      </c>
      <c r="Y1767" s="75"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295</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313</v>
      </c>
      <c r="V1768">
        <v>0</v>
      </c>
      <c r="W1768">
        <v>0</v>
      </c>
      <c r="X1768" t="s">
        <v>8</v>
      </c>
      <c r="Y1768" s="75"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295</v>
      </c>
      <c r="F1769">
        <v>0</v>
      </c>
      <c r="G1769">
        <v>0</v>
      </c>
      <c r="H1769" t="s">
        <v>8</v>
      </c>
      <c r="I1769" s="75" t="str">
        <f ca="1">IF(Table7[[#This Row],[Type]]="KILL",IF(_xlfn.NUMBERVALUE(RIGHT(Table7[[#This Row],[Min]],LEN(Table7[[#This Row],[Min]])-FIND("-",Table7[[#This Row],[Min]])))&gt;INDIRECT(ADDRESS(11+MATCH(LEFT(Table7[[#This Row],[Min]],FIND("-",Table7[[#This Row],[Min]])-1),Table1[Content Sku],0),14,1,1,"Entities")),"review","ok"),"ok")</f>
        <v>ok</v>
      </c>
      <c r="U1769" t="s">
        <v>313</v>
      </c>
      <c r="V1769">
        <v>0</v>
      </c>
      <c r="W1769">
        <v>0</v>
      </c>
      <c r="X1769" t="s">
        <v>8</v>
      </c>
      <c r="Y1769" s="75"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295</v>
      </c>
      <c r="F1770">
        <v>0</v>
      </c>
      <c r="G1770">
        <v>0</v>
      </c>
      <c r="H1770" t="s">
        <v>8</v>
      </c>
      <c r="I1770" s="75" t="str">
        <f ca="1">IF(Table7[[#This Row],[Type]]="KILL",IF(_xlfn.NUMBERVALUE(RIGHT(Table7[[#This Row],[Min]],LEN(Table7[[#This Row],[Min]])-FIND("-",Table7[[#This Row],[Min]])))&gt;INDIRECT(ADDRESS(11+MATCH(LEFT(Table7[[#This Row],[Min]],FIND("-",Table7[[#This Row],[Min]])-1),Table1[Content Sku],0),14,1,1,"Entities")),"review","ok"),"ok")</f>
        <v>ok</v>
      </c>
      <c r="U1770" t="s">
        <v>313</v>
      </c>
      <c r="V1770">
        <v>0</v>
      </c>
      <c r="W1770">
        <v>0</v>
      </c>
      <c r="X1770" t="s">
        <v>8</v>
      </c>
      <c r="Y1770" s="75"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295</v>
      </c>
      <c r="F1771">
        <v>0</v>
      </c>
      <c r="G1771">
        <v>10000</v>
      </c>
      <c r="H1771" t="s">
        <v>205</v>
      </c>
      <c r="I1771" s="75" t="str">
        <f ca="1">IF(Table7[[#This Row],[Type]]="KILL",IF(_xlfn.NUMBERVALUE(RIGHT(Table7[[#This Row],[Min]],LEN(Table7[[#This Row],[Min]])-FIND("-",Table7[[#This Row],[Min]])))&gt;INDIRECT(ADDRESS(11+MATCH(LEFT(Table7[[#This Row],[Min]],FIND("-",Table7[[#This Row],[Min]])-1),Table1[Content Sku],0),14,1,1,"Entities")),"review","ok"),"ok")</f>
        <v>ok</v>
      </c>
      <c r="U1771" t="s">
        <v>313</v>
      </c>
      <c r="V1771">
        <v>0</v>
      </c>
      <c r="W1771">
        <v>0</v>
      </c>
      <c r="X1771" t="s">
        <v>8</v>
      </c>
      <c r="Y1771" s="75"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295</v>
      </c>
      <c r="F1772">
        <v>0</v>
      </c>
      <c r="G1772">
        <v>12000</v>
      </c>
      <c r="H1772" t="s">
        <v>205</v>
      </c>
      <c r="I1772" s="75" t="str">
        <f ca="1">IF(Table7[[#This Row],[Type]]="KILL",IF(_xlfn.NUMBERVALUE(RIGHT(Table7[[#This Row],[Min]],LEN(Table7[[#This Row],[Min]])-FIND("-",Table7[[#This Row],[Min]])))&gt;INDIRECT(ADDRESS(11+MATCH(LEFT(Table7[[#This Row],[Min]],FIND("-",Table7[[#This Row],[Min]])-1),Table1[Content Sku],0),14,1,1,"Entities")),"review","ok"),"ok")</f>
        <v>ok</v>
      </c>
      <c r="U1772" t="s">
        <v>313</v>
      </c>
      <c r="V1772">
        <v>0</v>
      </c>
      <c r="W1772">
        <v>0</v>
      </c>
      <c r="X1772" t="s">
        <v>8</v>
      </c>
      <c r="Y1772" s="75"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295</v>
      </c>
      <c r="F1773">
        <v>4200</v>
      </c>
      <c r="G1773">
        <v>0</v>
      </c>
      <c r="H1773" t="s">
        <v>205</v>
      </c>
      <c r="I1773" s="75" t="str">
        <f ca="1">IF(Table7[[#This Row],[Type]]="KILL",IF(_xlfn.NUMBERVALUE(RIGHT(Table7[[#This Row],[Min]],LEN(Table7[[#This Row],[Min]])-FIND("-",Table7[[#This Row],[Min]])))&gt;INDIRECT(ADDRESS(11+MATCH(LEFT(Table7[[#This Row],[Min]],FIND("-",Table7[[#This Row],[Min]])-1),Table1[Content Sku],0),14,1,1,"Entities")),"review","ok"),"ok")</f>
        <v>ok</v>
      </c>
      <c r="U1773" t="s">
        <v>313</v>
      </c>
      <c r="V1773">
        <v>0</v>
      </c>
      <c r="W1773">
        <v>0</v>
      </c>
      <c r="X1773" t="s">
        <v>8</v>
      </c>
      <c r="Y1773" s="75"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295</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c r="U1774" t="s">
        <v>313</v>
      </c>
      <c r="V1774">
        <v>0</v>
      </c>
      <c r="W1774">
        <v>0</v>
      </c>
      <c r="X1774" t="s">
        <v>8</v>
      </c>
      <c r="Y1774" s="75"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295</v>
      </c>
      <c r="F1775">
        <v>0</v>
      </c>
      <c r="G1775">
        <v>0</v>
      </c>
      <c r="H1775" t="s">
        <v>8</v>
      </c>
      <c r="I1775" s="75" t="str">
        <f ca="1">IF(Table7[[#This Row],[Type]]="KILL",IF(_xlfn.NUMBERVALUE(RIGHT(Table7[[#This Row],[Min]],LEN(Table7[[#This Row],[Min]])-FIND("-",Table7[[#This Row],[Min]])))&gt;INDIRECT(ADDRESS(11+MATCH(LEFT(Table7[[#This Row],[Min]],FIND("-",Table7[[#This Row],[Min]])-1),Table1[Content Sku],0),14,1,1,"Entities")),"review","ok"),"ok")</f>
        <v>ok</v>
      </c>
      <c r="U1775" t="s">
        <v>313</v>
      </c>
      <c r="V1775">
        <v>0</v>
      </c>
      <c r="W1775">
        <v>0</v>
      </c>
      <c r="X1775" t="s">
        <v>8</v>
      </c>
      <c r="Y1775" s="75"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295</v>
      </c>
      <c r="F1776">
        <v>0</v>
      </c>
      <c r="G1776">
        <v>8000</v>
      </c>
      <c r="H1776" t="s">
        <v>205</v>
      </c>
      <c r="I1776" s="75" t="str">
        <f ca="1">IF(Table7[[#This Row],[Type]]="KILL",IF(_xlfn.NUMBERVALUE(RIGHT(Table7[[#This Row],[Min]],LEN(Table7[[#This Row],[Min]])-FIND("-",Table7[[#This Row],[Min]])))&gt;INDIRECT(ADDRESS(11+MATCH(LEFT(Table7[[#This Row],[Min]],FIND("-",Table7[[#This Row],[Min]])-1),Table1[Content Sku],0),14,1,1,"Entities")),"review","ok"),"ok")</f>
        <v>ok</v>
      </c>
      <c r="U1776" t="s">
        <v>313</v>
      </c>
      <c r="V1776">
        <v>0</v>
      </c>
      <c r="W1776">
        <v>0</v>
      </c>
      <c r="X1776" t="s">
        <v>8</v>
      </c>
      <c r="Y1776" s="75"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295</v>
      </c>
      <c r="F1777">
        <v>0</v>
      </c>
      <c r="G1777">
        <v>0</v>
      </c>
      <c r="H1777" t="s">
        <v>8</v>
      </c>
      <c r="I1777" s="75" t="str">
        <f ca="1">IF(Table7[[#This Row],[Type]]="KILL",IF(_xlfn.NUMBERVALUE(RIGHT(Table7[[#This Row],[Min]],LEN(Table7[[#This Row],[Min]])-FIND("-",Table7[[#This Row],[Min]])))&gt;INDIRECT(ADDRESS(11+MATCH(LEFT(Table7[[#This Row],[Min]],FIND("-",Table7[[#This Row],[Min]])-1),Table1[Content Sku],0),14,1,1,"Entities")),"review","ok"),"ok")</f>
        <v>ok</v>
      </c>
      <c r="U1777" t="s">
        <v>313</v>
      </c>
      <c r="V1777">
        <v>0</v>
      </c>
      <c r="W1777">
        <v>0</v>
      </c>
      <c r="X1777" t="s">
        <v>8</v>
      </c>
      <c r="Y1777" s="75"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295</v>
      </c>
      <c r="F1778">
        <v>2800</v>
      </c>
      <c r="G1778">
        <v>0</v>
      </c>
      <c r="H1778" t="s">
        <v>205</v>
      </c>
      <c r="I1778" s="75" t="str">
        <f ca="1">IF(Table7[[#This Row],[Type]]="KILL",IF(_xlfn.NUMBERVALUE(RIGHT(Table7[[#This Row],[Min]],LEN(Table7[[#This Row],[Min]])-FIND("-",Table7[[#This Row],[Min]])))&gt;INDIRECT(ADDRESS(11+MATCH(LEFT(Table7[[#This Row],[Min]],FIND("-",Table7[[#This Row],[Min]])-1),Table1[Content Sku],0),14,1,1,"Entities")),"review","ok"),"ok")</f>
        <v>ok</v>
      </c>
      <c r="U1778" t="s">
        <v>313</v>
      </c>
      <c r="V1778">
        <v>0</v>
      </c>
      <c r="W1778">
        <v>0</v>
      </c>
      <c r="X1778" t="s">
        <v>8</v>
      </c>
      <c r="Y1778" s="75"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295</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c r="U1779" t="s">
        <v>313</v>
      </c>
      <c r="V1779">
        <v>0</v>
      </c>
      <c r="W1779">
        <v>0</v>
      </c>
      <c r="X1779" t="s">
        <v>8</v>
      </c>
      <c r="Y1779" s="75"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295</v>
      </c>
      <c r="F1780">
        <v>0</v>
      </c>
      <c r="G1780">
        <v>25000</v>
      </c>
      <c r="H1780" t="s">
        <v>205</v>
      </c>
      <c r="I1780" s="75" t="str">
        <f ca="1">IF(Table7[[#This Row],[Type]]="KILL",IF(_xlfn.NUMBERVALUE(RIGHT(Table7[[#This Row],[Min]],LEN(Table7[[#This Row],[Min]])-FIND("-",Table7[[#This Row],[Min]])))&gt;INDIRECT(ADDRESS(11+MATCH(LEFT(Table7[[#This Row],[Min]],FIND("-",Table7[[#This Row],[Min]])-1),Table1[Content Sku],0),14,1,1,"Entities")),"review","ok"),"ok")</f>
        <v>ok</v>
      </c>
      <c r="U1780" t="s">
        <v>313</v>
      </c>
      <c r="V1780">
        <v>0</v>
      </c>
      <c r="W1780">
        <v>0</v>
      </c>
      <c r="X1780" t="s">
        <v>8</v>
      </c>
      <c r="Y1780" s="75"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295</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c r="U1781" t="s">
        <v>313</v>
      </c>
      <c r="V1781">
        <v>0</v>
      </c>
      <c r="W1781">
        <v>0</v>
      </c>
      <c r="X1781" t="s">
        <v>8</v>
      </c>
      <c r="Y1781" s="75"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295</v>
      </c>
      <c r="F1782">
        <v>0</v>
      </c>
      <c r="G1782">
        <v>20000</v>
      </c>
      <c r="H1782" t="s">
        <v>205</v>
      </c>
      <c r="I1782" s="75" t="str">
        <f ca="1">IF(Table7[[#This Row],[Type]]="KILL",IF(_xlfn.NUMBERVALUE(RIGHT(Table7[[#This Row],[Min]],LEN(Table7[[#This Row],[Min]])-FIND("-",Table7[[#This Row],[Min]])))&gt;INDIRECT(ADDRESS(11+MATCH(LEFT(Table7[[#This Row],[Min]],FIND("-",Table7[[#This Row],[Min]])-1),Table1[Content Sku],0),14,1,1,"Entities")),"review","ok"),"ok")</f>
        <v>ok</v>
      </c>
      <c r="U1782" t="s">
        <v>313</v>
      </c>
      <c r="V1782">
        <v>0</v>
      </c>
      <c r="W1782">
        <v>0</v>
      </c>
      <c r="X1782" t="s">
        <v>8</v>
      </c>
      <c r="Y1782" s="75"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295</v>
      </c>
      <c r="F1783">
        <v>0</v>
      </c>
      <c r="G1783">
        <v>8000</v>
      </c>
      <c r="H1783" t="s">
        <v>205</v>
      </c>
      <c r="I1783" s="75" t="str">
        <f ca="1">IF(Table7[[#This Row],[Type]]="KILL",IF(_xlfn.NUMBERVALUE(RIGHT(Table7[[#This Row],[Min]],LEN(Table7[[#This Row],[Min]])-FIND("-",Table7[[#This Row],[Min]])))&gt;INDIRECT(ADDRESS(11+MATCH(LEFT(Table7[[#This Row],[Min]],FIND("-",Table7[[#This Row],[Min]])-1),Table1[Content Sku],0),14,1,1,"Entities")),"review","ok"),"ok")</f>
        <v>ok</v>
      </c>
      <c r="U1783" t="s">
        <v>313</v>
      </c>
      <c r="V1783">
        <v>0</v>
      </c>
      <c r="W1783">
        <v>0</v>
      </c>
      <c r="X1783" t="s">
        <v>8</v>
      </c>
      <c r="Y1783" s="75"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295</v>
      </c>
      <c r="F1784">
        <v>0</v>
      </c>
      <c r="G1784">
        <v>17000</v>
      </c>
      <c r="H1784" t="s">
        <v>205</v>
      </c>
      <c r="I1784" s="75" t="str">
        <f ca="1">IF(Table7[[#This Row],[Type]]="KILL",IF(_xlfn.NUMBERVALUE(RIGHT(Table7[[#This Row],[Min]],LEN(Table7[[#This Row],[Min]])-FIND("-",Table7[[#This Row],[Min]])))&gt;INDIRECT(ADDRESS(11+MATCH(LEFT(Table7[[#This Row],[Min]],FIND("-",Table7[[#This Row],[Min]])-1),Table1[Content Sku],0),14,1,1,"Entities")),"review","ok"),"ok")</f>
        <v>ok</v>
      </c>
      <c r="U1784" t="s">
        <v>313</v>
      </c>
      <c r="V1784">
        <v>0</v>
      </c>
      <c r="W1784">
        <v>0</v>
      </c>
      <c r="X1784" t="s">
        <v>8</v>
      </c>
      <c r="Y1784" s="75"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295</v>
      </c>
      <c r="F1785">
        <v>0</v>
      </c>
      <c r="G1785">
        <v>16000</v>
      </c>
      <c r="H1785" t="s">
        <v>205</v>
      </c>
      <c r="I1785" s="75" t="str">
        <f ca="1">IF(Table7[[#This Row],[Type]]="KILL",IF(_xlfn.NUMBERVALUE(RIGHT(Table7[[#This Row],[Min]],LEN(Table7[[#This Row],[Min]])-FIND("-",Table7[[#This Row],[Min]])))&gt;INDIRECT(ADDRESS(11+MATCH(LEFT(Table7[[#This Row],[Min]],FIND("-",Table7[[#This Row],[Min]])-1),Table1[Content Sku],0),14,1,1,"Entities")),"review","ok"),"ok")</f>
        <v>ok</v>
      </c>
      <c r="U1785" t="s">
        <v>313</v>
      </c>
      <c r="V1785">
        <v>0</v>
      </c>
      <c r="W1785">
        <v>0</v>
      </c>
      <c r="X1785" t="s">
        <v>8</v>
      </c>
      <c r="Y1785" s="75"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295</v>
      </c>
      <c r="F1786">
        <v>0</v>
      </c>
      <c r="G1786">
        <v>0</v>
      </c>
      <c r="H1786" t="s">
        <v>8</v>
      </c>
      <c r="I1786" s="75" t="str">
        <f ca="1">IF(Table7[[#This Row],[Type]]="KILL",IF(_xlfn.NUMBERVALUE(RIGHT(Table7[[#This Row],[Min]],LEN(Table7[[#This Row],[Min]])-FIND("-",Table7[[#This Row],[Min]])))&gt;INDIRECT(ADDRESS(11+MATCH(LEFT(Table7[[#This Row],[Min]],FIND("-",Table7[[#This Row],[Min]])-1),Table1[Content Sku],0),14,1,1,"Entities")),"review","ok"),"ok")</f>
        <v>ok</v>
      </c>
      <c r="U1786" t="s">
        <v>313</v>
      </c>
      <c r="V1786">
        <v>0</v>
      </c>
      <c r="W1786">
        <v>0</v>
      </c>
      <c r="X1786" t="s">
        <v>8</v>
      </c>
      <c r="Y1786" s="75"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295</v>
      </c>
      <c r="F1787">
        <v>1400</v>
      </c>
      <c r="G1787">
        <v>0</v>
      </c>
      <c r="H1787" t="s">
        <v>205</v>
      </c>
      <c r="I1787" s="75" t="str">
        <f ca="1">IF(Table7[[#This Row],[Type]]="KILL",IF(_xlfn.NUMBERVALUE(RIGHT(Table7[[#This Row],[Min]],LEN(Table7[[#This Row],[Min]])-FIND("-",Table7[[#This Row],[Min]])))&gt;INDIRECT(ADDRESS(11+MATCH(LEFT(Table7[[#This Row],[Min]],FIND("-",Table7[[#This Row],[Min]])-1),Table1[Content Sku],0),14,1,1,"Entities")),"review","ok"),"ok")</f>
        <v>ok</v>
      </c>
      <c r="U1787" t="s">
        <v>313</v>
      </c>
      <c r="V1787">
        <v>0</v>
      </c>
      <c r="W1787">
        <v>0</v>
      </c>
      <c r="X1787" t="s">
        <v>8</v>
      </c>
      <c r="Y1787" s="75"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297</v>
      </c>
      <c r="F1788">
        <v>0</v>
      </c>
      <c r="G1788">
        <v>0</v>
      </c>
      <c r="H1788" t="s">
        <v>8</v>
      </c>
      <c r="I1788" s="75" t="str">
        <f ca="1">IF(Table7[[#This Row],[Type]]="KILL",IF(_xlfn.NUMBERVALUE(RIGHT(Table7[[#This Row],[Min]],LEN(Table7[[#This Row],[Min]])-FIND("-",Table7[[#This Row],[Min]])))&gt;INDIRECT(ADDRESS(11+MATCH(LEFT(Table7[[#This Row],[Min]],FIND("-",Table7[[#This Row],[Min]])-1),Table1[Content Sku],0),14,1,1,"Entities")),"review","ok"),"ok")</f>
        <v>ok</v>
      </c>
      <c r="U1788" t="s">
        <v>313</v>
      </c>
      <c r="V1788">
        <v>0</v>
      </c>
      <c r="W1788">
        <v>0</v>
      </c>
      <c r="X1788" t="s">
        <v>8</v>
      </c>
      <c r="Y1788" s="75"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306</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c r="U1789" t="s">
        <v>313</v>
      </c>
      <c r="V1789">
        <v>0</v>
      </c>
      <c r="W1789">
        <v>0</v>
      </c>
      <c r="X1789" t="s">
        <v>8</v>
      </c>
      <c r="Y1789" s="75"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306</v>
      </c>
      <c r="F1790">
        <v>7000</v>
      </c>
      <c r="G1790">
        <v>0</v>
      </c>
      <c r="H1790" t="s">
        <v>205</v>
      </c>
      <c r="I1790" s="75" t="str">
        <f ca="1">IF(Table7[[#This Row],[Type]]="KILL",IF(_xlfn.NUMBERVALUE(RIGHT(Table7[[#This Row],[Min]],LEN(Table7[[#This Row],[Min]])-FIND("-",Table7[[#This Row],[Min]])))&gt;INDIRECT(ADDRESS(11+MATCH(LEFT(Table7[[#This Row],[Min]],FIND("-",Table7[[#This Row],[Min]])-1),Table1[Content Sku],0),14,1,1,"Entities")),"review","ok"),"ok")</f>
        <v>ok</v>
      </c>
      <c r="U1790" t="s">
        <v>313</v>
      </c>
      <c r="V1790">
        <v>0</v>
      </c>
      <c r="W1790">
        <v>0</v>
      </c>
      <c r="X1790" t="s">
        <v>8</v>
      </c>
      <c r="Y1790" s="75"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306</v>
      </c>
      <c r="F1791">
        <v>0</v>
      </c>
      <c r="G1791">
        <v>0</v>
      </c>
      <c r="H1791" t="s">
        <v>8</v>
      </c>
      <c r="I1791" s="75" t="str">
        <f ca="1">IF(Table7[[#This Row],[Type]]="KILL",IF(_xlfn.NUMBERVALUE(RIGHT(Table7[[#This Row],[Min]],LEN(Table7[[#This Row],[Min]])-FIND("-",Table7[[#This Row],[Min]])))&gt;INDIRECT(ADDRESS(11+MATCH(LEFT(Table7[[#This Row],[Min]],FIND("-",Table7[[#This Row],[Min]])-1),Table1[Content Sku],0),14,1,1,"Entities")),"review","ok"),"ok")</f>
        <v>ok</v>
      </c>
      <c r="U1791" t="s">
        <v>313</v>
      </c>
      <c r="V1791">
        <v>0</v>
      </c>
      <c r="W1791">
        <v>0</v>
      </c>
      <c r="X1791" t="s">
        <v>8</v>
      </c>
      <c r="Y1791" s="75"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306</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313</v>
      </c>
      <c r="V1792">
        <v>0</v>
      </c>
      <c r="W1792">
        <v>0</v>
      </c>
      <c r="X1792" t="s">
        <v>8</v>
      </c>
      <c r="Y1792" s="75"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306</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313</v>
      </c>
      <c r="V1793">
        <v>0</v>
      </c>
      <c r="W1793">
        <v>0</v>
      </c>
      <c r="X1793" t="s">
        <v>8</v>
      </c>
      <c r="Y1793" s="75"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306</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c r="U1794" t="s">
        <v>313</v>
      </c>
      <c r="V1794">
        <v>0</v>
      </c>
      <c r="W1794">
        <v>0</v>
      </c>
      <c r="X1794" t="s">
        <v>8</v>
      </c>
      <c r="Y1794" s="75"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306</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313</v>
      </c>
      <c r="V1795">
        <v>0</v>
      </c>
      <c r="W1795">
        <v>0</v>
      </c>
      <c r="X1795" t="s">
        <v>8</v>
      </c>
      <c r="Y1795" s="75"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306</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313</v>
      </c>
      <c r="V1796">
        <v>0</v>
      </c>
      <c r="W1796">
        <v>0</v>
      </c>
      <c r="X1796" t="s">
        <v>8</v>
      </c>
      <c r="Y1796" s="75"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306</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313</v>
      </c>
      <c r="V1797">
        <v>0</v>
      </c>
      <c r="W1797">
        <v>0</v>
      </c>
      <c r="X1797" t="s">
        <v>8</v>
      </c>
      <c r="Y1797" s="75"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306</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313</v>
      </c>
      <c r="V1798">
        <v>0</v>
      </c>
      <c r="W1798">
        <v>0</v>
      </c>
      <c r="X1798" t="s">
        <v>8</v>
      </c>
      <c r="Y1798" s="75"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306</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313</v>
      </c>
      <c r="V1799">
        <v>0</v>
      </c>
      <c r="W1799">
        <v>0</v>
      </c>
      <c r="X1799" t="s">
        <v>8</v>
      </c>
      <c r="Y1799" s="75"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306</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313</v>
      </c>
      <c r="V1800">
        <v>0</v>
      </c>
      <c r="W1800">
        <v>0</v>
      </c>
      <c r="X1800" t="s">
        <v>8</v>
      </c>
      <c r="Y1800" s="75"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306</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315</v>
      </c>
      <c r="V1801">
        <v>0</v>
      </c>
      <c r="W1801">
        <v>0</v>
      </c>
      <c r="X1801" t="s">
        <v>8</v>
      </c>
      <c r="Y1801" s="75"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306</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315</v>
      </c>
      <c r="V1802">
        <v>0</v>
      </c>
      <c r="W1802">
        <v>0</v>
      </c>
      <c r="X1802" t="s">
        <v>8</v>
      </c>
      <c r="Y1802" s="75"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309</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315</v>
      </c>
      <c r="V1803">
        <v>0</v>
      </c>
      <c r="W1803">
        <v>0</v>
      </c>
      <c r="X1803" t="s">
        <v>8</v>
      </c>
      <c r="Y1803" s="75"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309</v>
      </c>
      <c r="F1804">
        <v>5000</v>
      </c>
      <c r="G1804">
        <v>0</v>
      </c>
      <c r="H1804" t="s">
        <v>205</v>
      </c>
      <c r="I1804" s="75" t="str">
        <f ca="1">IF(Table7[[#This Row],[Type]]="KILL",IF(_xlfn.NUMBERVALUE(RIGHT(Table7[[#This Row],[Min]],LEN(Table7[[#This Row],[Min]])-FIND("-",Table7[[#This Row],[Min]])))&gt;INDIRECT(ADDRESS(11+MATCH(LEFT(Table7[[#This Row],[Min]],FIND("-",Table7[[#This Row],[Min]])-1),Table1[Content Sku],0),14,1,1,"Entities")),"review","ok"),"ok")</f>
        <v>ok</v>
      </c>
      <c r="U1804" t="s">
        <v>315</v>
      </c>
      <c r="V1804">
        <v>0</v>
      </c>
      <c r="W1804">
        <v>0</v>
      </c>
      <c r="X1804" t="s">
        <v>8</v>
      </c>
      <c r="Y1804" s="75"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309</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c r="U1805" t="s">
        <v>315</v>
      </c>
      <c r="V1805">
        <v>43000</v>
      </c>
      <c r="W1805">
        <v>0</v>
      </c>
      <c r="X1805" t="s">
        <v>205</v>
      </c>
      <c r="Y1805" s="75"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309</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315</v>
      </c>
      <c r="V1806">
        <v>0</v>
      </c>
      <c r="W1806">
        <v>0</v>
      </c>
      <c r="X1806" t="s">
        <v>8</v>
      </c>
      <c r="Y1806" s="75"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309</v>
      </c>
      <c r="F1807">
        <v>180</v>
      </c>
      <c r="G1807">
        <v>0</v>
      </c>
      <c r="H1807" t="s">
        <v>4439</v>
      </c>
      <c r="I1807" s="75" t="str">
        <f ca="1">IF(Table7[[#This Row],[Type]]="KILL",IF(_xlfn.NUMBERVALUE(RIGHT(Table7[[#This Row],[Min]],LEN(Table7[[#This Row],[Min]])-FIND("-",Table7[[#This Row],[Min]])))&gt;INDIRECT(ADDRESS(11+MATCH(LEFT(Table7[[#This Row],[Min]],FIND("-",Table7[[#This Row],[Min]])-1),Table1[Content Sku],0),14,1,1,"Entities")),"review","ok"),"ok")</f>
        <v>ok</v>
      </c>
      <c r="U1807" t="s">
        <v>315</v>
      </c>
      <c r="V1807">
        <v>0</v>
      </c>
      <c r="W1807">
        <v>0</v>
      </c>
      <c r="X1807" t="s">
        <v>8</v>
      </c>
      <c r="Y1807" s="75"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309</v>
      </c>
      <c r="F1808">
        <v>0</v>
      </c>
      <c r="G1808">
        <v>0</v>
      </c>
      <c r="H1808" t="s">
        <v>8</v>
      </c>
      <c r="I1808" s="75" t="str">
        <f ca="1">IF(Table7[[#This Row],[Type]]="KILL",IF(_xlfn.NUMBERVALUE(RIGHT(Table7[[#This Row],[Min]],LEN(Table7[[#This Row],[Min]])-FIND("-",Table7[[#This Row],[Min]])))&gt;INDIRECT(ADDRESS(11+MATCH(LEFT(Table7[[#This Row],[Min]],FIND("-",Table7[[#This Row],[Min]])-1),Table1[Content Sku],0),14,1,1,"Entities")),"review","ok"),"ok")</f>
        <v>ok</v>
      </c>
      <c r="U1808" t="s">
        <v>315</v>
      </c>
      <c r="V1808">
        <v>0</v>
      </c>
      <c r="W1808">
        <v>0</v>
      </c>
      <c r="X1808" t="s">
        <v>8</v>
      </c>
      <c r="Y1808" s="75"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309</v>
      </c>
      <c r="F1809">
        <v>7000</v>
      </c>
      <c r="G1809">
        <v>0</v>
      </c>
      <c r="H1809" t="s">
        <v>205</v>
      </c>
      <c r="I1809" s="75" t="str">
        <f ca="1">IF(Table7[[#This Row],[Type]]="KILL",IF(_xlfn.NUMBERVALUE(RIGHT(Table7[[#This Row],[Min]],LEN(Table7[[#This Row],[Min]])-FIND("-",Table7[[#This Row],[Min]])))&gt;INDIRECT(ADDRESS(11+MATCH(LEFT(Table7[[#This Row],[Min]],FIND("-",Table7[[#This Row],[Min]])-1),Table1[Content Sku],0),14,1,1,"Entities")),"review","ok"),"ok")</f>
        <v>ok</v>
      </c>
      <c r="U1809" t="s">
        <v>315</v>
      </c>
      <c r="V1809">
        <v>0</v>
      </c>
      <c r="W1809">
        <v>0</v>
      </c>
      <c r="X1809" t="s">
        <v>8</v>
      </c>
      <c r="Y1809" s="75"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309</v>
      </c>
      <c r="F1810">
        <v>9500</v>
      </c>
      <c r="G1810">
        <v>0</v>
      </c>
      <c r="H1810" t="s">
        <v>205</v>
      </c>
      <c r="I1810" s="75" t="str">
        <f ca="1">IF(Table7[[#This Row],[Type]]="KILL",IF(_xlfn.NUMBERVALUE(RIGHT(Table7[[#This Row],[Min]],LEN(Table7[[#This Row],[Min]])-FIND("-",Table7[[#This Row],[Min]])))&gt;INDIRECT(ADDRESS(11+MATCH(LEFT(Table7[[#This Row],[Min]],FIND("-",Table7[[#This Row],[Min]])-1),Table1[Content Sku],0),14,1,1,"Entities")),"review","ok"),"ok")</f>
        <v>ok</v>
      </c>
      <c r="U1810" t="s">
        <v>315</v>
      </c>
      <c r="V1810">
        <v>29000</v>
      </c>
      <c r="W1810">
        <v>0</v>
      </c>
      <c r="X1810" t="s">
        <v>205</v>
      </c>
      <c r="Y1810" s="75"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309</v>
      </c>
      <c r="F1811">
        <v>7500</v>
      </c>
      <c r="G1811">
        <v>0</v>
      </c>
      <c r="H1811" t="s">
        <v>205</v>
      </c>
      <c r="I1811" s="75" t="str">
        <f ca="1">IF(Table7[[#This Row],[Type]]="KILL",IF(_xlfn.NUMBERVALUE(RIGHT(Table7[[#This Row],[Min]],LEN(Table7[[#This Row],[Min]])-FIND("-",Table7[[#This Row],[Min]])))&gt;INDIRECT(ADDRESS(11+MATCH(LEFT(Table7[[#This Row],[Min]],FIND("-",Table7[[#This Row],[Min]])-1),Table1[Content Sku],0),14,1,1,"Entities")),"review","ok"),"ok")</f>
        <v>ok</v>
      </c>
      <c r="U1811" t="s">
        <v>315</v>
      </c>
      <c r="V1811">
        <v>0</v>
      </c>
      <c r="W1811">
        <v>0</v>
      </c>
      <c r="X1811" t="s">
        <v>8</v>
      </c>
      <c r="Y1811" s="75"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309</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c r="U1812" t="s">
        <v>315</v>
      </c>
      <c r="V1812">
        <v>0</v>
      </c>
      <c r="W1812">
        <v>0</v>
      </c>
      <c r="X1812" t="s">
        <v>8</v>
      </c>
      <c r="Y1812" s="75"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311</v>
      </c>
      <c r="F1813">
        <v>0</v>
      </c>
      <c r="G1813">
        <v>0</v>
      </c>
      <c r="H1813" t="s">
        <v>8</v>
      </c>
      <c r="I1813" s="75" t="str">
        <f ca="1">IF(Table7[[#This Row],[Type]]="KILL",IF(_xlfn.NUMBERVALUE(RIGHT(Table7[[#This Row],[Min]],LEN(Table7[[#This Row],[Min]])-FIND("-",Table7[[#This Row],[Min]])))&gt;INDIRECT(ADDRESS(11+MATCH(LEFT(Table7[[#This Row],[Min]],FIND("-",Table7[[#This Row],[Min]])-1),Table1[Content Sku],0),14,1,1,"Entities")),"review","ok"),"ok")</f>
        <v>ok</v>
      </c>
      <c r="U1813" t="s">
        <v>315</v>
      </c>
      <c r="V1813">
        <v>0</v>
      </c>
      <c r="W1813">
        <v>31000</v>
      </c>
      <c r="X1813" t="s">
        <v>205</v>
      </c>
      <c r="Y1813" s="75"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311</v>
      </c>
      <c r="F1814">
        <v>0</v>
      </c>
      <c r="G1814">
        <v>0</v>
      </c>
      <c r="H1814" t="s">
        <v>8</v>
      </c>
      <c r="I1814" s="75" t="str">
        <f ca="1">IF(Table7[[#This Row],[Type]]="KILL",IF(_xlfn.NUMBERVALUE(RIGHT(Table7[[#This Row],[Min]],LEN(Table7[[#This Row],[Min]])-FIND("-",Table7[[#This Row],[Min]])))&gt;INDIRECT(ADDRESS(11+MATCH(LEFT(Table7[[#This Row],[Min]],FIND("-",Table7[[#This Row],[Min]])-1),Table1[Content Sku],0),14,1,1,"Entities")),"review","ok"),"ok")</f>
        <v>ok</v>
      </c>
      <c r="U1814" t="s">
        <v>315</v>
      </c>
      <c r="V1814">
        <v>38000</v>
      </c>
      <c r="W1814">
        <v>0</v>
      </c>
      <c r="X1814" t="s">
        <v>205</v>
      </c>
      <c r="Y1814" s="75"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311</v>
      </c>
      <c r="F1815">
        <v>8000</v>
      </c>
      <c r="G1815">
        <v>0</v>
      </c>
      <c r="H1815" t="s">
        <v>205</v>
      </c>
      <c r="I1815" s="75" t="str">
        <f ca="1">IF(Table7[[#This Row],[Type]]="KILL",IF(_xlfn.NUMBERVALUE(RIGHT(Table7[[#This Row],[Min]],LEN(Table7[[#This Row],[Min]])-FIND("-",Table7[[#This Row],[Min]])))&gt;INDIRECT(ADDRESS(11+MATCH(LEFT(Table7[[#This Row],[Min]],FIND("-",Table7[[#This Row],[Min]])-1),Table1[Content Sku],0),14,1,1,"Entities")),"review","ok"),"ok")</f>
        <v>ok</v>
      </c>
      <c r="U1815" t="s">
        <v>315</v>
      </c>
      <c r="V1815">
        <v>0</v>
      </c>
      <c r="W1815">
        <v>0</v>
      </c>
      <c r="X1815" t="s">
        <v>8</v>
      </c>
      <c r="Y1815" s="75"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311</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c r="U1816" t="s">
        <v>315</v>
      </c>
      <c r="V1816">
        <v>0</v>
      </c>
      <c r="W1816">
        <v>0</v>
      </c>
      <c r="X1816" t="s">
        <v>8</v>
      </c>
      <c r="Y1816" s="75"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311</v>
      </c>
      <c r="F1817">
        <v>4500</v>
      </c>
      <c r="G1817">
        <v>0</v>
      </c>
      <c r="H1817" t="s">
        <v>205</v>
      </c>
      <c r="I1817" s="75" t="str">
        <f ca="1">IF(Table7[[#This Row],[Type]]="KILL",IF(_xlfn.NUMBERVALUE(RIGHT(Table7[[#This Row],[Min]],LEN(Table7[[#This Row],[Min]])-FIND("-",Table7[[#This Row],[Min]])))&gt;INDIRECT(ADDRESS(11+MATCH(LEFT(Table7[[#This Row],[Min]],FIND("-",Table7[[#This Row],[Min]])-1),Table1[Content Sku],0),14,1,1,"Entities")),"review","ok"),"ok")</f>
        <v>ok</v>
      </c>
      <c r="U1817" t="s">
        <v>315</v>
      </c>
      <c r="V1817">
        <v>25000</v>
      </c>
      <c r="W1817">
        <v>0</v>
      </c>
      <c r="X1817" t="s">
        <v>205</v>
      </c>
      <c r="Y1817" s="75"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311</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c r="U1818" t="s">
        <v>315</v>
      </c>
      <c r="V1818">
        <v>0</v>
      </c>
      <c r="W1818">
        <v>0</v>
      </c>
      <c r="X1818" t="s">
        <v>8</v>
      </c>
      <c r="Y1818" s="75"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311</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c r="U1819" t="s">
        <v>315</v>
      </c>
      <c r="V1819">
        <v>0</v>
      </c>
      <c r="W1819">
        <v>0</v>
      </c>
      <c r="X1819" t="s">
        <v>8</v>
      </c>
      <c r="Y1819" s="75"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311</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315</v>
      </c>
      <c r="V1820">
        <v>0</v>
      </c>
      <c r="W1820">
        <v>0</v>
      </c>
      <c r="X1820" t="s">
        <v>8</v>
      </c>
      <c r="Y1820" s="75"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311</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c r="U1821" t="s">
        <v>315</v>
      </c>
      <c r="V1821">
        <v>37000</v>
      </c>
      <c r="W1821">
        <v>0</v>
      </c>
      <c r="X1821" t="s">
        <v>205</v>
      </c>
      <c r="Y1821" s="75"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311</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315</v>
      </c>
      <c r="V1822">
        <v>0</v>
      </c>
      <c r="W1822">
        <v>0</v>
      </c>
      <c r="X1822" t="s">
        <v>8</v>
      </c>
      <c r="Y1822" s="75"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311</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315</v>
      </c>
      <c r="V1823">
        <v>0</v>
      </c>
      <c r="W1823">
        <v>0</v>
      </c>
      <c r="X1823" t="s">
        <v>8</v>
      </c>
      <c r="Y1823" s="75"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311</v>
      </c>
      <c r="F1824">
        <v>200</v>
      </c>
      <c r="G1824">
        <v>0</v>
      </c>
      <c r="H1824" t="s">
        <v>4439</v>
      </c>
      <c r="I1824" s="75" t="str">
        <f ca="1">IF(Table7[[#This Row],[Type]]="KILL",IF(_xlfn.NUMBERVALUE(RIGHT(Table7[[#This Row],[Min]],LEN(Table7[[#This Row],[Min]])-FIND("-",Table7[[#This Row],[Min]])))&gt;INDIRECT(ADDRESS(11+MATCH(LEFT(Table7[[#This Row],[Min]],FIND("-",Table7[[#This Row],[Min]])-1),Table1[Content Sku],0),14,1,1,"Entities")),"review","ok"),"ok")</f>
        <v>ok</v>
      </c>
      <c r="U1824" t="s">
        <v>315</v>
      </c>
      <c r="V1824">
        <v>32000</v>
      </c>
      <c r="W1824">
        <v>0</v>
      </c>
      <c r="X1824" t="s">
        <v>205</v>
      </c>
      <c r="Y1824" s="75"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311</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c r="U1825" t="s">
        <v>315</v>
      </c>
      <c r="V1825">
        <v>0</v>
      </c>
      <c r="W1825">
        <v>0</v>
      </c>
      <c r="X1825" t="s">
        <v>8</v>
      </c>
      <c r="Y1825" s="75"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311</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315</v>
      </c>
      <c r="V1826">
        <v>0</v>
      </c>
      <c r="W1826">
        <v>0</v>
      </c>
      <c r="X1826" t="s">
        <v>8</v>
      </c>
      <c r="Y1826" s="75"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311</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315</v>
      </c>
      <c r="V1827">
        <v>0</v>
      </c>
      <c r="W1827">
        <v>0</v>
      </c>
      <c r="X1827" t="s">
        <v>8</v>
      </c>
      <c r="Y1827" s="75"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311</v>
      </c>
      <c r="F1828">
        <v>10000</v>
      </c>
      <c r="G1828">
        <v>0</v>
      </c>
      <c r="H1828" t="s">
        <v>205</v>
      </c>
      <c r="I1828" s="75" t="str">
        <f ca="1">IF(Table7[[#This Row],[Type]]="KILL",IF(_xlfn.NUMBERVALUE(RIGHT(Table7[[#This Row],[Min]],LEN(Table7[[#This Row],[Min]])-FIND("-",Table7[[#This Row],[Min]])))&gt;INDIRECT(ADDRESS(11+MATCH(LEFT(Table7[[#This Row],[Min]],FIND("-",Table7[[#This Row],[Min]])-1),Table1[Content Sku],0),14,1,1,"Entities")),"review","ok"),"ok")</f>
        <v>ok</v>
      </c>
      <c r="U1828" t="s">
        <v>315</v>
      </c>
      <c r="V1828">
        <v>0</v>
      </c>
      <c r="W1828">
        <v>0</v>
      </c>
      <c r="X1828" t="s">
        <v>8</v>
      </c>
      <c r="Y1828" s="75"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311</v>
      </c>
      <c r="F1829">
        <v>4200</v>
      </c>
      <c r="G1829">
        <v>0</v>
      </c>
      <c r="H1829" t="s">
        <v>205</v>
      </c>
      <c r="I1829" s="75" t="str">
        <f ca="1">IF(Table7[[#This Row],[Type]]="KILL",IF(_xlfn.NUMBERVALUE(RIGHT(Table7[[#This Row],[Min]],LEN(Table7[[#This Row],[Min]])-FIND("-",Table7[[#This Row],[Min]])))&gt;INDIRECT(ADDRESS(11+MATCH(LEFT(Table7[[#This Row],[Min]],FIND("-",Table7[[#This Row],[Min]])-1),Table1[Content Sku],0),14,1,1,"Entities")),"review","ok"),"ok")</f>
        <v>ok</v>
      </c>
      <c r="U1829" t="s">
        <v>315</v>
      </c>
      <c r="V1829">
        <v>0</v>
      </c>
      <c r="W1829">
        <v>0</v>
      </c>
      <c r="X1829" t="s">
        <v>8</v>
      </c>
      <c r="Y1829" s="75"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311</v>
      </c>
      <c r="F1830">
        <v>4700</v>
      </c>
      <c r="G1830">
        <v>0</v>
      </c>
      <c r="H1830" t="s">
        <v>205</v>
      </c>
      <c r="I1830" s="75" t="str">
        <f ca="1">IF(Table7[[#This Row],[Type]]="KILL",IF(_xlfn.NUMBERVALUE(RIGHT(Table7[[#This Row],[Min]],LEN(Table7[[#This Row],[Min]])-FIND("-",Table7[[#This Row],[Min]])))&gt;INDIRECT(ADDRESS(11+MATCH(LEFT(Table7[[#This Row],[Min]],FIND("-",Table7[[#This Row],[Min]])-1),Table1[Content Sku],0),14,1,1,"Entities")),"review","ok"),"ok")</f>
        <v>ok</v>
      </c>
      <c r="U1830" t="s">
        <v>315</v>
      </c>
      <c r="V1830">
        <v>26000</v>
      </c>
      <c r="W1830">
        <v>0</v>
      </c>
      <c r="X1830" t="s">
        <v>205</v>
      </c>
      <c r="Y1830" s="75"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311</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c r="U1831" t="s">
        <v>315</v>
      </c>
      <c r="V1831">
        <v>0</v>
      </c>
      <c r="W1831">
        <v>0</v>
      </c>
      <c r="X1831" t="s">
        <v>8</v>
      </c>
      <c r="Y1831" s="75"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311</v>
      </c>
      <c r="F1832">
        <v>12000</v>
      </c>
      <c r="G1832">
        <v>0</v>
      </c>
      <c r="H1832" t="s">
        <v>205</v>
      </c>
      <c r="I1832" s="75" t="str">
        <f ca="1">IF(Table7[[#This Row],[Type]]="KILL",IF(_xlfn.NUMBERVALUE(RIGHT(Table7[[#This Row],[Min]],LEN(Table7[[#This Row],[Min]])-FIND("-",Table7[[#This Row],[Min]])))&gt;INDIRECT(ADDRESS(11+MATCH(LEFT(Table7[[#This Row],[Min]],FIND("-",Table7[[#This Row],[Min]])-1),Table1[Content Sku],0),14,1,1,"Entities")),"review","ok"),"ok")</f>
        <v>ok</v>
      </c>
      <c r="U1832" t="s">
        <v>315</v>
      </c>
      <c r="V1832">
        <v>0</v>
      </c>
      <c r="W1832">
        <v>40000</v>
      </c>
      <c r="X1832" t="s">
        <v>205</v>
      </c>
      <c r="Y1832" s="75"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311</v>
      </c>
      <c r="F1833">
        <v>0</v>
      </c>
      <c r="G1833">
        <v>0</v>
      </c>
      <c r="H1833" t="s">
        <v>8</v>
      </c>
      <c r="I1833" s="75" t="str">
        <f ca="1">IF(Table7[[#This Row],[Type]]="KILL",IF(_xlfn.NUMBERVALUE(RIGHT(Table7[[#This Row],[Min]],LEN(Table7[[#This Row],[Min]])-FIND("-",Table7[[#This Row],[Min]])))&gt;INDIRECT(ADDRESS(11+MATCH(LEFT(Table7[[#This Row],[Min]],FIND("-",Table7[[#This Row],[Min]])-1),Table1[Content Sku],0),14,1,1,"Entities")),"review","ok"),"ok")</f>
        <v>ok</v>
      </c>
      <c r="U1833" t="s">
        <v>315</v>
      </c>
      <c r="V1833">
        <v>41000</v>
      </c>
      <c r="W1833">
        <v>0</v>
      </c>
      <c r="X1833" t="s">
        <v>205</v>
      </c>
      <c r="Y1833" s="75"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311</v>
      </c>
      <c r="F1834">
        <v>5000</v>
      </c>
      <c r="G1834">
        <v>0</v>
      </c>
      <c r="H1834" t="s">
        <v>205</v>
      </c>
      <c r="I1834" s="75" t="str">
        <f ca="1">IF(Table7[[#This Row],[Type]]="KILL",IF(_xlfn.NUMBERVALUE(RIGHT(Table7[[#This Row],[Min]],LEN(Table7[[#This Row],[Min]])-FIND("-",Table7[[#This Row],[Min]])))&gt;INDIRECT(ADDRESS(11+MATCH(LEFT(Table7[[#This Row],[Min]],FIND("-",Table7[[#This Row],[Min]])-1),Table1[Content Sku],0),14,1,1,"Entities")),"review","ok"),"ok")</f>
        <v>ok</v>
      </c>
      <c r="U1834" t="s">
        <v>315</v>
      </c>
      <c r="V1834">
        <v>0</v>
      </c>
      <c r="W1834">
        <v>0</v>
      </c>
      <c r="X1834" t="s">
        <v>8</v>
      </c>
      <c r="Y1834" s="75"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311</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c r="U1835" t="s">
        <v>315</v>
      </c>
      <c r="V1835">
        <v>0</v>
      </c>
      <c r="W1835">
        <v>0</v>
      </c>
      <c r="X1835" t="s">
        <v>8</v>
      </c>
      <c r="Y1835" s="75"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311</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c r="U1836" t="s">
        <v>315</v>
      </c>
      <c r="V1836">
        <v>0</v>
      </c>
      <c r="W1836">
        <v>0</v>
      </c>
      <c r="X1836" t="s">
        <v>8</v>
      </c>
      <c r="Y1836" s="75"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311</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315</v>
      </c>
      <c r="V1837">
        <v>0</v>
      </c>
      <c r="W1837">
        <v>0</v>
      </c>
      <c r="X1837" t="s">
        <v>8</v>
      </c>
      <c r="Y1837" s="75"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311</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c r="U1838" t="s">
        <v>315</v>
      </c>
      <c r="V1838">
        <v>33000</v>
      </c>
      <c r="W1838">
        <v>0</v>
      </c>
      <c r="X1838" t="s">
        <v>205</v>
      </c>
      <c r="Y1838" s="75"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311</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c r="U1839" t="s">
        <v>315</v>
      </c>
      <c r="V1839">
        <v>0</v>
      </c>
      <c r="W1839">
        <v>0</v>
      </c>
      <c r="X1839" t="s">
        <v>8</v>
      </c>
      <c r="Y1839" s="75"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311</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c r="U1840" t="s">
        <v>315</v>
      </c>
      <c r="V1840">
        <v>0</v>
      </c>
      <c r="W1840">
        <v>0</v>
      </c>
      <c r="X1840" t="s">
        <v>8</v>
      </c>
      <c r="Y1840" s="75"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311</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c r="U1841" t="s">
        <v>315</v>
      </c>
      <c r="V1841">
        <v>0</v>
      </c>
      <c r="W1841">
        <v>0</v>
      </c>
      <c r="X1841" t="s">
        <v>8</v>
      </c>
      <c r="Y1841" s="75"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311</v>
      </c>
      <c r="F1842">
        <v>8000</v>
      </c>
      <c r="G1842">
        <v>0</v>
      </c>
      <c r="H1842" t="s">
        <v>205</v>
      </c>
      <c r="I1842" s="75" t="str">
        <f ca="1">IF(Table7[[#This Row],[Type]]="KILL",IF(_xlfn.NUMBERVALUE(RIGHT(Table7[[#This Row],[Min]],LEN(Table7[[#This Row],[Min]])-FIND("-",Table7[[#This Row],[Min]])))&gt;INDIRECT(ADDRESS(11+MATCH(LEFT(Table7[[#This Row],[Min]],FIND("-",Table7[[#This Row],[Min]])-1),Table1[Content Sku],0),14,1,1,"Entities")),"review","ok"),"ok")</f>
        <v>ok</v>
      </c>
      <c r="U1842" t="s">
        <v>315</v>
      </c>
      <c r="V1842">
        <v>0</v>
      </c>
      <c r="W1842">
        <v>0</v>
      </c>
      <c r="X1842" t="s">
        <v>8</v>
      </c>
      <c r="Y1842" s="75"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311</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c r="U1843" t="s">
        <v>315</v>
      </c>
      <c r="V1843">
        <v>30000</v>
      </c>
      <c r="W1843">
        <v>0</v>
      </c>
      <c r="X1843" t="s">
        <v>205</v>
      </c>
      <c r="Y1843" s="75"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311</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c r="U1844" t="s">
        <v>315</v>
      </c>
      <c r="V1844">
        <v>0</v>
      </c>
      <c r="W1844">
        <v>0</v>
      </c>
      <c r="X1844" t="s">
        <v>8</v>
      </c>
      <c r="Y1844" s="75"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311</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c r="U1845" t="s">
        <v>315</v>
      </c>
      <c r="V1845">
        <v>35000</v>
      </c>
      <c r="W1845">
        <v>0</v>
      </c>
      <c r="X1845" t="s">
        <v>205</v>
      </c>
      <c r="Y1845" s="75"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311</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c r="U1846" t="s">
        <v>315</v>
      </c>
      <c r="V1846">
        <v>0</v>
      </c>
      <c r="W1846">
        <v>0</v>
      </c>
      <c r="X1846" t="s">
        <v>8</v>
      </c>
      <c r="Y1846" s="75"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311</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c r="U1847" t="s">
        <v>315</v>
      </c>
      <c r="V1847">
        <v>0</v>
      </c>
      <c r="W1847">
        <v>0</v>
      </c>
      <c r="X1847" t="s">
        <v>8</v>
      </c>
      <c r="Y1847" s="75"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311</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c r="U1848" t="s">
        <v>315</v>
      </c>
      <c r="V1848">
        <v>0</v>
      </c>
      <c r="W1848">
        <v>0</v>
      </c>
      <c r="X1848" t="s">
        <v>8</v>
      </c>
      <c r="Y1848" s="75"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311</v>
      </c>
      <c r="F1849">
        <v>4200</v>
      </c>
      <c r="G1849">
        <v>0</v>
      </c>
      <c r="H1849" t="s">
        <v>205</v>
      </c>
      <c r="I1849" s="75" t="str">
        <f ca="1">IF(Table7[[#This Row],[Type]]="KILL",IF(_xlfn.NUMBERVALUE(RIGHT(Table7[[#This Row],[Min]],LEN(Table7[[#This Row],[Min]])-FIND("-",Table7[[#This Row],[Min]])))&gt;INDIRECT(ADDRESS(11+MATCH(LEFT(Table7[[#This Row],[Min]],FIND("-",Table7[[#This Row],[Min]])-1),Table1[Content Sku],0),14,1,1,"Entities")),"review","ok"),"ok")</f>
        <v>ok</v>
      </c>
      <c r="U1849" t="s">
        <v>315</v>
      </c>
      <c r="V1849">
        <v>0</v>
      </c>
      <c r="W1849">
        <v>0</v>
      </c>
      <c r="X1849" t="s">
        <v>8</v>
      </c>
      <c r="Y1849" s="75"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311</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c r="U1850" t="s">
        <v>315</v>
      </c>
      <c r="V1850">
        <v>0</v>
      </c>
      <c r="W1850">
        <v>0</v>
      </c>
      <c r="X1850" t="s">
        <v>8</v>
      </c>
      <c r="Y1850" s="75"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311</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c r="U1851" t="s">
        <v>315</v>
      </c>
      <c r="V1851">
        <v>0</v>
      </c>
      <c r="W1851">
        <v>0</v>
      </c>
      <c r="X1851" t="s">
        <v>8</v>
      </c>
      <c r="Y1851" s="75"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311</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c r="U1852" t="s">
        <v>315</v>
      </c>
      <c r="V1852">
        <v>0</v>
      </c>
      <c r="W1852">
        <v>37000</v>
      </c>
      <c r="X1852" t="s">
        <v>205</v>
      </c>
      <c r="Y1852" s="75"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311</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c r="U1853" t="s">
        <v>315</v>
      </c>
      <c r="V1853">
        <v>0</v>
      </c>
      <c r="W1853">
        <v>0</v>
      </c>
      <c r="X1853" t="s">
        <v>8</v>
      </c>
      <c r="Y1853" s="75"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311</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c r="U1854" t="s">
        <v>315</v>
      </c>
      <c r="V1854">
        <v>0</v>
      </c>
      <c r="W1854">
        <v>43000</v>
      </c>
      <c r="X1854" t="s">
        <v>205</v>
      </c>
      <c r="Y1854" s="75"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311</v>
      </c>
      <c r="F1855">
        <v>12100</v>
      </c>
      <c r="G1855">
        <v>0</v>
      </c>
      <c r="H1855" t="s">
        <v>205</v>
      </c>
      <c r="I1855" s="75" t="str">
        <f ca="1">IF(Table7[[#This Row],[Type]]="KILL",IF(_xlfn.NUMBERVALUE(RIGHT(Table7[[#This Row],[Min]],LEN(Table7[[#This Row],[Min]])-FIND("-",Table7[[#This Row],[Min]])))&gt;INDIRECT(ADDRESS(11+MATCH(LEFT(Table7[[#This Row],[Min]],FIND("-",Table7[[#This Row],[Min]])-1),Table1[Content Sku],0),14,1,1,"Entities")),"review","ok"),"ok")</f>
        <v>ok</v>
      </c>
      <c r="U1855" t="s">
        <v>315</v>
      </c>
      <c r="V1855">
        <v>0</v>
      </c>
      <c r="W1855">
        <v>0</v>
      </c>
      <c r="X1855" t="s">
        <v>8</v>
      </c>
      <c r="Y1855" s="75"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311</v>
      </c>
      <c r="F1856">
        <v>16000</v>
      </c>
      <c r="G1856">
        <v>0</v>
      </c>
      <c r="H1856" t="s">
        <v>205</v>
      </c>
      <c r="I1856" s="75" t="str">
        <f ca="1">IF(Table7[[#This Row],[Type]]="KILL",IF(_xlfn.NUMBERVALUE(RIGHT(Table7[[#This Row],[Min]],LEN(Table7[[#This Row],[Min]])-FIND("-",Table7[[#This Row],[Min]])))&gt;INDIRECT(ADDRESS(11+MATCH(LEFT(Table7[[#This Row],[Min]],FIND("-",Table7[[#This Row],[Min]])-1),Table1[Content Sku],0),14,1,1,"Entities")),"review","ok"),"ok")</f>
        <v>ok</v>
      </c>
      <c r="U1856" t="s">
        <v>315</v>
      </c>
      <c r="V1856">
        <v>0</v>
      </c>
      <c r="W1856">
        <v>0</v>
      </c>
      <c r="X1856" t="s">
        <v>8</v>
      </c>
      <c r="Y1856" s="75"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311</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c r="U1857" t="s">
        <v>315</v>
      </c>
      <c r="V1857">
        <v>0</v>
      </c>
      <c r="W1857">
        <v>0</v>
      </c>
      <c r="X1857" t="s">
        <v>8</v>
      </c>
      <c r="Y1857" s="75"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311</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c r="U1858" t="s">
        <v>315</v>
      </c>
      <c r="V1858">
        <v>0</v>
      </c>
      <c r="W1858">
        <v>39000</v>
      </c>
      <c r="X1858" t="s">
        <v>205</v>
      </c>
      <c r="Y1858" s="75"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311</v>
      </c>
      <c r="F1859">
        <v>0</v>
      </c>
      <c r="G1859">
        <v>0</v>
      </c>
      <c r="H1859" t="s">
        <v>8</v>
      </c>
      <c r="I1859" s="75" t="str">
        <f ca="1">IF(Table7[[#This Row],[Type]]="KILL",IF(_xlfn.NUMBERVALUE(RIGHT(Table7[[#This Row],[Min]],LEN(Table7[[#This Row],[Min]])-FIND("-",Table7[[#This Row],[Min]])))&gt;INDIRECT(ADDRESS(11+MATCH(LEFT(Table7[[#This Row],[Min]],FIND("-",Table7[[#This Row],[Min]])-1),Table1[Content Sku],0),14,1,1,"Entities")),"review","ok"),"ok")</f>
        <v>ok</v>
      </c>
      <c r="U1859" t="s">
        <v>315</v>
      </c>
      <c r="V1859">
        <v>0</v>
      </c>
      <c r="W1859">
        <v>0</v>
      </c>
      <c r="X1859" t="s">
        <v>8</v>
      </c>
      <c r="Y1859" s="75"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311</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c r="U1860" t="s">
        <v>315</v>
      </c>
      <c r="V1860">
        <v>0</v>
      </c>
      <c r="W1860">
        <v>0</v>
      </c>
      <c r="X1860" t="s">
        <v>8</v>
      </c>
      <c r="Y1860" s="75"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311</v>
      </c>
      <c r="F1861">
        <v>2800</v>
      </c>
      <c r="G1861">
        <v>0</v>
      </c>
      <c r="H1861" t="s">
        <v>205</v>
      </c>
      <c r="I1861" s="75" t="str">
        <f ca="1">IF(Table7[[#This Row],[Type]]="KILL",IF(_xlfn.NUMBERVALUE(RIGHT(Table7[[#This Row],[Min]],LEN(Table7[[#This Row],[Min]])-FIND("-",Table7[[#This Row],[Min]])))&gt;INDIRECT(ADDRESS(11+MATCH(LEFT(Table7[[#This Row],[Min]],FIND("-",Table7[[#This Row],[Min]])-1),Table1[Content Sku],0),14,1,1,"Entities")),"review","ok"),"ok")</f>
        <v>ok</v>
      </c>
      <c r="U1861" t="s">
        <v>315</v>
      </c>
      <c r="V1861">
        <v>0</v>
      </c>
      <c r="W1861">
        <v>45000</v>
      </c>
      <c r="X1861" t="s">
        <v>205</v>
      </c>
      <c r="Y1861" s="75"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311</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c r="U1862" t="s">
        <v>315</v>
      </c>
      <c r="V1862">
        <v>0</v>
      </c>
      <c r="W1862">
        <v>0</v>
      </c>
      <c r="X1862" t="s">
        <v>8</v>
      </c>
      <c r="Y1862" s="75"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311</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c r="U1863" t="s">
        <v>315</v>
      </c>
      <c r="V1863">
        <v>0</v>
      </c>
      <c r="W1863">
        <v>35000</v>
      </c>
      <c r="X1863" t="s">
        <v>205</v>
      </c>
      <c r="Y1863" s="75"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311</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c r="U1864" t="s">
        <v>315</v>
      </c>
      <c r="V1864">
        <v>0</v>
      </c>
      <c r="W1864">
        <v>0</v>
      </c>
      <c r="X1864" t="s">
        <v>8</v>
      </c>
      <c r="Y1864" s="75"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311</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c r="U1865" t="s">
        <v>315</v>
      </c>
      <c r="V1865">
        <v>0</v>
      </c>
      <c r="W1865">
        <v>0</v>
      </c>
      <c r="X1865" t="s">
        <v>8</v>
      </c>
      <c r="Y1865" s="75"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311</v>
      </c>
      <c r="F1866">
        <v>4200</v>
      </c>
      <c r="G1866">
        <v>0</v>
      </c>
      <c r="H1866" t="s">
        <v>205</v>
      </c>
      <c r="I1866" s="75" t="str">
        <f ca="1">IF(Table7[[#This Row],[Type]]="KILL",IF(_xlfn.NUMBERVALUE(RIGHT(Table7[[#This Row],[Min]],LEN(Table7[[#This Row],[Min]])-FIND("-",Table7[[#This Row],[Min]])))&gt;INDIRECT(ADDRESS(11+MATCH(LEFT(Table7[[#This Row],[Min]],FIND("-",Table7[[#This Row],[Min]])-1),Table1[Content Sku],0),14,1,1,"Entities")),"review","ok"),"ok")</f>
        <v>ok</v>
      </c>
      <c r="U1866" t="s">
        <v>315</v>
      </c>
      <c r="V1866">
        <v>0</v>
      </c>
      <c r="W1866">
        <v>0</v>
      </c>
      <c r="X1866" t="s">
        <v>8</v>
      </c>
      <c r="Y1866" s="75"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311</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c r="U1867" t="s">
        <v>315</v>
      </c>
      <c r="V1867">
        <v>0</v>
      </c>
      <c r="W1867">
        <v>41000</v>
      </c>
      <c r="X1867" t="s">
        <v>205</v>
      </c>
      <c r="Y1867" s="75"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311</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c r="U1868" t="s">
        <v>315</v>
      </c>
      <c r="V1868">
        <v>0</v>
      </c>
      <c r="W1868">
        <v>0</v>
      </c>
      <c r="X1868" t="s">
        <v>8</v>
      </c>
      <c r="Y1868" s="75"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311</v>
      </c>
      <c r="F1869">
        <v>16000</v>
      </c>
      <c r="G1869">
        <v>0</v>
      </c>
      <c r="H1869" t="s">
        <v>205</v>
      </c>
      <c r="I1869" s="75" t="str">
        <f ca="1">IF(Table7[[#This Row],[Type]]="KILL",IF(_xlfn.NUMBERVALUE(RIGHT(Table7[[#This Row],[Min]],LEN(Table7[[#This Row],[Min]])-FIND("-",Table7[[#This Row],[Min]])))&gt;INDIRECT(ADDRESS(11+MATCH(LEFT(Table7[[#This Row],[Min]],FIND("-",Table7[[#This Row],[Min]])-1),Table1[Content Sku],0),14,1,1,"Entities")),"review","ok"),"ok")</f>
        <v>ok</v>
      </c>
      <c r="U1869" t="s">
        <v>318</v>
      </c>
      <c r="V1869">
        <v>0</v>
      </c>
      <c r="W1869">
        <v>0</v>
      </c>
      <c r="X1869" t="s">
        <v>8</v>
      </c>
      <c r="Y1869" s="75"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311</v>
      </c>
      <c r="F1870">
        <v>0</v>
      </c>
      <c r="G1870">
        <v>0</v>
      </c>
      <c r="H1870" t="s">
        <v>8</v>
      </c>
      <c r="I1870" s="75" t="str">
        <f ca="1">IF(Table7[[#This Row],[Type]]="KILL",IF(_xlfn.NUMBERVALUE(RIGHT(Table7[[#This Row],[Min]],LEN(Table7[[#This Row],[Min]])-FIND("-",Table7[[#This Row],[Min]])))&gt;INDIRECT(ADDRESS(11+MATCH(LEFT(Table7[[#This Row],[Min]],FIND("-",Table7[[#This Row],[Min]])-1),Table1[Content Sku],0),14,1,1,"Entities")),"review","ok"),"ok")</f>
        <v>ok</v>
      </c>
      <c r="U1870" t="s">
        <v>318</v>
      </c>
      <c r="V1870">
        <v>0</v>
      </c>
      <c r="W1870">
        <v>0</v>
      </c>
      <c r="X1870" t="s">
        <v>8</v>
      </c>
      <c r="Y1870" s="75"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311</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c r="U1871" t="s">
        <v>318</v>
      </c>
      <c r="V1871">
        <v>0</v>
      </c>
      <c r="W1871">
        <v>0</v>
      </c>
      <c r="X1871" t="s">
        <v>8</v>
      </c>
      <c r="Y1871" s="75"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311</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c r="U1872" t="s">
        <v>318</v>
      </c>
      <c r="V1872">
        <v>0</v>
      </c>
      <c r="W1872">
        <v>0</v>
      </c>
      <c r="X1872" t="s">
        <v>8</v>
      </c>
      <c r="Y1872" s="75"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311</v>
      </c>
      <c r="F1873">
        <v>12100</v>
      </c>
      <c r="G1873">
        <v>0</v>
      </c>
      <c r="H1873" t="s">
        <v>205</v>
      </c>
      <c r="I1873" s="75" t="str">
        <f ca="1">IF(Table7[[#This Row],[Type]]="KILL",IF(_xlfn.NUMBERVALUE(RIGHT(Table7[[#This Row],[Min]],LEN(Table7[[#This Row],[Min]])-FIND("-",Table7[[#This Row],[Min]])))&gt;INDIRECT(ADDRESS(11+MATCH(LEFT(Table7[[#This Row],[Min]],FIND("-",Table7[[#This Row],[Min]])-1),Table1[Content Sku],0),14,1,1,"Entities")),"review","ok"),"ok")</f>
        <v>ok</v>
      </c>
      <c r="U1873" t="s">
        <v>318</v>
      </c>
      <c r="V1873">
        <v>0</v>
      </c>
      <c r="W1873">
        <v>0</v>
      </c>
      <c r="X1873" t="s">
        <v>8</v>
      </c>
      <c r="Y1873" s="75"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311</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c r="U1874" t="s">
        <v>318</v>
      </c>
      <c r="V1874">
        <v>0</v>
      </c>
      <c r="W1874">
        <v>0</v>
      </c>
      <c r="X1874" t="s">
        <v>8</v>
      </c>
      <c r="Y1874" s="75"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311</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c r="U1875" t="s">
        <v>318</v>
      </c>
      <c r="V1875">
        <v>0</v>
      </c>
      <c r="W1875">
        <v>0</v>
      </c>
      <c r="X1875" t="s">
        <v>8</v>
      </c>
      <c r="Y1875" s="75"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311</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c r="U1876" t="s">
        <v>318</v>
      </c>
      <c r="V1876">
        <v>0</v>
      </c>
      <c r="W1876">
        <v>0</v>
      </c>
      <c r="X1876" t="s">
        <v>8</v>
      </c>
      <c r="Y1876" s="75"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311</v>
      </c>
      <c r="F1877">
        <v>2800</v>
      </c>
      <c r="G1877">
        <v>0</v>
      </c>
      <c r="H1877" t="s">
        <v>205</v>
      </c>
      <c r="I1877" s="75" t="str">
        <f ca="1">IF(Table7[[#This Row],[Type]]="KILL",IF(_xlfn.NUMBERVALUE(RIGHT(Table7[[#This Row],[Min]],LEN(Table7[[#This Row],[Min]])-FIND("-",Table7[[#This Row],[Min]])))&gt;INDIRECT(ADDRESS(11+MATCH(LEFT(Table7[[#This Row],[Min]],FIND("-",Table7[[#This Row],[Min]])-1),Table1[Content Sku],0),14,1,1,"Entities")),"review","ok"),"ok")</f>
        <v>ok</v>
      </c>
      <c r="U1877" t="s">
        <v>8017</v>
      </c>
      <c r="V1877">
        <v>0</v>
      </c>
      <c r="W1877">
        <v>0</v>
      </c>
      <c r="X1877" t="s">
        <v>8</v>
      </c>
      <c r="Y1877" s="75"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311</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c r="U1878" t="s">
        <v>8017</v>
      </c>
      <c r="V1878">
        <v>0</v>
      </c>
      <c r="W1878">
        <v>0</v>
      </c>
      <c r="X1878" t="s">
        <v>8</v>
      </c>
      <c r="Y1878" s="75"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313</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c r="U1879" t="s">
        <v>8017</v>
      </c>
      <c r="V1879">
        <v>0</v>
      </c>
      <c r="W1879">
        <v>0</v>
      </c>
      <c r="X1879" t="s">
        <v>8</v>
      </c>
      <c r="Y1879" s="75"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313</v>
      </c>
      <c r="F1880">
        <v>0</v>
      </c>
      <c r="G1880">
        <v>25000</v>
      </c>
      <c r="H1880" t="s">
        <v>205</v>
      </c>
      <c r="I1880" s="75" t="str">
        <f ca="1">IF(Table7[[#This Row],[Type]]="KILL",IF(_xlfn.NUMBERVALUE(RIGHT(Table7[[#This Row],[Min]],LEN(Table7[[#This Row],[Min]])-FIND("-",Table7[[#This Row],[Min]])))&gt;INDIRECT(ADDRESS(11+MATCH(LEFT(Table7[[#This Row],[Min]],FIND("-",Table7[[#This Row],[Min]])-1),Table1[Content Sku],0),14,1,1,"Entities")),"review","ok"),"ok")</f>
        <v>ok</v>
      </c>
      <c r="U1880" t="s">
        <v>8017</v>
      </c>
      <c r="V1880">
        <v>0</v>
      </c>
      <c r="W1880">
        <v>0</v>
      </c>
      <c r="X1880" t="s">
        <v>8</v>
      </c>
      <c r="Y1880" s="75"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313</v>
      </c>
      <c r="F1881">
        <v>0</v>
      </c>
      <c r="G1881">
        <v>0</v>
      </c>
      <c r="H1881" t="s">
        <v>8</v>
      </c>
      <c r="I1881" s="75" t="str">
        <f ca="1">IF(Table7[[#This Row],[Type]]="KILL",IF(_xlfn.NUMBERVALUE(RIGHT(Table7[[#This Row],[Min]],LEN(Table7[[#This Row],[Min]])-FIND("-",Table7[[#This Row],[Min]])))&gt;INDIRECT(ADDRESS(11+MATCH(LEFT(Table7[[#This Row],[Min]],FIND("-",Table7[[#This Row],[Min]])-1),Table1[Content Sku],0),14,1,1,"Entities")),"review","ok"),"ok")</f>
        <v>ok</v>
      </c>
      <c r="U1881" t="s">
        <v>8017</v>
      </c>
      <c r="V1881">
        <v>0</v>
      </c>
      <c r="W1881">
        <v>0</v>
      </c>
      <c r="X1881" t="s">
        <v>8</v>
      </c>
      <c r="Y1881" s="75"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313</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c r="U1882" t="s">
        <v>8017</v>
      </c>
      <c r="V1882">
        <v>0</v>
      </c>
      <c r="W1882">
        <v>0</v>
      </c>
      <c r="X1882" t="s">
        <v>8</v>
      </c>
      <c r="Y1882" s="75"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313</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c r="U1883" t="s">
        <v>8017</v>
      </c>
      <c r="V1883">
        <v>0</v>
      </c>
      <c r="W1883">
        <v>0</v>
      </c>
      <c r="X1883" t="s">
        <v>8</v>
      </c>
      <c r="Y1883" s="75"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313</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c r="U1884" t="s">
        <v>8017</v>
      </c>
      <c r="V1884">
        <v>0</v>
      </c>
      <c r="W1884">
        <v>0</v>
      </c>
      <c r="X1884" t="s">
        <v>8</v>
      </c>
      <c r="Y1884" s="75"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313</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c r="U1885" t="s">
        <v>8017</v>
      </c>
      <c r="V1885">
        <v>0</v>
      </c>
      <c r="W1885">
        <v>0</v>
      </c>
      <c r="X1885" t="s">
        <v>8</v>
      </c>
      <c r="Y1885" s="75"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313</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c r="U1886" t="s">
        <v>8017</v>
      </c>
      <c r="V1886">
        <v>0</v>
      </c>
      <c r="W1886">
        <v>0</v>
      </c>
      <c r="X1886" t="s">
        <v>8</v>
      </c>
      <c r="Y1886" s="75"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313</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c r="U1887" t="s">
        <v>393</v>
      </c>
      <c r="V1887">
        <v>0</v>
      </c>
      <c r="W1887">
        <v>0</v>
      </c>
      <c r="X1887" t="s">
        <v>8</v>
      </c>
      <c r="Y1887" s="75"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313</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c r="U1888" t="s">
        <v>393</v>
      </c>
      <c r="V1888">
        <v>0</v>
      </c>
      <c r="W1888">
        <v>17000</v>
      </c>
      <c r="X1888" t="s">
        <v>205</v>
      </c>
      <c r="Y1888" s="75"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313</v>
      </c>
      <c r="F1889">
        <v>5000</v>
      </c>
      <c r="G1889">
        <v>0</v>
      </c>
      <c r="H1889" t="s">
        <v>205</v>
      </c>
      <c r="I1889" s="75" t="str">
        <f ca="1">IF(Table7[[#This Row],[Type]]="KILL",IF(_xlfn.NUMBERVALUE(RIGHT(Table7[[#This Row],[Min]],LEN(Table7[[#This Row],[Min]])-FIND("-",Table7[[#This Row],[Min]])))&gt;INDIRECT(ADDRESS(11+MATCH(LEFT(Table7[[#This Row],[Min]],FIND("-",Table7[[#This Row],[Min]])-1),Table1[Content Sku],0),14,1,1,"Entities")),"review","ok"),"ok")</f>
        <v>ok</v>
      </c>
      <c r="U1889" t="s">
        <v>393</v>
      </c>
      <c r="V1889">
        <v>0</v>
      </c>
      <c r="W1889">
        <v>0</v>
      </c>
      <c r="X1889" t="s">
        <v>8</v>
      </c>
      <c r="Y1889" s="75"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313</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c r="U1890" t="s">
        <v>393</v>
      </c>
      <c r="V1890">
        <v>0</v>
      </c>
      <c r="W1890">
        <v>0</v>
      </c>
      <c r="X1890" t="s">
        <v>8</v>
      </c>
      <c r="Y1890" s="75"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313</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c r="U1891" t="s">
        <v>393</v>
      </c>
      <c r="V1891">
        <v>0</v>
      </c>
      <c r="W1891">
        <v>25000</v>
      </c>
      <c r="X1891" t="s">
        <v>205</v>
      </c>
      <c r="Y1891" s="75"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313</v>
      </c>
      <c r="F1892">
        <v>0</v>
      </c>
      <c r="G1892">
        <v>27000</v>
      </c>
      <c r="H1892" t="s">
        <v>205</v>
      </c>
      <c r="I1892" s="75" t="str">
        <f ca="1">IF(Table7[[#This Row],[Type]]="KILL",IF(_xlfn.NUMBERVALUE(RIGHT(Table7[[#This Row],[Min]],LEN(Table7[[#This Row],[Min]])-FIND("-",Table7[[#This Row],[Min]])))&gt;INDIRECT(ADDRESS(11+MATCH(LEFT(Table7[[#This Row],[Min]],FIND("-",Table7[[#This Row],[Min]])-1),Table1[Content Sku],0),14,1,1,"Entities")),"review","ok"),"ok")</f>
        <v>ok</v>
      </c>
      <c r="U1892" t="s">
        <v>393</v>
      </c>
      <c r="V1892">
        <v>0</v>
      </c>
      <c r="W1892">
        <v>25000</v>
      </c>
      <c r="X1892" t="s">
        <v>205</v>
      </c>
      <c r="Y1892" s="75"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313</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c r="U1893" t="s">
        <v>393</v>
      </c>
      <c r="V1893">
        <v>0</v>
      </c>
      <c r="W1893">
        <v>17000</v>
      </c>
      <c r="X1893" t="s">
        <v>205</v>
      </c>
      <c r="Y1893" s="75"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313</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c r="U1894" t="s">
        <v>393</v>
      </c>
      <c r="V1894">
        <v>15000</v>
      </c>
      <c r="W1894">
        <v>0</v>
      </c>
      <c r="X1894" t="s">
        <v>205</v>
      </c>
      <c r="Y1894" s="75"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313</v>
      </c>
      <c r="F1895">
        <v>0</v>
      </c>
      <c r="G1895">
        <v>0</v>
      </c>
      <c r="H1895" t="s">
        <v>8</v>
      </c>
      <c r="I1895" s="75" t="str">
        <f ca="1">IF(Table7[[#This Row],[Type]]="KILL",IF(_xlfn.NUMBERVALUE(RIGHT(Table7[[#This Row],[Min]],LEN(Table7[[#This Row],[Min]])-FIND("-",Table7[[#This Row],[Min]])))&gt;INDIRECT(ADDRESS(11+MATCH(LEFT(Table7[[#This Row],[Min]],FIND("-",Table7[[#This Row],[Min]])-1),Table1[Content Sku],0),14,1,1,"Entities")),"review","ok"),"ok")</f>
        <v>ok</v>
      </c>
      <c r="U1895" t="s">
        <v>393</v>
      </c>
      <c r="V1895">
        <v>0</v>
      </c>
      <c r="W1895">
        <v>0</v>
      </c>
      <c r="X1895" t="s">
        <v>8</v>
      </c>
      <c r="Y1895" s="75"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313</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c r="U1896" t="s">
        <v>393</v>
      </c>
      <c r="V1896">
        <v>0</v>
      </c>
      <c r="W1896">
        <v>0</v>
      </c>
      <c r="X1896" t="s">
        <v>8</v>
      </c>
      <c r="Y1896" s="75"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313</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c r="U1897" t="s">
        <v>393</v>
      </c>
      <c r="V1897">
        <v>0</v>
      </c>
      <c r="W1897">
        <v>17000</v>
      </c>
      <c r="X1897" t="s">
        <v>205</v>
      </c>
      <c r="Y1897" s="75"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313</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c r="U1898" t="s">
        <v>393</v>
      </c>
      <c r="V1898">
        <v>0</v>
      </c>
      <c r="W1898">
        <v>0</v>
      </c>
      <c r="X1898" t="s">
        <v>8</v>
      </c>
      <c r="Y1898" s="75"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313</v>
      </c>
      <c r="F1899">
        <v>5000</v>
      </c>
      <c r="G1899">
        <v>0</v>
      </c>
      <c r="H1899" t="s">
        <v>205</v>
      </c>
      <c r="I1899" s="75" t="str">
        <f ca="1">IF(Table7[[#This Row],[Type]]="KILL",IF(_xlfn.NUMBERVALUE(RIGHT(Table7[[#This Row],[Min]],LEN(Table7[[#This Row],[Min]])-FIND("-",Table7[[#This Row],[Min]])))&gt;INDIRECT(ADDRESS(11+MATCH(LEFT(Table7[[#This Row],[Min]],FIND("-",Table7[[#This Row],[Min]])-1),Table1[Content Sku],0),14,1,1,"Entities")),"review","ok"),"ok")</f>
        <v>ok</v>
      </c>
      <c r="U1899" t="s">
        <v>393</v>
      </c>
      <c r="V1899">
        <v>0</v>
      </c>
      <c r="W1899">
        <v>0</v>
      </c>
      <c r="X1899" t="s">
        <v>8</v>
      </c>
      <c r="Y1899" s="75"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313</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c r="U1900" t="s">
        <v>393</v>
      </c>
      <c r="V1900">
        <v>0</v>
      </c>
      <c r="W1900">
        <v>15000</v>
      </c>
      <c r="X1900" t="s">
        <v>205</v>
      </c>
      <c r="Y1900" s="75"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313</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c r="U1901" t="s">
        <v>393</v>
      </c>
      <c r="V1901">
        <v>15000</v>
      </c>
      <c r="W1901">
        <v>0</v>
      </c>
      <c r="X1901" t="s">
        <v>205</v>
      </c>
      <c r="Y1901" s="75"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313</v>
      </c>
      <c r="F1902">
        <v>0</v>
      </c>
      <c r="G1902">
        <v>27000</v>
      </c>
      <c r="H1902" t="s">
        <v>205</v>
      </c>
      <c r="I1902" s="75" t="str">
        <f ca="1">IF(Table7[[#This Row],[Type]]="KILL",IF(_xlfn.NUMBERVALUE(RIGHT(Table7[[#This Row],[Min]],LEN(Table7[[#This Row],[Min]])-FIND("-",Table7[[#This Row],[Min]])))&gt;INDIRECT(ADDRESS(11+MATCH(LEFT(Table7[[#This Row],[Min]],FIND("-",Table7[[#This Row],[Min]])-1),Table1[Content Sku],0),14,1,1,"Entities")),"review","ok"),"ok")</f>
        <v>ok</v>
      </c>
      <c r="U1902" t="s">
        <v>393</v>
      </c>
      <c r="V1902">
        <v>0</v>
      </c>
      <c r="W1902">
        <v>17000</v>
      </c>
      <c r="X1902" t="s">
        <v>205</v>
      </c>
      <c r="Y1902" s="75"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313</v>
      </c>
      <c r="F1903">
        <v>0</v>
      </c>
      <c r="G1903">
        <v>21000</v>
      </c>
      <c r="H1903" t="s">
        <v>205</v>
      </c>
      <c r="I1903" s="75" t="str">
        <f ca="1">IF(Table7[[#This Row],[Type]]="KILL",IF(_xlfn.NUMBERVALUE(RIGHT(Table7[[#This Row],[Min]],LEN(Table7[[#This Row],[Min]])-FIND("-",Table7[[#This Row],[Min]])))&gt;INDIRECT(ADDRESS(11+MATCH(LEFT(Table7[[#This Row],[Min]],FIND("-",Table7[[#This Row],[Min]])-1),Table1[Content Sku],0),14,1,1,"Entities")),"review","ok"),"ok")</f>
        <v>ok</v>
      </c>
      <c r="U1903" t="s">
        <v>393</v>
      </c>
      <c r="V1903">
        <v>0</v>
      </c>
      <c r="W1903">
        <v>23000</v>
      </c>
      <c r="X1903" t="s">
        <v>205</v>
      </c>
      <c r="Y1903" s="75"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313</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c r="U1904" t="s">
        <v>393</v>
      </c>
      <c r="V1904">
        <v>0</v>
      </c>
      <c r="W1904">
        <v>0</v>
      </c>
      <c r="X1904" t="s">
        <v>8</v>
      </c>
      <c r="Y1904" s="75"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313</v>
      </c>
      <c r="F1905">
        <v>0</v>
      </c>
      <c r="G1905">
        <v>0</v>
      </c>
      <c r="H1905" t="s">
        <v>8</v>
      </c>
      <c r="I1905" s="75" t="str">
        <f ca="1">IF(Table7[[#This Row],[Type]]="KILL",IF(_xlfn.NUMBERVALUE(RIGHT(Table7[[#This Row],[Min]],LEN(Table7[[#This Row],[Min]])-FIND("-",Table7[[#This Row],[Min]])))&gt;INDIRECT(ADDRESS(11+MATCH(LEFT(Table7[[#This Row],[Min]],FIND("-",Table7[[#This Row],[Min]])-1),Table1[Content Sku],0),14,1,1,"Entities")),"review","ok"),"ok")</f>
        <v>ok</v>
      </c>
      <c r="U1905" t="s">
        <v>393</v>
      </c>
      <c r="V1905">
        <v>0</v>
      </c>
      <c r="W1905">
        <v>0</v>
      </c>
      <c r="X1905" t="s">
        <v>8</v>
      </c>
      <c r="Y1905" s="75"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313</v>
      </c>
      <c r="F1906">
        <v>0</v>
      </c>
      <c r="G1906">
        <v>0</v>
      </c>
      <c r="H1906" t="s">
        <v>8</v>
      </c>
      <c r="I1906" s="75" t="str">
        <f ca="1">IF(Table7[[#This Row],[Type]]="KILL",IF(_xlfn.NUMBERVALUE(RIGHT(Table7[[#This Row],[Min]],LEN(Table7[[#This Row],[Min]])-FIND("-",Table7[[#This Row],[Min]])))&gt;INDIRECT(ADDRESS(11+MATCH(LEFT(Table7[[#This Row],[Min]],FIND("-",Table7[[#This Row],[Min]])-1),Table1[Content Sku],0),14,1,1,"Entities")),"review","ok"),"ok")</f>
        <v>ok</v>
      </c>
      <c r="U1906" t="s">
        <v>393</v>
      </c>
      <c r="V1906">
        <v>0</v>
      </c>
      <c r="W1906">
        <v>0</v>
      </c>
      <c r="X1906" t="s">
        <v>8</v>
      </c>
      <c r="Y1906" s="75"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313</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c r="U1907" t="s">
        <v>393</v>
      </c>
      <c r="V1907">
        <v>150</v>
      </c>
      <c r="W1907">
        <v>0</v>
      </c>
      <c r="X1907" t="s">
        <v>4439</v>
      </c>
      <c r="Y1907" s="75"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313</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c r="U1908" t="s">
        <v>393</v>
      </c>
      <c r="V1908">
        <v>0</v>
      </c>
      <c r="W1908">
        <v>0</v>
      </c>
      <c r="X1908" t="s">
        <v>8</v>
      </c>
      <c r="Y1908" s="75"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313</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c r="U1909" t="s">
        <v>393</v>
      </c>
      <c r="V1909">
        <v>0</v>
      </c>
      <c r="W1909">
        <v>27000</v>
      </c>
      <c r="X1909" t="s">
        <v>205</v>
      </c>
      <c r="Y1909" s="75"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313</v>
      </c>
      <c r="F1910">
        <v>4200</v>
      </c>
      <c r="G1910">
        <v>0</v>
      </c>
      <c r="H1910" t="s">
        <v>205</v>
      </c>
      <c r="I1910" s="75" t="str">
        <f ca="1">IF(Table7[[#This Row],[Type]]="KILL",IF(_xlfn.NUMBERVALUE(RIGHT(Table7[[#This Row],[Min]],LEN(Table7[[#This Row],[Min]])-FIND("-",Table7[[#This Row],[Min]])))&gt;INDIRECT(ADDRESS(11+MATCH(LEFT(Table7[[#This Row],[Min]],FIND("-",Table7[[#This Row],[Min]])-1),Table1[Content Sku],0),14,1,1,"Entities")),"review","ok"),"ok")</f>
        <v>ok</v>
      </c>
      <c r="U1910" t="s">
        <v>393</v>
      </c>
      <c r="V1910">
        <v>0</v>
      </c>
      <c r="W1910">
        <v>0</v>
      </c>
      <c r="X1910" t="s">
        <v>8</v>
      </c>
      <c r="Y1910" s="75"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313</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c r="U1911" t="s">
        <v>393</v>
      </c>
      <c r="V1911">
        <v>0</v>
      </c>
      <c r="W1911">
        <v>200</v>
      </c>
      <c r="X1911" t="s">
        <v>4439</v>
      </c>
      <c r="Y1911" s="75"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313</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c r="U1912" t="s">
        <v>393</v>
      </c>
      <c r="V1912">
        <v>0</v>
      </c>
      <c r="W1912">
        <v>23000</v>
      </c>
      <c r="X1912" t="s">
        <v>205</v>
      </c>
      <c r="Y1912" s="75"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313</v>
      </c>
      <c r="F1913">
        <v>0</v>
      </c>
      <c r="G1913">
        <v>20000</v>
      </c>
      <c r="H1913" t="s">
        <v>205</v>
      </c>
      <c r="I1913" s="75" t="str">
        <f ca="1">IF(Table7[[#This Row],[Type]]="KILL",IF(_xlfn.NUMBERVALUE(RIGHT(Table7[[#This Row],[Min]],LEN(Table7[[#This Row],[Min]])-FIND("-",Table7[[#This Row],[Min]])))&gt;INDIRECT(ADDRESS(11+MATCH(LEFT(Table7[[#This Row],[Min]],FIND("-",Table7[[#This Row],[Min]])-1),Table1[Content Sku],0),14,1,1,"Entities")),"review","ok"),"ok")</f>
        <v>ok</v>
      </c>
      <c r="U1913" t="s">
        <v>393</v>
      </c>
      <c r="V1913">
        <v>0</v>
      </c>
      <c r="W1913">
        <v>20000</v>
      </c>
      <c r="X1913" t="s">
        <v>205</v>
      </c>
      <c r="Y1913" s="75"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313</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c r="U1914" t="s">
        <v>393</v>
      </c>
      <c r="V1914">
        <v>0</v>
      </c>
      <c r="W1914">
        <v>0</v>
      </c>
      <c r="X1914" t="s">
        <v>8</v>
      </c>
      <c r="Y1914" s="75"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313</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c r="U1915" t="s">
        <v>393</v>
      </c>
      <c r="V1915">
        <v>0</v>
      </c>
      <c r="W1915">
        <v>0</v>
      </c>
      <c r="X1915" t="s">
        <v>8</v>
      </c>
      <c r="Y1915" s="75"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313</v>
      </c>
      <c r="F1916">
        <v>0</v>
      </c>
      <c r="G1916">
        <v>13000</v>
      </c>
      <c r="H1916" t="s">
        <v>205</v>
      </c>
      <c r="I1916" s="75" t="str">
        <f ca="1">IF(Table7[[#This Row],[Type]]="KILL",IF(_xlfn.NUMBERVALUE(RIGHT(Table7[[#This Row],[Min]],LEN(Table7[[#This Row],[Min]])-FIND("-",Table7[[#This Row],[Min]])))&gt;INDIRECT(ADDRESS(11+MATCH(LEFT(Table7[[#This Row],[Min]],FIND("-",Table7[[#This Row],[Min]])-1),Table1[Content Sku],0),14,1,1,"Entities")),"review","ok"),"ok")</f>
        <v>ok</v>
      </c>
      <c r="U1916" t="s">
        <v>393</v>
      </c>
      <c r="V1916">
        <v>0</v>
      </c>
      <c r="W1916">
        <v>0</v>
      </c>
      <c r="X1916" t="s">
        <v>8</v>
      </c>
      <c r="Y1916" s="75"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313</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c r="U1917" t="s">
        <v>393</v>
      </c>
      <c r="V1917">
        <v>0</v>
      </c>
      <c r="W1917">
        <v>200</v>
      </c>
      <c r="X1917" t="s">
        <v>4439</v>
      </c>
      <c r="Y1917" s="75"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313</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c r="U1918" t="s">
        <v>393</v>
      </c>
      <c r="V1918">
        <v>0</v>
      </c>
      <c r="W1918">
        <v>17000</v>
      </c>
      <c r="X1918" t="s">
        <v>205</v>
      </c>
      <c r="Y1918" s="75"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313</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c r="U1919" t="s">
        <v>393</v>
      </c>
      <c r="V1919">
        <v>30000</v>
      </c>
      <c r="W1919">
        <v>0</v>
      </c>
      <c r="X1919" t="s">
        <v>205</v>
      </c>
      <c r="Y1919" s="75"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313</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c r="U1920" t="s">
        <v>393</v>
      </c>
      <c r="V1920">
        <v>0</v>
      </c>
      <c r="W1920">
        <v>23000</v>
      </c>
      <c r="X1920" t="s">
        <v>205</v>
      </c>
      <c r="Y1920" s="75"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313</v>
      </c>
      <c r="F1921">
        <v>0</v>
      </c>
      <c r="G1921">
        <v>15000</v>
      </c>
      <c r="H1921" t="s">
        <v>205</v>
      </c>
      <c r="I1921" s="75" t="str">
        <f ca="1">IF(Table7[[#This Row],[Type]]="KILL",IF(_xlfn.NUMBERVALUE(RIGHT(Table7[[#This Row],[Min]],LEN(Table7[[#This Row],[Min]])-FIND("-",Table7[[#This Row],[Min]])))&gt;INDIRECT(ADDRESS(11+MATCH(LEFT(Table7[[#This Row],[Min]],FIND("-",Table7[[#This Row],[Min]])-1),Table1[Content Sku],0),14,1,1,"Entities")),"review","ok"),"ok")</f>
        <v>ok</v>
      </c>
      <c r="U1921" t="s">
        <v>393</v>
      </c>
      <c r="V1921">
        <v>300</v>
      </c>
      <c r="W1921">
        <v>0</v>
      </c>
      <c r="X1921" t="s">
        <v>4439</v>
      </c>
      <c r="Y1921" s="75"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313</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c r="U1922" t="s">
        <v>393</v>
      </c>
      <c r="V1922">
        <v>0</v>
      </c>
      <c r="W1922">
        <v>0</v>
      </c>
      <c r="X1922" t="s">
        <v>8</v>
      </c>
      <c r="Y1922" s="75"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313</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c r="U1923" t="s">
        <v>393</v>
      </c>
      <c r="V1923">
        <v>0</v>
      </c>
      <c r="W1923">
        <v>21000</v>
      </c>
      <c r="X1923" t="s">
        <v>205</v>
      </c>
      <c r="Y1923" s="75"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313</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c r="U1924" t="s">
        <v>393</v>
      </c>
      <c r="V1924">
        <v>0</v>
      </c>
      <c r="W1924">
        <v>0</v>
      </c>
      <c r="X1924" t="s">
        <v>8</v>
      </c>
      <c r="Y1924" s="75"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313</v>
      </c>
      <c r="F1925">
        <v>0</v>
      </c>
      <c r="G1925">
        <v>20000</v>
      </c>
      <c r="H1925" t="s">
        <v>205</v>
      </c>
      <c r="I1925" s="75" t="str">
        <f ca="1">IF(Table7[[#This Row],[Type]]="KILL",IF(_xlfn.NUMBERVALUE(RIGHT(Table7[[#This Row],[Min]],LEN(Table7[[#This Row],[Min]])-FIND("-",Table7[[#This Row],[Min]])))&gt;INDIRECT(ADDRESS(11+MATCH(LEFT(Table7[[#This Row],[Min]],FIND("-",Table7[[#This Row],[Min]])-1),Table1[Content Sku],0),14,1,1,"Entities")),"review","ok"),"ok")</f>
        <v>ok</v>
      </c>
      <c r="U1925" t="s">
        <v>393</v>
      </c>
      <c r="V1925">
        <v>0</v>
      </c>
      <c r="W1925">
        <v>0</v>
      </c>
      <c r="X1925" t="s">
        <v>8</v>
      </c>
      <c r="Y1925" s="75"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313</v>
      </c>
      <c r="F1926">
        <v>0</v>
      </c>
      <c r="G1926">
        <v>16000</v>
      </c>
      <c r="H1926" t="s">
        <v>205</v>
      </c>
      <c r="I1926" s="75" t="str">
        <f ca="1">IF(Table7[[#This Row],[Type]]="KILL",IF(_xlfn.NUMBERVALUE(RIGHT(Table7[[#This Row],[Min]],LEN(Table7[[#This Row],[Min]])-FIND("-",Table7[[#This Row],[Min]])))&gt;INDIRECT(ADDRESS(11+MATCH(LEFT(Table7[[#This Row],[Min]],FIND("-",Table7[[#This Row],[Min]])-1),Table1[Content Sku],0),14,1,1,"Entities")),"review","ok"),"ok")</f>
        <v>ok</v>
      </c>
      <c r="U1926" t="s">
        <v>393</v>
      </c>
      <c r="V1926">
        <v>0</v>
      </c>
      <c r="W1926">
        <v>19000</v>
      </c>
      <c r="X1926" t="s">
        <v>205</v>
      </c>
      <c r="Y1926" s="75"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313</v>
      </c>
      <c r="F1927">
        <v>0</v>
      </c>
      <c r="G1927">
        <v>0</v>
      </c>
      <c r="H1927" t="s">
        <v>8</v>
      </c>
      <c r="I1927" s="75" t="str">
        <f ca="1">IF(Table7[[#This Row],[Type]]="KILL",IF(_xlfn.NUMBERVALUE(RIGHT(Table7[[#This Row],[Min]],LEN(Table7[[#This Row],[Min]])-FIND("-",Table7[[#This Row],[Min]])))&gt;INDIRECT(ADDRESS(11+MATCH(LEFT(Table7[[#This Row],[Min]],FIND("-",Table7[[#This Row],[Min]])-1),Table1[Content Sku],0),14,1,1,"Entities")),"review","ok"),"ok")</f>
        <v>ok</v>
      </c>
      <c r="U1927" t="s">
        <v>393</v>
      </c>
      <c r="V1927">
        <v>0</v>
      </c>
      <c r="W1927">
        <v>0</v>
      </c>
      <c r="X1927" t="s">
        <v>8</v>
      </c>
      <c r="Y1927" s="75"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313</v>
      </c>
      <c r="F1928">
        <v>0</v>
      </c>
      <c r="G1928">
        <v>0</v>
      </c>
      <c r="H1928" t="s">
        <v>8</v>
      </c>
      <c r="I1928" s="75" t="str">
        <f ca="1">IF(Table7[[#This Row],[Type]]="KILL",IF(_xlfn.NUMBERVALUE(RIGHT(Table7[[#This Row],[Min]],LEN(Table7[[#This Row],[Min]])-FIND("-",Table7[[#This Row],[Min]])))&gt;INDIRECT(ADDRESS(11+MATCH(LEFT(Table7[[#This Row],[Min]],FIND("-",Table7[[#This Row],[Min]])-1),Table1[Content Sku],0),14,1,1,"Entities")),"review","ok"),"ok")</f>
        <v>ok</v>
      </c>
      <c r="U1928" t="s">
        <v>393</v>
      </c>
      <c r="V1928">
        <v>20000</v>
      </c>
      <c r="W1928">
        <v>0</v>
      </c>
      <c r="X1928" t="s">
        <v>205</v>
      </c>
      <c r="Y1928" s="75"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313</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c r="U1929" t="s">
        <v>393</v>
      </c>
      <c r="V1929">
        <v>0</v>
      </c>
      <c r="W1929">
        <v>0</v>
      </c>
      <c r="X1929" t="s">
        <v>8</v>
      </c>
      <c r="Y1929" s="75"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313</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c r="U1930" t="s">
        <v>393</v>
      </c>
      <c r="V1930">
        <v>0</v>
      </c>
      <c r="W1930">
        <v>0</v>
      </c>
      <c r="X1930" t="s">
        <v>8</v>
      </c>
      <c r="Y1930" s="75"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313</v>
      </c>
      <c r="F1931">
        <v>0</v>
      </c>
      <c r="G1931">
        <v>25000</v>
      </c>
      <c r="H1931" t="s">
        <v>205</v>
      </c>
      <c r="I1931" s="75" t="str">
        <f ca="1">IF(Table7[[#This Row],[Type]]="KILL",IF(_xlfn.NUMBERVALUE(RIGHT(Table7[[#This Row],[Min]],LEN(Table7[[#This Row],[Min]])-FIND("-",Table7[[#This Row],[Min]])))&gt;INDIRECT(ADDRESS(11+MATCH(LEFT(Table7[[#This Row],[Min]],FIND("-",Table7[[#This Row],[Min]])-1),Table1[Content Sku],0),14,1,1,"Entities")),"review","ok"),"ok")</f>
        <v>ok</v>
      </c>
      <c r="U1931" t="s">
        <v>393</v>
      </c>
      <c r="V1931">
        <v>0</v>
      </c>
      <c r="W1931">
        <v>31000</v>
      </c>
      <c r="X1931" t="s">
        <v>205</v>
      </c>
      <c r="Y1931" s="75"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313</v>
      </c>
      <c r="F1932">
        <v>2800</v>
      </c>
      <c r="G1932">
        <v>0</v>
      </c>
      <c r="H1932" t="s">
        <v>205</v>
      </c>
      <c r="I1932" s="75" t="str">
        <f ca="1">IF(Table7[[#This Row],[Type]]="KILL",IF(_xlfn.NUMBERVALUE(RIGHT(Table7[[#This Row],[Min]],LEN(Table7[[#This Row],[Min]])-FIND("-",Table7[[#This Row],[Min]])))&gt;INDIRECT(ADDRESS(11+MATCH(LEFT(Table7[[#This Row],[Min]],FIND("-",Table7[[#This Row],[Min]])-1),Table1[Content Sku],0),14,1,1,"Entities")),"review","ok"),"ok")</f>
        <v>ok</v>
      </c>
      <c r="U1932" t="s">
        <v>338</v>
      </c>
      <c r="V1932">
        <v>0</v>
      </c>
      <c r="W1932">
        <v>0</v>
      </c>
      <c r="X1932" t="s">
        <v>8</v>
      </c>
      <c r="Y1932" s="75"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313</v>
      </c>
      <c r="F1933">
        <v>4200</v>
      </c>
      <c r="G1933">
        <v>0</v>
      </c>
      <c r="H1933" t="s">
        <v>205</v>
      </c>
      <c r="I1933" s="75" t="str">
        <f ca="1">IF(Table7[[#This Row],[Type]]="KILL",IF(_xlfn.NUMBERVALUE(RIGHT(Table7[[#This Row],[Min]],LEN(Table7[[#This Row],[Min]])-FIND("-",Table7[[#This Row],[Min]])))&gt;INDIRECT(ADDRESS(11+MATCH(LEFT(Table7[[#This Row],[Min]],FIND("-",Table7[[#This Row],[Min]])-1),Table1[Content Sku],0),14,1,1,"Entities")),"review","ok"),"ok")</f>
        <v>ok</v>
      </c>
      <c r="U1933" t="s">
        <v>338</v>
      </c>
      <c r="V1933">
        <v>0</v>
      </c>
      <c r="W1933">
        <v>0</v>
      </c>
      <c r="X1933" t="s">
        <v>8</v>
      </c>
      <c r="Y1933" s="75"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313</v>
      </c>
      <c r="F1934">
        <v>0</v>
      </c>
      <c r="G1934">
        <v>0</v>
      </c>
      <c r="H1934" t="s">
        <v>8</v>
      </c>
      <c r="I1934" s="75" t="str">
        <f ca="1">IF(Table7[[#This Row],[Type]]="KILL",IF(_xlfn.NUMBERVALUE(RIGHT(Table7[[#This Row],[Min]],LEN(Table7[[#This Row],[Min]])-FIND("-",Table7[[#This Row],[Min]])))&gt;INDIRECT(ADDRESS(11+MATCH(LEFT(Table7[[#This Row],[Min]],FIND("-",Table7[[#This Row],[Min]])-1),Table1[Content Sku],0),14,1,1,"Entities")),"review","ok"),"ok")</f>
        <v>ok</v>
      </c>
      <c r="U1934" t="s">
        <v>338</v>
      </c>
      <c r="V1934">
        <v>22000</v>
      </c>
      <c r="W1934">
        <v>0</v>
      </c>
      <c r="X1934" t="s">
        <v>205</v>
      </c>
      <c r="Y1934" s="75"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313</v>
      </c>
      <c r="F1935">
        <v>0</v>
      </c>
      <c r="G1935">
        <v>0</v>
      </c>
      <c r="H1935" t="s">
        <v>8</v>
      </c>
      <c r="I1935" s="75" t="str">
        <f ca="1">IF(Table7[[#This Row],[Type]]="KILL",IF(_xlfn.NUMBERVALUE(RIGHT(Table7[[#This Row],[Min]],LEN(Table7[[#This Row],[Min]])-FIND("-",Table7[[#This Row],[Min]])))&gt;INDIRECT(ADDRESS(11+MATCH(LEFT(Table7[[#This Row],[Min]],FIND("-",Table7[[#This Row],[Min]])-1),Table1[Content Sku],0),14,1,1,"Entities")),"review","ok"),"ok")</f>
        <v>ok</v>
      </c>
      <c r="U1935" t="s">
        <v>338</v>
      </c>
      <c r="V1935">
        <v>19000</v>
      </c>
      <c r="W1935">
        <v>0</v>
      </c>
      <c r="X1935" t="s">
        <v>205</v>
      </c>
      <c r="Y1935" s="75"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313</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c r="U1936" t="s">
        <v>338</v>
      </c>
      <c r="V1936">
        <v>0</v>
      </c>
      <c r="W1936">
        <v>0</v>
      </c>
      <c r="X1936" t="s">
        <v>8</v>
      </c>
      <c r="Y1936" s="75"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313</v>
      </c>
      <c r="F1937">
        <v>0</v>
      </c>
      <c r="G1937">
        <v>22000</v>
      </c>
      <c r="H1937" t="s">
        <v>205</v>
      </c>
      <c r="I1937" s="75" t="str">
        <f ca="1">IF(Table7[[#This Row],[Type]]="KILL",IF(_xlfn.NUMBERVALUE(RIGHT(Table7[[#This Row],[Min]],LEN(Table7[[#This Row],[Min]])-FIND("-",Table7[[#This Row],[Min]])))&gt;INDIRECT(ADDRESS(11+MATCH(LEFT(Table7[[#This Row],[Min]],FIND("-",Table7[[#This Row],[Min]])-1),Table1[Content Sku],0),14,1,1,"Entities")),"review","ok"),"ok")</f>
        <v>ok</v>
      </c>
      <c r="U1937" t="s">
        <v>340</v>
      </c>
      <c r="V1937">
        <v>0</v>
      </c>
      <c r="W1937">
        <v>16000</v>
      </c>
      <c r="X1937" t="s">
        <v>205</v>
      </c>
      <c r="Y1937" s="75"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313</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c r="U1938" t="s">
        <v>340</v>
      </c>
      <c r="V1938">
        <v>0</v>
      </c>
      <c r="W1938">
        <v>16000</v>
      </c>
      <c r="X1938" t="s">
        <v>205</v>
      </c>
      <c r="Y1938" s="75"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313</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c r="U1939" t="s">
        <v>340</v>
      </c>
      <c r="V1939">
        <v>0</v>
      </c>
      <c r="W1939">
        <v>19000</v>
      </c>
      <c r="X1939" t="s">
        <v>205</v>
      </c>
      <c r="Y1939" s="75"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313</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c r="U1940" t="s">
        <v>2754</v>
      </c>
      <c r="V1940">
        <v>0</v>
      </c>
      <c r="W1940">
        <v>0</v>
      </c>
      <c r="X1940" t="s">
        <v>8</v>
      </c>
      <c r="Y1940" s="75"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313</v>
      </c>
      <c r="F1941">
        <v>0</v>
      </c>
      <c r="G1941">
        <v>10000</v>
      </c>
      <c r="H1941" t="s">
        <v>205</v>
      </c>
      <c r="I1941" s="75" t="str">
        <f ca="1">IF(Table7[[#This Row],[Type]]="KILL",IF(_xlfn.NUMBERVALUE(RIGHT(Table7[[#This Row],[Min]],LEN(Table7[[#This Row],[Min]])-FIND("-",Table7[[#This Row],[Min]])))&gt;INDIRECT(ADDRESS(11+MATCH(LEFT(Table7[[#This Row],[Min]],FIND("-",Table7[[#This Row],[Min]])-1),Table1[Content Sku],0),14,1,1,"Entities")),"review","ok"),"ok")</f>
        <v>ok</v>
      </c>
      <c r="U1941" t="s">
        <v>2754</v>
      </c>
      <c r="V1941">
        <v>0</v>
      </c>
      <c r="W1941">
        <v>0</v>
      </c>
      <c r="X1941" t="s">
        <v>8</v>
      </c>
      <c r="Y1941" s="75"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313</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c r="U1942" t="s">
        <v>548</v>
      </c>
      <c r="V1942">
        <v>0</v>
      </c>
      <c r="W1942">
        <v>0</v>
      </c>
      <c r="X1942" t="s">
        <v>8</v>
      </c>
      <c r="Y1942" s="75"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313</v>
      </c>
      <c r="F1943">
        <v>12000</v>
      </c>
      <c r="G1943">
        <v>0</v>
      </c>
      <c r="H1943" t="s">
        <v>205</v>
      </c>
      <c r="I1943" s="75" t="str">
        <f ca="1">IF(Table7[[#This Row],[Type]]="KILL",IF(_xlfn.NUMBERVALUE(RIGHT(Table7[[#This Row],[Min]],LEN(Table7[[#This Row],[Min]])-FIND("-",Table7[[#This Row],[Min]])))&gt;INDIRECT(ADDRESS(11+MATCH(LEFT(Table7[[#This Row],[Min]],FIND("-",Table7[[#This Row],[Min]])-1),Table1[Content Sku],0),14,1,1,"Entities")),"review","ok"),"ok")</f>
        <v>ok</v>
      </c>
      <c r="U1943" t="s">
        <v>548</v>
      </c>
      <c r="V1943">
        <v>0</v>
      </c>
      <c r="W1943">
        <v>0</v>
      </c>
      <c r="X1943" t="s">
        <v>8</v>
      </c>
      <c r="Y1943" s="75"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313</v>
      </c>
      <c r="F1944">
        <v>0</v>
      </c>
      <c r="G1944">
        <v>18000</v>
      </c>
      <c r="H1944" t="s">
        <v>205</v>
      </c>
      <c r="I1944" s="75" t="str">
        <f ca="1">IF(Table7[[#This Row],[Type]]="KILL",IF(_xlfn.NUMBERVALUE(RIGHT(Table7[[#This Row],[Min]],LEN(Table7[[#This Row],[Min]])-FIND("-",Table7[[#This Row],[Min]])))&gt;INDIRECT(ADDRESS(11+MATCH(LEFT(Table7[[#This Row],[Min]],FIND("-",Table7[[#This Row],[Min]])-1),Table1[Content Sku],0),14,1,1,"Entities")),"review","ok"),"ok")</f>
        <v>ok</v>
      </c>
      <c r="U1944" t="s">
        <v>548</v>
      </c>
      <c r="V1944">
        <v>0</v>
      </c>
      <c r="W1944">
        <v>0</v>
      </c>
      <c r="X1944" t="s">
        <v>8</v>
      </c>
      <c r="Y1944" s="75"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313</v>
      </c>
      <c r="F1945">
        <v>0</v>
      </c>
      <c r="G1945">
        <v>24000</v>
      </c>
      <c r="H1945" t="s">
        <v>205</v>
      </c>
      <c r="I1945" s="75" t="str">
        <f ca="1">IF(Table7[[#This Row],[Type]]="KILL",IF(_xlfn.NUMBERVALUE(RIGHT(Table7[[#This Row],[Min]],LEN(Table7[[#This Row],[Min]])-FIND("-",Table7[[#This Row],[Min]])))&gt;INDIRECT(ADDRESS(11+MATCH(LEFT(Table7[[#This Row],[Min]],FIND("-",Table7[[#This Row],[Min]])-1),Table1[Content Sku],0),14,1,1,"Entities")),"review","ok"),"ok")</f>
        <v>ok</v>
      </c>
      <c r="U1945" t="s">
        <v>548</v>
      </c>
      <c r="V1945">
        <v>0</v>
      </c>
      <c r="W1945">
        <v>0</v>
      </c>
      <c r="X1945" t="s">
        <v>8</v>
      </c>
      <c r="Y1945" s="75"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313</v>
      </c>
      <c r="F1946">
        <v>0</v>
      </c>
      <c r="G1946">
        <v>0</v>
      </c>
      <c r="H1946" t="s">
        <v>8</v>
      </c>
      <c r="I1946" s="75" t="str">
        <f ca="1">IF(Table7[[#This Row],[Type]]="KILL",IF(_xlfn.NUMBERVALUE(RIGHT(Table7[[#This Row],[Min]],LEN(Table7[[#This Row],[Min]])-FIND("-",Table7[[#This Row],[Min]])))&gt;INDIRECT(ADDRESS(11+MATCH(LEFT(Table7[[#This Row],[Min]],FIND("-",Table7[[#This Row],[Min]])-1),Table1[Content Sku],0),14,1,1,"Entities")),"review","ok"),"ok")</f>
        <v>ok</v>
      </c>
      <c r="U1946" t="s">
        <v>548</v>
      </c>
      <c r="V1946">
        <v>0</v>
      </c>
      <c r="W1946">
        <v>0</v>
      </c>
      <c r="X1946" t="s">
        <v>8</v>
      </c>
      <c r="Y1946" s="75"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313</v>
      </c>
      <c r="F1947">
        <v>0</v>
      </c>
      <c r="G1947">
        <v>22000</v>
      </c>
      <c r="H1947" t="s">
        <v>205</v>
      </c>
      <c r="I1947" s="75" t="str">
        <f ca="1">IF(Table7[[#This Row],[Type]]="KILL",IF(_xlfn.NUMBERVALUE(RIGHT(Table7[[#This Row],[Min]],LEN(Table7[[#This Row],[Min]])-FIND("-",Table7[[#This Row],[Min]])))&gt;INDIRECT(ADDRESS(11+MATCH(LEFT(Table7[[#This Row],[Min]],FIND("-",Table7[[#This Row],[Min]])-1),Table1[Content Sku],0),14,1,1,"Entities")),"review","ok"),"ok")</f>
        <v>ok</v>
      </c>
      <c r="U1947" t="s">
        <v>548</v>
      </c>
      <c r="V1947">
        <v>15000</v>
      </c>
      <c r="W1947">
        <v>0</v>
      </c>
      <c r="X1947" t="s">
        <v>205</v>
      </c>
      <c r="Y1947" s="75"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313</v>
      </c>
      <c r="F1948">
        <v>0</v>
      </c>
      <c r="G1948">
        <v>0</v>
      </c>
      <c r="H1948" t="s">
        <v>8</v>
      </c>
      <c r="I1948" s="75" t="str">
        <f ca="1">IF(Table7[[#This Row],[Type]]="KILL",IF(_xlfn.NUMBERVALUE(RIGHT(Table7[[#This Row],[Min]],LEN(Table7[[#This Row],[Min]])-FIND("-",Table7[[#This Row],[Min]])))&gt;INDIRECT(ADDRESS(11+MATCH(LEFT(Table7[[#This Row],[Min]],FIND("-",Table7[[#This Row],[Min]])-1),Table1[Content Sku],0),14,1,1,"Entities")),"review","ok"),"ok")</f>
        <v>ok</v>
      </c>
      <c r="U1948" t="s">
        <v>548</v>
      </c>
      <c r="V1948">
        <v>0</v>
      </c>
      <c r="W1948">
        <v>0</v>
      </c>
      <c r="X1948" t="s">
        <v>8</v>
      </c>
      <c r="Y1948" s="75"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313</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c r="U1949" t="s">
        <v>548</v>
      </c>
      <c r="V1949">
        <v>0</v>
      </c>
      <c r="W1949">
        <v>0</v>
      </c>
      <c r="X1949" t="s">
        <v>8</v>
      </c>
      <c r="Y1949" s="75"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313</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c r="U1950" t="s">
        <v>548</v>
      </c>
      <c r="V1950">
        <v>17000</v>
      </c>
      <c r="W1950">
        <v>0</v>
      </c>
      <c r="X1950" t="s">
        <v>205</v>
      </c>
      <c r="Y1950" s="75"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313</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c r="U1951" t="s">
        <v>548</v>
      </c>
      <c r="V1951">
        <v>0</v>
      </c>
      <c r="W1951">
        <v>0</v>
      </c>
      <c r="X1951" t="s">
        <v>8</v>
      </c>
      <c r="Y1951" s="75"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313</v>
      </c>
      <c r="F1952">
        <v>16000</v>
      </c>
      <c r="G1952">
        <v>0</v>
      </c>
      <c r="H1952" t="s">
        <v>205</v>
      </c>
      <c r="I1952" s="75" t="str">
        <f ca="1">IF(Table7[[#This Row],[Type]]="KILL",IF(_xlfn.NUMBERVALUE(RIGHT(Table7[[#This Row],[Min]],LEN(Table7[[#This Row],[Min]])-FIND("-",Table7[[#This Row],[Min]])))&gt;INDIRECT(ADDRESS(11+MATCH(LEFT(Table7[[#This Row],[Min]],FIND("-",Table7[[#This Row],[Min]])-1),Table1[Content Sku],0),14,1,1,"Entities")),"review","ok"),"ok")</f>
        <v>ok</v>
      </c>
      <c r="U1952" t="s">
        <v>548</v>
      </c>
      <c r="V1952">
        <v>0</v>
      </c>
      <c r="W1952">
        <v>0</v>
      </c>
      <c r="X1952" t="s">
        <v>8</v>
      </c>
      <c r="Y1952" s="75"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313</v>
      </c>
      <c r="F1953">
        <v>0</v>
      </c>
      <c r="G1953">
        <v>0</v>
      </c>
      <c r="H1953" t="s">
        <v>8</v>
      </c>
      <c r="I1953" s="75" t="str">
        <f ca="1">IF(Table7[[#This Row],[Type]]="KILL",IF(_xlfn.NUMBERVALUE(RIGHT(Table7[[#This Row],[Min]],LEN(Table7[[#This Row],[Min]])-FIND("-",Table7[[#This Row],[Min]])))&gt;INDIRECT(ADDRESS(11+MATCH(LEFT(Table7[[#This Row],[Min]],FIND("-",Table7[[#This Row],[Min]])-1),Table1[Content Sku],0),14,1,1,"Entities")),"review","ok"),"ok")</f>
        <v>ok</v>
      </c>
      <c r="U1953" t="s">
        <v>548</v>
      </c>
      <c r="V1953">
        <v>0</v>
      </c>
      <c r="W1953">
        <v>0</v>
      </c>
      <c r="X1953" t="s">
        <v>8</v>
      </c>
      <c r="Y1953" s="75"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313</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c r="U1954" t="s">
        <v>548</v>
      </c>
      <c r="V1954">
        <v>0</v>
      </c>
      <c r="W1954">
        <v>0</v>
      </c>
      <c r="X1954" t="s">
        <v>8</v>
      </c>
      <c r="Y1954" s="75"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313</v>
      </c>
      <c r="F1955">
        <v>0</v>
      </c>
      <c r="G1955">
        <v>25000</v>
      </c>
      <c r="H1955" t="s">
        <v>205</v>
      </c>
      <c r="I1955" s="75" t="str">
        <f ca="1">IF(Table7[[#This Row],[Type]]="KILL",IF(_xlfn.NUMBERVALUE(RIGHT(Table7[[#This Row],[Min]],LEN(Table7[[#This Row],[Min]])-FIND("-",Table7[[#This Row],[Min]])))&gt;INDIRECT(ADDRESS(11+MATCH(LEFT(Table7[[#This Row],[Min]],FIND("-",Table7[[#This Row],[Min]])-1),Table1[Content Sku],0),14,1,1,"Entities")),"review","ok"),"ok")</f>
        <v>ok</v>
      </c>
      <c r="U1955" t="s">
        <v>548</v>
      </c>
      <c r="V1955">
        <v>0</v>
      </c>
      <c r="W1955">
        <v>0</v>
      </c>
      <c r="X1955" t="s">
        <v>8</v>
      </c>
      <c r="Y1955" s="75"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313</v>
      </c>
      <c r="F1956">
        <v>0</v>
      </c>
      <c r="G1956">
        <v>0</v>
      </c>
      <c r="H1956" t="s">
        <v>8</v>
      </c>
      <c r="I1956" s="75" t="str">
        <f ca="1">IF(Table7[[#This Row],[Type]]="KILL",IF(_xlfn.NUMBERVALUE(RIGHT(Table7[[#This Row],[Min]],LEN(Table7[[#This Row],[Min]])-FIND("-",Table7[[#This Row],[Min]])))&gt;INDIRECT(ADDRESS(11+MATCH(LEFT(Table7[[#This Row],[Min]],FIND("-",Table7[[#This Row],[Min]])-1),Table1[Content Sku],0),14,1,1,"Entities")),"review","ok"),"ok")</f>
        <v>ok</v>
      </c>
      <c r="U1956" t="s">
        <v>548</v>
      </c>
      <c r="V1956">
        <v>0</v>
      </c>
      <c r="W1956">
        <v>0</v>
      </c>
      <c r="X1956" t="s">
        <v>8</v>
      </c>
      <c r="Y1956" s="75"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313</v>
      </c>
      <c r="F1957">
        <v>5000</v>
      </c>
      <c r="G1957">
        <v>0</v>
      </c>
      <c r="H1957" t="s">
        <v>205</v>
      </c>
      <c r="I1957" s="75" t="str">
        <f ca="1">IF(Table7[[#This Row],[Type]]="KILL",IF(_xlfn.NUMBERVALUE(RIGHT(Table7[[#This Row],[Min]],LEN(Table7[[#This Row],[Min]])-FIND("-",Table7[[#This Row],[Min]])))&gt;INDIRECT(ADDRESS(11+MATCH(LEFT(Table7[[#This Row],[Min]],FIND("-",Table7[[#This Row],[Min]])-1),Table1[Content Sku],0),14,1,1,"Entities")),"review","ok"),"ok")</f>
        <v>ok</v>
      </c>
      <c r="U1957" t="s">
        <v>548</v>
      </c>
      <c r="V1957">
        <v>0</v>
      </c>
      <c r="W1957">
        <v>0</v>
      </c>
      <c r="X1957" t="s">
        <v>8</v>
      </c>
      <c r="Y1957" s="75"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313</v>
      </c>
      <c r="F1958">
        <v>0</v>
      </c>
      <c r="G1958">
        <v>6000</v>
      </c>
      <c r="H1958" t="s">
        <v>205</v>
      </c>
      <c r="I1958" s="75" t="str">
        <f ca="1">IF(Table7[[#This Row],[Type]]="KILL",IF(_xlfn.NUMBERVALUE(RIGHT(Table7[[#This Row],[Min]],LEN(Table7[[#This Row],[Min]])-FIND("-",Table7[[#This Row],[Min]])))&gt;INDIRECT(ADDRESS(11+MATCH(LEFT(Table7[[#This Row],[Min]],FIND("-",Table7[[#This Row],[Min]])-1),Table1[Content Sku],0),14,1,1,"Entities")),"review","ok"),"ok")</f>
        <v>ok</v>
      </c>
      <c r="U1958" t="s">
        <v>548</v>
      </c>
      <c r="V1958">
        <v>0</v>
      </c>
      <c r="W1958">
        <v>0</v>
      </c>
      <c r="X1958" t="s">
        <v>8</v>
      </c>
      <c r="Y1958" s="75"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313</v>
      </c>
      <c r="F1959">
        <v>0</v>
      </c>
      <c r="G1959">
        <v>0</v>
      </c>
      <c r="H1959" t="s">
        <v>8</v>
      </c>
      <c r="I1959" s="75" t="str">
        <f ca="1">IF(Table7[[#This Row],[Type]]="KILL",IF(_xlfn.NUMBERVALUE(RIGHT(Table7[[#This Row],[Min]],LEN(Table7[[#This Row],[Min]])-FIND("-",Table7[[#This Row],[Min]])))&gt;INDIRECT(ADDRESS(11+MATCH(LEFT(Table7[[#This Row],[Min]],FIND("-",Table7[[#This Row],[Min]])-1),Table1[Content Sku],0),14,1,1,"Entities")),"review","ok"),"ok")</f>
        <v>ok</v>
      </c>
      <c r="U1959" t="s">
        <v>548</v>
      </c>
      <c r="V1959">
        <v>0</v>
      </c>
      <c r="W1959">
        <v>0</v>
      </c>
      <c r="X1959" t="s">
        <v>8</v>
      </c>
      <c r="Y1959" s="75"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313</v>
      </c>
      <c r="F1960">
        <v>0</v>
      </c>
      <c r="G1960">
        <v>25000</v>
      </c>
      <c r="H1960" t="s">
        <v>205</v>
      </c>
      <c r="I1960" s="75" t="str">
        <f ca="1">IF(Table7[[#This Row],[Type]]="KILL",IF(_xlfn.NUMBERVALUE(RIGHT(Table7[[#This Row],[Min]],LEN(Table7[[#This Row],[Min]])-FIND("-",Table7[[#This Row],[Min]])))&gt;INDIRECT(ADDRESS(11+MATCH(LEFT(Table7[[#This Row],[Min]],FIND("-",Table7[[#This Row],[Min]])-1),Table1[Content Sku],0),14,1,1,"Entities")),"review","ok"),"ok")</f>
        <v>ok</v>
      </c>
      <c r="U1960" t="s">
        <v>548</v>
      </c>
      <c r="V1960">
        <v>0</v>
      </c>
      <c r="W1960">
        <v>0</v>
      </c>
      <c r="X1960" t="s">
        <v>8</v>
      </c>
      <c r="Y1960" s="75"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313</v>
      </c>
      <c r="F1961">
        <v>0</v>
      </c>
      <c r="G1961">
        <v>8000</v>
      </c>
      <c r="H1961" t="s">
        <v>205</v>
      </c>
      <c r="I1961" s="75" t="str">
        <f ca="1">IF(Table7[[#This Row],[Type]]="KILL",IF(_xlfn.NUMBERVALUE(RIGHT(Table7[[#This Row],[Min]],LEN(Table7[[#This Row],[Min]])-FIND("-",Table7[[#This Row],[Min]])))&gt;INDIRECT(ADDRESS(11+MATCH(LEFT(Table7[[#This Row],[Min]],FIND("-",Table7[[#This Row],[Min]])-1),Table1[Content Sku],0),14,1,1,"Entities")),"review","ok"),"ok")</f>
        <v>ok</v>
      </c>
      <c r="U1961" t="s">
        <v>548</v>
      </c>
      <c r="V1961">
        <v>0</v>
      </c>
      <c r="W1961">
        <v>0</v>
      </c>
      <c r="X1961" t="s">
        <v>8</v>
      </c>
      <c r="Y1961" s="75"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313</v>
      </c>
      <c r="F1962">
        <v>0</v>
      </c>
      <c r="G1962">
        <v>0</v>
      </c>
      <c r="H1962" t="s">
        <v>8</v>
      </c>
      <c r="I1962" s="75" t="str">
        <f ca="1">IF(Table7[[#This Row],[Type]]="KILL",IF(_xlfn.NUMBERVALUE(RIGHT(Table7[[#This Row],[Min]],LEN(Table7[[#This Row],[Min]])-FIND("-",Table7[[#This Row],[Min]])))&gt;INDIRECT(ADDRESS(11+MATCH(LEFT(Table7[[#This Row],[Min]],FIND("-",Table7[[#This Row],[Min]])-1),Table1[Content Sku],0),14,1,1,"Entities")),"review","ok"),"ok")</f>
        <v>ok</v>
      </c>
      <c r="U1962" t="s">
        <v>548</v>
      </c>
      <c r="V1962">
        <v>0</v>
      </c>
      <c r="W1962">
        <v>0</v>
      </c>
      <c r="X1962" t="s">
        <v>8</v>
      </c>
      <c r="Y1962" s="75"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313</v>
      </c>
      <c r="F1963">
        <v>6000</v>
      </c>
      <c r="G1963">
        <v>0</v>
      </c>
      <c r="H1963" t="s">
        <v>205</v>
      </c>
      <c r="I1963" s="75" t="str">
        <f ca="1">IF(Table7[[#This Row],[Type]]="KILL",IF(_xlfn.NUMBERVALUE(RIGHT(Table7[[#This Row],[Min]],LEN(Table7[[#This Row],[Min]])-FIND("-",Table7[[#This Row],[Min]])))&gt;INDIRECT(ADDRESS(11+MATCH(LEFT(Table7[[#This Row],[Min]],FIND("-",Table7[[#This Row],[Min]])-1),Table1[Content Sku],0),14,1,1,"Entities")),"review","ok"),"ok")</f>
        <v>ok</v>
      </c>
      <c r="U1963" t="s">
        <v>548</v>
      </c>
      <c r="V1963">
        <v>0</v>
      </c>
      <c r="W1963">
        <v>0</v>
      </c>
      <c r="X1963" t="s">
        <v>8</v>
      </c>
      <c r="Y1963" s="75"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313</v>
      </c>
      <c r="F1964">
        <v>0</v>
      </c>
      <c r="G1964">
        <v>0</v>
      </c>
      <c r="H1964" t="s">
        <v>8</v>
      </c>
      <c r="I1964" s="75" t="str">
        <f ca="1">IF(Table7[[#This Row],[Type]]="KILL",IF(_xlfn.NUMBERVALUE(RIGHT(Table7[[#This Row],[Min]],LEN(Table7[[#This Row],[Min]])-FIND("-",Table7[[#This Row],[Min]])))&gt;INDIRECT(ADDRESS(11+MATCH(LEFT(Table7[[#This Row],[Min]],FIND("-",Table7[[#This Row],[Min]])-1),Table1[Content Sku],0),14,1,1,"Entities")),"review","ok"),"ok")</f>
        <v>ok</v>
      </c>
      <c r="U1964" t="s">
        <v>548</v>
      </c>
      <c r="V1964">
        <v>0</v>
      </c>
      <c r="W1964">
        <v>0</v>
      </c>
      <c r="X1964" t="s">
        <v>8</v>
      </c>
      <c r="Y1964" s="75"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313</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c r="U1965" t="s">
        <v>548</v>
      </c>
      <c r="V1965">
        <v>0</v>
      </c>
      <c r="W1965">
        <v>0</v>
      </c>
      <c r="X1965" t="s">
        <v>8</v>
      </c>
      <c r="Y1965" s="75"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313</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c r="U1966" t="s">
        <v>548</v>
      </c>
      <c r="V1966">
        <v>15000</v>
      </c>
      <c r="W1966">
        <v>0</v>
      </c>
      <c r="X1966" t="s">
        <v>205</v>
      </c>
      <c r="Y1966" s="75"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313</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c r="U1967" t="s">
        <v>548</v>
      </c>
      <c r="V1967">
        <v>0</v>
      </c>
      <c r="W1967">
        <v>0</v>
      </c>
      <c r="X1967" t="s">
        <v>8</v>
      </c>
      <c r="Y1967" s="75"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313</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c r="U1968" t="s">
        <v>548</v>
      </c>
      <c r="V1968">
        <v>0</v>
      </c>
      <c r="W1968">
        <v>0</v>
      </c>
      <c r="X1968" t="s">
        <v>8</v>
      </c>
      <c r="Y1968" s="75"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313</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c r="U1969" t="s">
        <v>548</v>
      </c>
      <c r="V1969">
        <v>0</v>
      </c>
      <c r="W1969">
        <v>0</v>
      </c>
      <c r="X1969" t="s">
        <v>8</v>
      </c>
      <c r="Y1969" s="75"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313</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c r="U1970" t="s">
        <v>548</v>
      </c>
      <c r="V1970">
        <v>17000</v>
      </c>
      <c r="W1970">
        <v>0</v>
      </c>
      <c r="X1970" t="s">
        <v>205</v>
      </c>
      <c r="Y1970" s="75"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313</v>
      </c>
      <c r="F1971">
        <v>0</v>
      </c>
      <c r="G1971">
        <v>19000</v>
      </c>
      <c r="H1971" t="s">
        <v>205</v>
      </c>
      <c r="I1971" s="75" t="str">
        <f ca="1">IF(Table7[[#This Row],[Type]]="KILL",IF(_xlfn.NUMBERVALUE(RIGHT(Table7[[#This Row],[Min]],LEN(Table7[[#This Row],[Min]])-FIND("-",Table7[[#This Row],[Min]])))&gt;INDIRECT(ADDRESS(11+MATCH(LEFT(Table7[[#This Row],[Min]],FIND("-",Table7[[#This Row],[Min]])-1),Table1[Content Sku],0),14,1,1,"Entities")),"review","ok"),"ok")</f>
        <v>ok</v>
      </c>
      <c r="U1971" t="s">
        <v>548</v>
      </c>
      <c r="V1971">
        <v>0</v>
      </c>
      <c r="W1971">
        <v>0</v>
      </c>
      <c r="X1971" t="s">
        <v>8</v>
      </c>
      <c r="Y1971" s="75"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313</v>
      </c>
      <c r="F1972">
        <v>0</v>
      </c>
      <c r="G1972">
        <v>0</v>
      </c>
      <c r="H1972" t="s">
        <v>8</v>
      </c>
      <c r="I1972" s="75" t="str">
        <f ca="1">IF(Table7[[#This Row],[Type]]="KILL",IF(_xlfn.NUMBERVALUE(RIGHT(Table7[[#This Row],[Min]],LEN(Table7[[#This Row],[Min]])-FIND("-",Table7[[#This Row],[Min]])))&gt;INDIRECT(ADDRESS(11+MATCH(LEFT(Table7[[#This Row],[Min]],FIND("-",Table7[[#This Row],[Min]])-1),Table1[Content Sku],0),14,1,1,"Entities")),"review","ok"),"ok")</f>
        <v>ok</v>
      </c>
      <c r="U1972" t="s">
        <v>548</v>
      </c>
      <c r="V1972">
        <v>0</v>
      </c>
      <c r="W1972">
        <v>0</v>
      </c>
      <c r="X1972" t="s">
        <v>8</v>
      </c>
      <c r="Y1972" s="75"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313</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c r="U1973" t="s">
        <v>548</v>
      </c>
      <c r="V1973">
        <v>0</v>
      </c>
      <c r="W1973">
        <v>0</v>
      </c>
      <c r="X1973" t="s">
        <v>8</v>
      </c>
      <c r="Y1973" s="75"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313</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c r="U1974" t="s">
        <v>548</v>
      </c>
      <c r="V1974">
        <v>0</v>
      </c>
      <c r="W1974">
        <v>0</v>
      </c>
      <c r="X1974" t="s">
        <v>8</v>
      </c>
      <c r="Y1974" s="75"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313</v>
      </c>
      <c r="F1975">
        <v>2800</v>
      </c>
      <c r="G1975">
        <v>0</v>
      </c>
      <c r="H1975" t="s">
        <v>205</v>
      </c>
      <c r="I1975" s="75" t="str">
        <f ca="1">IF(Table7[[#This Row],[Type]]="KILL",IF(_xlfn.NUMBERVALUE(RIGHT(Table7[[#This Row],[Min]],LEN(Table7[[#This Row],[Min]])-FIND("-",Table7[[#This Row],[Min]])))&gt;INDIRECT(ADDRESS(11+MATCH(LEFT(Table7[[#This Row],[Min]],FIND("-",Table7[[#This Row],[Min]])-1),Table1[Content Sku],0),14,1,1,"Entities")),"review","ok"),"ok")</f>
        <v>ok</v>
      </c>
      <c r="U1975" t="s">
        <v>548</v>
      </c>
      <c r="V1975">
        <v>0</v>
      </c>
      <c r="W1975">
        <v>0</v>
      </c>
      <c r="X1975" t="s">
        <v>8</v>
      </c>
      <c r="Y1975" s="75"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313</v>
      </c>
      <c r="F1976">
        <v>0</v>
      </c>
      <c r="G1976">
        <v>0</v>
      </c>
      <c r="H1976" t="s">
        <v>8</v>
      </c>
      <c r="I1976" s="75" t="str">
        <f ca="1">IF(Table7[[#This Row],[Type]]="KILL",IF(_xlfn.NUMBERVALUE(RIGHT(Table7[[#This Row],[Min]],LEN(Table7[[#This Row],[Min]])-FIND("-",Table7[[#This Row],[Min]])))&gt;INDIRECT(ADDRESS(11+MATCH(LEFT(Table7[[#This Row],[Min]],FIND("-",Table7[[#This Row],[Min]])-1),Table1[Content Sku],0),14,1,1,"Entities")),"review","ok"),"ok")</f>
        <v>ok</v>
      </c>
      <c r="U1976" t="s">
        <v>548</v>
      </c>
      <c r="V1976">
        <v>0</v>
      </c>
      <c r="W1976">
        <v>0</v>
      </c>
      <c r="X1976" t="s">
        <v>8</v>
      </c>
      <c r="Y1976" s="75"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313</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c r="U1977" t="s">
        <v>548</v>
      </c>
      <c r="V1977">
        <v>0</v>
      </c>
      <c r="W1977">
        <v>0</v>
      </c>
      <c r="X1977" t="s">
        <v>8</v>
      </c>
      <c r="Y1977" s="75"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313</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c r="U1978" t="s">
        <v>548</v>
      </c>
      <c r="V1978">
        <v>0</v>
      </c>
      <c r="W1978">
        <v>0</v>
      </c>
      <c r="X1978" t="s">
        <v>8</v>
      </c>
      <c r="Y1978" s="75"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313</v>
      </c>
      <c r="F1979">
        <v>0</v>
      </c>
      <c r="G1979">
        <v>14000</v>
      </c>
      <c r="H1979" t="s">
        <v>205</v>
      </c>
      <c r="I1979" s="75" t="str">
        <f ca="1">IF(Table7[[#This Row],[Type]]="KILL",IF(_xlfn.NUMBERVALUE(RIGHT(Table7[[#This Row],[Min]],LEN(Table7[[#This Row],[Min]])-FIND("-",Table7[[#This Row],[Min]])))&gt;INDIRECT(ADDRESS(11+MATCH(LEFT(Table7[[#This Row],[Min]],FIND("-",Table7[[#This Row],[Min]])-1),Table1[Content Sku],0),14,1,1,"Entities")),"review","ok"),"ok")</f>
        <v>ok</v>
      </c>
      <c r="U1979" t="s">
        <v>548</v>
      </c>
      <c r="V1979">
        <v>0</v>
      </c>
      <c r="W1979">
        <v>0</v>
      </c>
      <c r="X1979" t="s">
        <v>8</v>
      </c>
      <c r="Y1979" s="75"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313</v>
      </c>
      <c r="F1980">
        <v>0</v>
      </c>
      <c r="G1980">
        <v>0</v>
      </c>
      <c r="H1980" t="s">
        <v>8</v>
      </c>
      <c r="I1980" s="75" t="str">
        <f ca="1">IF(Table7[[#This Row],[Type]]="KILL",IF(_xlfn.NUMBERVALUE(RIGHT(Table7[[#This Row],[Min]],LEN(Table7[[#This Row],[Min]])-FIND("-",Table7[[#This Row],[Min]])))&gt;INDIRECT(ADDRESS(11+MATCH(LEFT(Table7[[#This Row],[Min]],FIND("-",Table7[[#This Row],[Min]])-1),Table1[Content Sku],0),14,1,1,"Entities")),"review","ok"),"ok")</f>
        <v>ok</v>
      </c>
      <c r="U1980" t="s">
        <v>548</v>
      </c>
      <c r="V1980">
        <v>0</v>
      </c>
      <c r="W1980">
        <v>0</v>
      </c>
      <c r="X1980" t="s">
        <v>8</v>
      </c>
      <c r="Y1980" s="75"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313</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c r="U1981" t="s">
        <v>548</v>
      </c>
      <c r="V1981">
        <v>0</v>
      </c>
      <c r="W1981">
        <v>0</v>
      </c>
      <c r="X1981" t="s">
        <v>8</v>
      </c>
      <c r="Y1981" s="75"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313</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c r="U1982" t="s">
        <v>548</v>
      </c>
      <c r="V1982">
        <v>0</v>
      </c>
      <c r="W1982">
        <v>0</v>
      </c>
      <c r="X1982" t="s">
        <v>8</v>
      </c>
      <c r="Y1982" s="75"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313</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c r="U1983" t="s">
        <v>548</v>
      </c>
      <c r="V1983">
        <v>0</v>
      </c>
      <c r="W1983">
        <v>0</v>
      </c>
      <c r="X1983" t="s">
        <v>8</v>
      </c>
      <c r="Y1983" s="75"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313</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c r="U1984" t="s">
        <v>548</v>
      </c>
      <c r="V1984">
        <v>0</v>
      </c>
      <c r="W1984">
        <v>0</v>
      </c>
      <c r="X1984" t="s">
        <v>8</v>
      </c>
      <c r="Y1984" s="75"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313</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c r="U1985" t="s">
        <v>548</v>
      </c>
      <c r="V1985">
        <v>15000</v>
      </c>
      <c r="W1985">
        <v>0</v>
      </c>
      <c r="X1985" t="s">
        <v>205</v>
      </c>
      <c r="Y1985" s="75"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313</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c r="U1986" t="s">
        <v>548</v>
      </c>
      <c r="V1986">
        <v>0</v>
      </c>
      <c r="W1986">
        <v>0</v>
      </c>
      <c r="X1986" t="s">
        <v>8</v>
      </c>
      <c r="Y1986" s="75"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313</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c r="U1987" t="s">
        <v>394</v>
      </c>
      <c r="V1987">
        <v>0</v>
      </c>
      <c r="W1987">
        <v>46000</v>
      </c>
      <c r="X1987" t="s">
        <v>205</v>
      </c>
      <c r="Y1987" s="75"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313</v>
      </c>
      <c r="F1988">
        <v>8000</v>
      </c>
      <c r="G1988">
        <v>0</v>
      </c>
      <c r="H1988" t="s">
        <v>205</v>
      </c>
      <c r="I1988" s="75" t="str">
        <f ca="1">IF(Table7[[#This Row],[Type]]="KILL",IF(_xlfn.NUMBERVALUE(RIGHT(Table7[[#This Row],[Min]],LEN(Table7[[#This Row],[Min]])-FIND("-",Table7[[#This Row],[Min]])))&gt;INDIRECT(ADDRESS(11+MATCH(LEFT(Table7[[#This Row],[Min]],FIND("-",Table7[[#This Row],[Min]])-1),Table1[Content Sku],0),14,1,1,"Entities")),"review","ok"),"ok")</f>
        <v>ok</v>
      </c>
      <c r="U1988" t="s">
        <v>394</v>
      </c>
      <c r="V1988">
        <v>0</v>
      </c>
      <c r="W1988">
        <v>0</v>
      </c>
      <c r="X1988" t="s">
        <v>8</v>
      </c>
      <c r="Y1988" s="75"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313</v>
      </c>
      <c r="F1989">
        <v>0</v>
      </c>
      <c r="G1989">
        <v>0</v>
      </c>
      <c r="H1989" t="s">
        <v>8</v>
      </c>
      <c r="I1989" s="75" t="str">
        <f ca="1">IF(Table7[[#This Row],[Type]]="KILL",IF(_xlfn.NUMBERVALUE(RIGHT(Table7[[#This Row],[Min]],LEN(Table7[[#This Row],[Min]])-FIND("-",Table7[[#This Row],[Min]])))&gt;INDIRECT(ADDRESS(11+MATCH(LEFT(Table7[[#This Row],[Min]],FIND("-",Table7[[#This Row],[Min]])-1),Table1[Content Sku],0),14,1,1,"Entities")),"review","ok"),"ok")</f>
        <v>ok</v>
      </c>
      <c r="U1989" t="s">
        <v>394</v>
      </c>
      <c r="V1989">
        <v>23000</v>
      </c>
      <c r="W1989">
        <v>0</v>
      </c>
      <c r="X1989" t="s">
        <v>205</v>
      </c>
      <c r="Y1989" s="75"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313</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c r="U1990" t="s">
        <v>394</v>
      </c>
      <c r="V1990">
        <v>0</v>
      </c>
      <c r="W1990">
        <v>0</v>
      </c>
      <c r="X1990" t="s">
        <v>8</v>
      </c>
      <c r="Y1990" s="75"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313</v>
      </c>
      <c r="F1991">
        <v>4200</v>
      </c>
      <c r="G1991">
        <v>0</v>
      </c>
      <c r="H1991" t="s">
        <v>205</v>
      </c>
      <c r="I1991" s="75" t="str">
        <f ca="1">IF(Table7[[#This Row],[Type]]="KILL",IF(_xlfn.NUMBERVALUE(RIGHT(Table7[[#This Row],[Min]],LEN(Table7[[#This Row],[Min]])-FIND("-",Table7[[#This Row],[Min]])))&gt;INDIRECT(ADDRESS(11+MATCH(LEFT(Table7[[#This Row],[Min]],FIND("-",Table7[[#This Row],[Min]])-1),Table1[Content Sku],0),14,1,1,"Entities")),"review","ok"),"ok")</f>
        <v>ok</v>
      </c>
      <c r="U1991" t="s">
        <v>394</v>
      </c>
      <c r="V1991">
        <v>0</v>
      </c>
      <c r="W1991">
        <v>0</v>
      </c>
      <c r="X1991" t="s">
        <v>8</v>
      </c>
      <c r="Y1991" s="75"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313</v>
      </c>
      <c r="F1992">
        <v>0</v>
      </c>
      <c r="G1992">
        <v>25000</v>
      </c>
      <c r="H1992" t="s">
        <v>205</v>
      </c>
      <c r="I1992" s="75" t="str">
        <f ca="1">IF(Table7[[#This Row],[Type]]="KILL",IF(_xlfn.NUMBERVALUE(RIGHT(Table7[[#This Row],[Min]],LEN(Table7[[#This Row],[Min]])-FIND("-",Table7[[#This Row],[Min]])))&gt;INDIRECT(ADDRESS(11+MATCH(LEFT(Table7[[#This Row],[Min]],FIND("-",Table7[[#This Row],[Min]])-1),Table1[Content Sku],0),14,1,1,"Entities")),"review","ok"),"ok")</f>
        <v>ok</v>
      </c>
      <c r="U1992" t="s">
        <v>394</v>
      </c>
      <c r="V1992">
        <v>0</v>
      </c>
      <c r="W1992">
        <v>0</v>
      </c>
      <c r="X1992" t="s">
        <v>8</v>
      </c>
      <c r="Y1992" s="75"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313</v>
      </c>
      <c r="F1993">
        <v>0</v>
      </c>
      <c r="G1993">
        <v>0</v>
      </c>
      <c r="H1993" t="s">
        <v>8</v>
      </c>
      <c r="I1993" s="75" t="str">
        <f ca="1">IF(Table7[[#This Row],[Type]]="KILL",IF(_xlfn.NUMBERVALUE(RIGHT(Table7[[#This Row],[Min]],LEN(Table7[[#This Row],[Min]])-FIND("-",Table7[[#This Row],[Min]])))&gt;INDIRECT(ADDRESS(11+MATCH(LEFT(Table7[[#This Row],[Min]],FIND("-",Table7[[#This Row],[Min]])-1),Table1[Content Sku],0),14,1,1,"Entities")),"review","ok"),"ok")</f>
        <v>ok</v>
      </c>
      <c r="U1993" t="s">
        <v>394</v>
      </c>
      <c r="V1993">
        <v>0</v>
      </c>
      <c r="W1993">
        <v>45000</v>
      </c>
      <c r="X1993" t="s">
        <v>205</v>
      </c>
      <c r="Y1993" s="75"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313</v>
      </c>
      <c r="F1994">
        <v>0</v>
      </c>
      <c r="G1994">
        <v>7500</v>
      </c>
      <c r="H1994" t="s">
        <v>205</v>
      </c>
      <c r="I1994" s="75" t="str">
        <f ca="1">IF(Table7[[#This Row],[Type]]="KILL",IF(_xlfn.NUMBERVALUE(RIGHT(Table7[[#This Row],[Min]],LEN(Table7[[#This Row],[Min]])-FIND("-",Table7[[#This Row],[Min]])))&gt;INDIRECT(ADDRESS(11+MATCH(LEFT(Table7[[#This Row],[Min]],FIND("-",Table7[[#This Row],[Min]])-1),Table1[Content Sku],0),14,1,1,"Entities")),"review","ok"),"ok")</f>
        <v>ok</v>
      </c>
      <c r="U1994" t="s">
        <v>394</v>
      </c>
      <c r="V1994">
        <v>0</v>
      </c>
      <c r="W1994">
        <v>38000</v>
      </c>
      <c r="X1994" t="s">
        <v>205</v>
      </c>
      <c r="Y1994" s="75"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313</v>
      </c>
      <c r="F1995">
        <v>0</v>
      </c>
      <c r="G1995">
        <v>11000</v>
      </c>
      <c r="H1995" t="s">
        <v>205</v>
      </c>
      <c r="I1995" s="75" t="str">
        <f ca="1">IF(Table7[[#This Row],[Type]]="KILL",IF(_xlfn.NUMBERVALUE(RIGHT(Table7[[#This Row],[Min]],LEN(Table7[[#This Row],[Min]])-FIND("-",Table7[[#This Row],[Min]])))&gt;INDIRECT(ADDRESS(11+MATCH(LEFT(Table7[[#This Row],[Min]],FIND("-",Table7[[#This Row],[Min]])-1),Table1[Content Sku],0),14,1,1,"Entities")),"review","ok"),"ok")</f>
        <v>ok</v>
      </c>
      <c r="U1995" t="s">
        <v>394</v>
      </c>
      <c r="V1995">
        <v>20000</v>
      </c>
      <c r="W1995">
        <v>46000</v>
      </c>
      <c r="X1995" t="s">
        <v>205</v>
      </c>
      <c r="Y1995" s="75"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313</v>
      </c>
      <c r="F1996">
        <v>0</v>
      </c>
      <c r="G1996">
        <v>0</v>
      </c>
      <c r="H1996" t="s">
        <v>8</v>
      </c>
      <c r="I1996" s="75" t="str">
        <f ca="1">IF(Table7[[#This Row],[Type]]="KILL",IF(_xlfn.NUMBERVALUE(RIGHT(Table7[[#This Row],[Min]],LEN(Table7[[#This Row],[Min]])-FIND("-",Table7[[#This Row],[Min]])))&gt;INDIRECT(ADDRESS(11+MATCH(LEFT(Table7[[#This Row],[Min]],FIND("-",Table7[[#This Row],[Min]])-1),Table1[Content Sku],0),14,1,1,"Entities")),"review","ok"),"ok")</f>
        <v>ok</v>
      </c>
      <c r="U1996" t="s">
        <v>394</v>
      </c>
      <c r="V1996">
        <v>22000</v>
      </c>
      <c r="W1996">
        <v>0</v>
      </c>
      <c r="X1996" t="s">
        <v>205</v>
      </c>
      <c r="Y1996" s="75"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313</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c r="U1997" t="s">
        <v>394</v>
      </c>
      <c r="V1997">
        <v>0</v>
      </c>
      <c r="W1997">
        <v>0</v>
      </c>
      <c r="X1997" t="s">
        <v>8</v>
      </c>
      <c r="Y1997" s="75"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313</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c r="U1998" t="s">
        <v>394</v>
      </c>
      <c r="V1998">
        <v>21000</v>
      </c>
      <c r="W1998">
        <v>0</v>
      </c>
      <c r="X1998" t="s">
        <v>205</v>
      </c>
      <c r="Y1998" s="75"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313</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c r="U1999" t="s">
        <v>394</v>
      </c>
      <c r="V1999">
        <v>0</v>
      </c>
      <c r="W1999">
        <v>0</v>
      </c>
      <c r="X1999" t="s">
        <v>8</v>
      </c>
      <c r="Y1999" s="75"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313</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c r="U2000" t="s">
        <v>394</v>
      </c>
      <c r="V2000">
        <v>24000</v>
      </c>
      <c r="W2000">
        <v>0</v>
      </c>
      <c r="X2000" t="s">
        <v>205</v>
      </c>
      <c r="Y2000" s="75"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313</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c r="U2001" t="s">
        <v>394</v>
      </c>
      <c r="V2001">
        <v>0</v>
      </c>
      <c r="W2001">
        <v>0</v>
      </c>
      <c r="X2001" t="s">
        <v>8</v>
      </c>
      <c r="Y2001" s="75"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313</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c r="U2002" t="s">
        <v>394</v>
      </c>
      <c r="V2002">
        <v>0</v>
      </c>
      <c r="W2002">
        <v>0</v>
      </c>
      <c r="X2002" t="s">
        <v>8</v>
      </c>
      <c r="Y2002" s="75" t="str">
        <f ca="1">IF(Table15[[#This Row],[Type]]="KILL",IF(_xlfn.NUMBERVALUE(RIGHT(Table15[[#This Row],[Min]],LEN(Table15[[#This Row],[Min]])-FIND("-",Table15[[#This Row],[Min]])))&gt;INDIRECT(ADDRESS(11+MATCH(LEFT(Table15[[#This Row],[Min]],FIND("-",Table15[[#This Row],[Min]])-1),Table1[Content Sku],0),16,1,1,"Entities")),"review","ok"),"ok")</f>
        <v>ok</v>
      </c>
    </row>
    <row r="2003" spans="5:25" x14ac:dyDescent="0.25">
      <c r="E2003" t="s">
        <v>313</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25" x14ac:dyDescent="0.25">
      <c r="E2004" t="s">
        <v>313</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25" x14ac:dyDescent="0.25">
      <c r="E2005" t="s">
        <v>313</v>
      </c>
      <c r="F2005">
        <v>5000</v>
      </c>
      <c r="G2005">
        <v>0</v>
      </c>
      <c r="H2005" t="s">
        <v>205</v>
      </c>
      <c r="I2005" s="75" t="str">
        <f ca="1">IF(Table7[[#This Row],[Type]]="KILL",IF(_xlfn.NUMBERVALUE(RIGHT(Table7[[#This Row],[Min]],LEN(Table7[[#This Row],[Min]])-FIND("-",Table7[[#This Row],[Min]])))&gt;INDIRECT(ADDRESS(11+MATCH(LEFT(Table7[[#This Row],[Min]],FIND("-",Table7[[#This Row],[Min]])-1),Table1[Content Sku],0),14,1,1,"Entities")),"review","ok"),"ok")</f>
        <v>ok</v>
      </c>
    </row>
    <row r="2006" spans="5:25" x14ac:dyDescent="0.25">
      <c r="E2006" t="s">
        <v>313</v>
      </c>
      <c r="F2006">
        <v>0</v>
      </c>
      <c r="G2006">
        <v>18000</v>
      </c>
      <c r="H2006" t="s">
        <v>205</v>
      </c>
      <c r="I2006" s="75" t="str">
        <f ca="1">IF(Table7[[#This Row],[Type]]="KILL",IF(_xlfn.NUMBERVALUE(RIGHT(Table7[[#This Row],[Min]],LEN(Table7[[#This Row],[Min]])-FIND("-",Table7[[#This Row],[Min]])))&gt;INDIRECT(ADDRESS(11+MATCH(LEFT(Table7[[#This Row],[Min]],FIND("-",Table7[[#This Row],[Min]])-1),Table1[Content Sku],0),14,1,1,"Entities")),"review","ok"),"ok")</f>
        <v>ok</v>
      </c>
    </row>
    <row r="2007" spans="5:25" x14ac:dyDescent="0.25">
      <c r="E2007" t="s">
        <v>313</v>
      </c>
      <c r="F2007">
        <v>0</v>
      </c>
      <c r="G2007">
        <v>0</v>
      </c>
      <c r="H2007" t="s">
        <v>8</v>
      </c>
      <c r="I2007" s="75" t="str">
        <f ca="1">IF(Table7[[#This Row],[Type]]="KILL",IF(_xlfn.NUMBERVALUE(RIGHT(Table7[[#This Row],[Min]],LEN(Table7[[#This Row],[Min]])-FIND("-",Table7[[#This Row],[Min]])))&gt;INDIRECT(ADDRESS(11+MATCH(LEFT(Table7[[#This Row],[Min]],FIND("-",Table7[[#This Row],[Min]])-1),Table1[Content Sku],0),14,1,1,"Entities")),"review","ok"),"ok")</f>
        <v>ok</v>
      </c>
    </row>
    <row r="2008" spans="5:25" x14ac:dyDescent="0.25">
      <c r="E2008" t="s">
        <v>313</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25" x14ac:dyDescent="0.25">
      <c r="E2009" t="s">
        <v>313</v>
      </c>
      <c r="F2009">
        <v>7000</v>
      </c>
      <c r="G2009">
        <v>0</v>
      </c>
      <c r="H2009" t="s">
        <v>205</v>
      </c>
      <c r="I2009" s="75" t="str">
        <f ca="1">IF(Table7[[#This Row],[Type]]="KILL",IF(_xlfn.NUMBERVALUE(RIGHT(Table7[[#This Row],[Min]],LEN(Table7[[#This Row],[Min]])-FIND("-",Table7[[#This Row],[Min]])))&gt;INDIRECT(ADDRESS(11+MATCH(LEFT(Table7[[#This Row],[Min]],FIND("-",Table7[[#This Row],[Min]])-1),Table1[Content Sku],0),14,1,1,"Entities")),"review","ok"),"ok")</f>
        <v>ok</v>
      </c>
    </row>
    <row r="2010" spans="5:25" x14ac:dyDescent="0.25">
      <c r="E2010" t="s">
        <v>313</v>
      </c>
      <c r="F2010">
        <v>0</v>
      </c>
      <c r="G2010">
        <v>0</v>
      </c>
      <c r="H2010" t="s">
        <v>8</v>
      </c>
      <c r="I2010" s="75" t="str">
        <f ca="1">IF(Table7[[#This Row],[Type]]="KILL",IF(_xlfn.NUMBERVALUE(RIGHT(Table7[[#This Row],[Min]],LEN(Table7[[#This Row],[Min]])-FIND("-",Table7[[#This Row],[Min]])))&gt;INDIRECT(ADDRESS(11+MATCH(LEFT(Table7[[#This Row],[Min]],FIND("-",Table7[[#This Row],[Min]])-1),Table1[Content Sku],0),14,1,1,"Entities")),"review","ok"),"ok")</f>
        <v>ok</v>
      </c>
    </row>
    <row r="2011" spans="5:25" x14ac:dyDescent="0.25">
      <c r="E2011" t="s">
        <v>313</v>
      </c>
      <c r="F2011">
        <v>0</v>
      </c>
      <c r="G2011">
        <v>16000</v>
      </c>
      <c r="H2011" t="s">
        <v>205</v>
      </c>
      <c r="I2011" s="75" t="str">
        <f ca="1">IF(Table7[[#This Row],[Type]]="KILL",IF(_xlfn.NUMBERVALUE(RIGHT(Table7[[#This Row],[Min]],LEN(Table7[[#This Row],[Min]])-FIND("-",Table7[[#This Row],[Min]])))&gt;INDIRECT(ADDRESS(11+MATCH(LEFT(Table7[[#This Row],[Min]],FIND("-",Table7[[#This Row],[Min]])-1),Table1[Content Sku],0),14,1,1,"Entities")),"review","ok"),"ok")</f>
        <v>ok</v>
      </c>
    </row>
    <row r="2012" spans="5:25" x14ac:dyDescent="0.25">
      <c r="E2012" t="s">
        <v>313</v>
      </c>
      <c r="F2012">
        <v>0</v>
      </c>
      <c r="G2012">
        <v>0</v>
      </c>
      <c r="H2012" t="s">
        <v>8</v>
      </c>
      <c r="I2012" s="75" t="str">
        <f ca="1">IF(Table7[[#This Row],[Type]]="KILL",IF(_xlfn.NUMBERVALUE(RIGHT(Table7[[#This Row],[Min]],LEN(Table7[[#This Row],[Min]])-FIND("-",Table7[[#This Row],[Min]])))&gt;INDIRECT(ADDRESS(11+MATCH(LEFT(Table7[[#This Row],[Min]],FIND("-",Table7[[#This Row],[Min]])-1),Table1[Content Sku],0),14,1,1,"Entities")),"review","ok"),"ok")</f>
        <v>ok</v>
      </c>
    </row>
    <row r="2013" spans="5:25" x14ac:dyDescent="0.25">
      <c r="E2013" t="s">
        <v>313</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25" x14ac:dyDescent="0.25">
      <c r="E2014" t="s">
        <v>313</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25" x14ac:dyDescent="0.25">
      <c r="E2015" t="s">
        <v>313</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25" x14ac:dyDescent="0.25">
      <c r="E2016" t="s">
        <v>313</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313</v>
      </c>
      <c r="F2017">
        <v>0</v>
      </c>
      <c r="G2017">
        <v>27000</v>
      </c>
      <c r="H2017" t="s">
        <v>205</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313</v>
      </c>
      <c r="F2018">
        <v>0</v>
      </c>
      <c r="G2018">
        <v>0</v>
      </c>
      <c r="H2018" t="s">
        <v>8</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313</v>
      </c>
      <c r="F2019">
        <v>0</v>
      </c>
      <c r="G2019">
        <v>12000</v>
      </c>
      <c r="H2019" t="s">
        <v>205</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313</v>
      </c>
      <c r="F2020">
        <v>0</v>
      </c>
      <c r="G2020">
        <v>0</v>
      </c>
      <c r="H2020" t="s">
        <v>8</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313</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313</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313</v>
      </c>
      <c r="F2023">
        <v>0</v>
      </c>
      <c r="G2023">
        <v>17000</v>
      </c>
      <c r="H2023" t="s">
        <v>205</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313</v>
      </c>
      <c r="F2024">
        <v>0</v>
      </c>
      <c r="G2024">
        <v>12000</v>
      </c>
      <c r="H2024" t="s">
        <v>205</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313</v>
      </c>
      <c r="F2025">
        <v>0</v>
      </c>
      <c r="G2025">
        <v>0</v>
      </c>
      <c r="H2025" t="s">
        <v>8</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313</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313</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313</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313</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313</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313</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313</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313</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313</v>
      </c>
      <c r="F2034">
        <v>0</v>
      </c>
      <c r="G2034">
        <v>5000</v>
      </c>
      <c r="H2034" t="s">
        <v>205</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313</v>
      </c>
      <c r="F2035">
        <v>0</v>
      </c>
      <c r="G2035">
        <v>25000</v>
      </c>
      <c r="H2035" t="s">
        <v>205</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313</v>
      </c>
      <c r="F2036">
        <v>0</v>
      </c>
      <c r="G2036">
        <v>15000</v>
      </c>
      <c r="H2036" t="s">
        <v>205</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313</v>
      </c>
      <c r="F2037">
        <v>0</v>
      </c>
      <c r="G2037">
        <v>25000</v>
      </c>
      <c r="H2037" t="s">
        <v>205</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313</v>
      </c>
      <c r="F2038">
        <v>4200</v>
      </c>
      <c r="G2038">
        <v>0</v>
      </c>
      <c r="H2038" t="s">
        <v>205</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313</v>
      </c>
      <c r="F2039">
        <v>0</v>
      </c>
      <c r="G2039">
        <v>0</v>
      </c>
      <c r="H2039" t="s">
        <v>8</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313</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313</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313</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313</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313</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313</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313</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313</v>
      </c>
      <c r="F2047">
        <v>5000</v>
      </c>
      <c r="G2047">
        <v>0</v>
      </c>
      <c r="H2047" t="s">
        <v>205</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313</v>
      </c>
      <c r="F2048">
        <v>0</v>
      </c>
      <c r="G2048">
        <v>0</v>
      </c>
      <c r="H2048" t="s">
        <v>8</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313</v>
      </c>
      <c r="F2049">
        <v>0</v>
      </c>
      <c r="G2049">
        <v>4500</v>
      </c>
      <c r="H2049" t="s">
        <v>205</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313</v>
      </c>
      <c r="F2050">
        <v>0</v>
      </c>
      <c r="G2050">
        <v>0</v>
      </c>
      <c r="H2050" t="s">
        <v>8</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313</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313</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313</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313</v>
      </c>
      <c r="F2054">
        <v>0</v>
      </c>
      <c r="G2054">
        <v>13000</v>
      </c>
      <c r="H2054" t="s">
        <v>205</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313</v>
      </c>
      <c r="F2055">
        <v>0</v>
      </c>
      <c r="G2055">
        <v>16000</v>
      </c>
      <c r="H2055" t="s">
        <v>205</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313</v>
      </c>
      <c r="F2056">
        <v>0</v>
      </c>
      <c r="G2056">
        <v>0</v>
      </c>
      <c r="H2056" t="s">
        <v>8</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313</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313</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313</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313</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313</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313</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313</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313</v>
      </c>
      <c r="F2064">
        <v>0</v>
      </c>
      <c r="G2064">
        <v>26000</v>
      </c>
      <c r="H2064" t="s">
        <v>205</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313</v>
      </c>
      <c r="F2065">
        <v>5000</v>
      </c>
      <c r="G2065">
        <v>0</v>
      </c>
      <c r="H2065" t="s">
        <v>205</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313</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313</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313</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313</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313</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313</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313</v>
      </c>
      <c r="F2072">
        <v>0</v>
      </c>
      <c r="G2072">
        <v>14000</v>
      </c>
      <c r="H2072" t="s">
        <v>205</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313</v>
      </c>
      <c r="F2073">
        <v>12000</v>
      </c>
      <c r="G2073">
        <v>0</v>
      </c>
      <c r="H2073" t="s">
        <v>205</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313</v>
      </c>
      <c r="F2074">
        <v>6000</v>
      </c>
      <c r="G2074">
        <v>0</v>
      </c>
      <c r="H2074" t="s">
        <v>205</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313</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313</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313</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313</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313</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313</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313</v>
      </c>
      <c r="F2081">
        <v>6000</v>
      </c>
      <c r="G2081">
        <v>0</v>
      </c>
      <c r="H2081" t="s">
        <v>205</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313</v>
      </c>
      <c r="F2082">
        <v>5000</v>
      </c>
      <c r="G2082">
        <v>0</v>
      </c>
      <c r="H2082" t="s">
        <v>205</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313</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313</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313</v>
      </c>
      <c r="F2085">
        <v>0</v>
      </c>
      <c r="G2085">
        <v>0</v>
      </c>
      <c r="H2085" t="s">
        <v>8</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313</v>
      </c>
      <c r="F2086">
        <v>0</v>
      </c>
      <c r="G2086">
        <v>11000</v>
      </c>
      <c r="H2086" t="s">
        <v>205</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313</v>
      </c>
      <c r="F2087">
        <v>0</v>
      </c>
      <c r="G2087">
        <v>0</v>
      </c>
      <c r="H2087" t="s">
        <v>8</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313</v>
      </c>
      <c r="F2088">
        <v>4000</v>
      </c>
      <c r="G2088">
        <v>0</v>
      </c>
      <c r="H2088" t="s">
        <v>205</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313</v>
      </c>
      <c r="F2089">
        <v>5000</v>
      </c>
      <c r="G2089">
        <v>0</v>
      </c>
      <c r="H2089" t="s">
        <v>205</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313</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313</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313</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313</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313</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313</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313</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313</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313</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313</v>
      </c>
      <c r="F2099">
        <v>0</v>
      </c>
      <c r="G2099">
        <v>10000</v>
      </c>
      <c r="H2099" t="s">
        <v>205</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313</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313</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313</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313</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313</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313</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313</v>
      </c>
      <c r="F2106">
        <v>0</v>
      </c>
      <c r="G2106">
        <v>23000</v>
      </c>
      <c r="H2106" t="s">
        <v>205</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313</v>
      </c>
      <c r="F2107">
        <v>0</v>
      </c>
      <c r="G2107">
        <v>10000</v>
      </c>
      <c r="H2107" t="s">
        <v>205</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313</v>
      </c>
      <c r="F2108">
        <v>0</v>
      </c>
      <c r="G2108">
        <v>12000</v>
      </c>
      <c r="H2108" t="s">
        <v>205</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313</v>
      </c>
      <c r="F2109">
        <v>0</v>
      </c>
      <c r="G2109">
        <v>0</v>
      </c>
      <c r="H2109" t="s">
        <v>8</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313</v>
      </c>
      <c r="F2110">
        <v>0</v>
      </c>
      <c r="G2110">
        <v>14000</v>
      </c>
      <c r="H2110" t="s">
        <v>205</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313</v>
      </c>
      <c r="F2111">
        <v>0</v>
      </c>
      <c r="G2111">
        <v>0</v>
      </c>
      <c r="H2111" t="s">
        <v>8</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313</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313</v>
      </c>
      <c r="F2113">
        <v>0</v>
      </c>
      <c r="G2113">
        <v>0</v>
      </c>
      <c r="H2113" t="s">
        <v>8</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313</v>
      </c>
      <c r="F2114">
        <v>0</v>
      </c>
      <c r="G2114">
        <v>27000</v>
      </c>
      <c r="H2114" t="s">
        <v>205</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313</v>
      </c>
      <c r="F2115">
        <v>0</v>
      </c>
      <c r="G2115">
        <v>10000</v>
      </c>
      <c r="H2115" t="s">
        <v>205</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313</v>
      </c>
      <c r="F2116">
        <v>0</v>
      </c>
      <c r="G2116">
        <v>0</v>
      </c>
      <c r="H2116" t="s">
        <v>8</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313</v>
      </c>
      <c r="F2117">
        <v>3100</v>
      </c>
      <c r="G2117">
        <v>0</v>
      </c>
      <c r="H2117" t="s">
        <v>205</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313</v>
      </c>
      <c r="F2118">
        <v>0</v>
      </c>
      <c r="G2118">
        <v>0</v>
      </c>
      <c r="H2118" t="s">
        <v>8</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313</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313</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313</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313</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313</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313</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313</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313</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313</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313</v>
      </c>
      <c r="F2128">
        <v>0</v>
      </c>
      <c r="G2128">
        <v>24000</v>
      </c>
      <c r="H2128" t="s">
        <v>205</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313</v>
      </c>
      <c r="F2129">
        <v>0</v>
      </c>
      <c r="G2129">
        <v>0</v>
      </c>
      <c r="H2129" t="s">
        <v>8</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313</v>
      </c>
      <c r="F2130">
        <v>4200</v>
      </c>
      <c r="G2130">
        <v>0</v>
      </c>
      <c r="H2130" t="s">
        <v>205</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313</v>
      </c>
      <c r="F2131">
        <v>0</v>
      </c>
      <c r="G2131">
        <v>17000</v>
      </c>
      <c r="H2131" t="s">
        <v>205</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313</v>
      </c>
      <c r="F2132">
        <v>0</v>
      </c>
      <c r="G2132">
        <v>0</v>
      </c>
      <c r="H2132" t="s">
        <v>8</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315</v>
      </c>
      <c r="F2133">
        <v>25000</v>
      </c>
      <c r="G2133">
        <v>0</v>
      </c>
      <c r="H2133" t="s">
        <v>205</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315</v>
      </c>
      <c r="F2134">
        <v>0</v>
      </c>
      <c r="G2134">
        <v>0</v>
      </c>
      <c r="H2134" t="s">
        <v>8</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315</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315</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315</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315</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315</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315</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315</v>
      </c>
      <c r="F2141">
        <v>0</v>
      </c>
      <c r="G2141">
        <v>18000</v>
      </c>
      <c r="H2141" t="s">
        <v>205</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315</v>
      </c>
      <c r="F2142">
        <v>0</v>
      </c>
      <c r="G2142">
        <v>16000</v>
      </c>
      <c r="H2142" t="s">
        <v>205</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315</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315</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315</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315</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315</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315</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315</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315</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315</v>
      </c>
      <c r="F2151">
        <v>0</v>
      </c>
      <c r="G2151">
        <v>20000</v>
      </c>
      <c r="H2151" t="s">
        <v>205</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315</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315</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315</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315</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315</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315</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315</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315</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315</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315</v>
      </c>
      <c r="F2161">
        <v>6000</v>
      </c>
      <c r="G2161">
        <v>0</v>
      </c>
      <c r="H2161" t="s">
        <v>205</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315</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315</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315</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315</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315</v>
      </c>
      <c r="F2166">
        <v>0</v>
      </c>
      <c r="G2166">
        <v>14000</v>
      </c>
      <c r="H2166" t="s">
        <v>205</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315</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315</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315</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315</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315</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318</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318</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318</v>
      </c>
      <c r="F2174">
        <v>8000</v>
      </c>
      <c r="G2174">
        <v>0</v>
      </c>
      <c r="H2174" t="s">
        <v>205</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318</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318</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318</v>
      </c>
      <c r="F2177">
        <v>4000</v>
      </c>
      <c r="G2177">
        <v>0</v>
      </c>
      <c r="H2177" t="s">
        <v>205</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318</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318</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318</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318</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318</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318</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318</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318</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318</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318</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318</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318</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318</v>
      </c>
      <c r="F2190">
        <v>16000</v>
      </c>
      <c r="G2190">
        <v>0</v>
      </c>
      <c r="H2190" t="s">
        <v>205</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318</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318</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318</v>
      </c>
      <c r="F2193">
        <v>0</v>
      </c>
      <c r="G2193">
        <v>6000</v>
      </c>
      <c r="H2193" t="s">
        <v>205</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318</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318</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318</v>
      </c>
      <c r="F2196">
        <v>0</v>
      </c>
      <c r="G2196">
        <v>24000</v>
      </c>
      <c r="H2196" t="s">
        <v>205</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318</v>
      </c>
      <c r="F2197">
        <v>0</v>
      </c>
      <c r="G2197">
        <v>0</v>
      </c>
      <c r="H2197" t="s">
        <v>8</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318</v>
      </c>
      <c r="F2198">
        <v>16000</v>
      </c>
      <c r="G2198">
        <v>0</v>
      </c>
      <c r="H2198" t="s">
        <v>205</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318</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318</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318</v>
      </c>
      <c r="F2201">
        <v>8000</v>
      </c>
      <c r="G2201">
        <v>0</v>
      </c>
      <c r="H2201" t="s">
        <v>205</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318</v>
      </c>
      <c r="F2202">
        <v>29000</v>
      </c>
      <c r="G2202">
        <v>0</v>
      </c>
      <c r="H2202" t="s">
        <v>205</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318</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318</v>
      </c>
      <c r="F2204">
        <v>0</v>
      </c>
      <c r="G2204">
        <v>0</v>
      </c>
      <c r="H2204" t="s">
        <v>8</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318</v>
      </c>
      <c r="F2205">
        <v>0</v>
      </c>
      <c r="G2205">
        <v>15000</v>
      </c>
      <c r="H2205" t="s">
        <v>205</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318</v>
      </c>
      <c r="F2206">
        <v>0</v>
      </c>
      <c r="G2206">
        <v>0</v>
      </c>
      <c r="H2206" t="s">
        <v>8</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318</v>
      </c>
      <c r="F2207">
        <v>240</v>
      </c>
      <c r="G2207">
        <v>0</v>
      </c>
      <c r="H2207" t="s">
        <v>4439</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318</v>
      </c>
      <c r="F2208">
        <v>0</v>
      </c>
      <c r="G2208">
        <v>6000</v>
      </c>
      <c r="H2208" t="s">
        <v>205</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318</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318</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318</v>
      </c>
      <c r="F2211">
        <v>0</v>
      </c>
      <c r="G2211">
        <v>0</v>
      </c>
      <c r="H2211" t="s">
        <v>8</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318</v>
      </c>
      <c r="F2212">
        <v>0</v>
      </c>
      <c r="G2212">
        <v>6000</v>
      </c>
      <c r="H2212" t="s">
        <v>205</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318</v>
      </c>
      <c r="F2213">
        <v>28000</v>
      </c>
      <c r="G2213">
        <v>38000</v>
      </c>
      <c r="H2213" t="s">
        <v>205</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318</v>
      </c>
      <c r="F2214">
        <v>240</v>
      </c>
      <c r="G2214">
        <v>0</v>
      </c>
      <c r="H2214" t="s">
        <v>4439</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318</v>
      </c>
      <c r="F2215">
        <v>8000</v>
      </c>
      <c r="G2215">
        <v>0</v>
      </c>
      <c r="H2215" t="s">
        <v>205</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318</v>
      </c>
      <c r="F2216">
        <v>0</v>
      </c>
      <c r="G2216">
        <v>0</v>
      </c>
      <c r="H2216" t="s">
        <v>8</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318</v>
      </c>
      <c r="F2217">
        <v>0</v>
      </c>
      <c r="G2217">
        <v>0</v>
      </c>
      <c r="H2217" t="s">
        <v>8</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336</v>
      </c>
      <c r="F2218">
        <v>8000</v>
      </c>
      <c r="G2218">
        <v>0</v>
      </c>
      <c r="H2218" t="s">
        <v>205</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336</v>
      </c>
      <c r="F2219">
        <v>9500</v>
      </c>
      <c r="G2219">
        <v>0</v>
      </c>
      <c r="H2219" t="s">
        <v>205</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336</v>
      </c>
      <c r="F2220">
        <v>15000</v>
      </c>
      <c r="G2220">
        <v>0</v>
      </c>
      <c r="H2220" t="s">
        <v>205</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336</v>
      </c>
      <c r="F2221">
        <v>18000</v>
      </c>
      <c r="G2221">
        <v>0</v>
      </c>
      <c r="H2221" t="s">
        <v>205</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336</v>
      </c>
      <c r="F2222">
        <v>0</v>
      </c>
      <c r="G2222">
        <v>0</v>
      </c>
      <c r="H2222" t="s">
        <v>8</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336</v>
      </c>
      <c r="F2223">
        <v>20000</v>
      </c>
      <c r="G2223">
        <v>0</v>
      </c>
      <c r="H2223" t="s">
        <v>205</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336</v>
      </c>
      <c r="F2224">
        <v>13000</v>
      </c>
      <c r="G2224">
        <v>0</v>
      </c>
      <c r="H2224" t="s">
        <v>205</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336</v>
      </c>
      <c r="F2225">
        <v>17000</v>
      </c>
      <c r="G2225">
        <v>0</v>
      </c>
      <c r="H2225" t="s">
        <v>205</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336</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336</v>
      </c>
      <c r="F2227">
        <v>0</v>
      </c>
      <c r="G2227">
        <v>0</v>
      </c>
      <c r="H2227" t="s">
        <v>8</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336</v>
      </c>
      <c r="F2228">
        <v>12000</v>
      </c>
      <c r="G2228">
        <v>0</v>
      </c>
      <c r="H2228" t="s">
        <v>205</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336</v>
      </c>
      <c r="F2229">
        <v>45000</v>
      </c>
      <c r="G2229">
        <v>0</v>
      </c>
      <c r="H2229" t="s">
        <v>205</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336</v>
      </c>
      <c r="F2230">
        <v>40000</v>
      </c>
      <c r="G2230">
        <v>0</v>
      </c>
      <c r="H2230" t="s">
        <v>205</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336</v>
      </c>
      <c r="F2231">
        <v>0</v>
      </c>
      <c r="G2231">
        <v>0</v>
      </c>
      <c r="H2231" t="s">
        <v>8</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336</v>
      </c>
      <c r="F2232">
        <v>22000</v>
      </c>
      <c r="G2232">
        <v>0</v>
      </c>
      <c r="H2232" t="s">
        <v>205</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393</v>
      </c>
      <c r="F2233">
        <v>0</v>
      </c>
      <c r="G2233">
        <v>8000</v>
      </c>
      <c r="H2233" t="s">
        <v>205</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393</v>
      </c>
      <c r="F2234">
        <v>0</v>
      </c>
      <c r="G2234">
        <v>0</v>
      </c>
      <c r="H2234" t="s">
        <v>8</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393</v>
      </c>
      <c r="F2235">
        <v>0</v>
      </c>
      <c r="G2235">
        <v>16000</v>
      </c>
      <c r="H2235" t="s">
        <v>205</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393</v>
      </c>
      <c r="F2236">
        <v>0</v>
      </c>
      <c r="G2236">
        <v>8000</v>
      </c>
      <c r="H2236" t="s">
        <v>205</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393</v>
      </c>
      <c r="F2237">
        <v>0</v>
      </c>
      <c r="G2237">
        <v>0</v>
      </c>
      <c r="H2237" t="s">
        <v>8</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393</v>
      </c>
      <c r="F2238">
        <v>0</v>
      </c>
      <c r="G2238">
        <v>8000</v>
      </c>
      <c r="H2238" t="s">
        <v>205</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393</v>
      </c>
      <c r="F2239">
        <v>0</v>
      </c>
      <c r="G2239">
        <v>4000</v>
      </c>
      <c r="H2239" t="s">
        <v>205</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393</v>
      </c>
      <c r="F2240">
        <v>0</v>
      </c>
      <c r="G2240">
        <v>8000</v>
      </c>
      <c r="H2240" t="s">
        <v>205</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393</v>
      </c>
      <c r="F2241">
        <v>0</v>
      </c>
      <c r="G2241">
        <v>8000</v>
      </c>
      <c r="H2241" t="s">
        <v>205</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393</v>
      </c>
      <c r="F2242">
        <v>0</v>
      </c>
      <c r="G2242">
        <v>0</v>
      </c>
      <c r="H2242" t="s">
        <v>8</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393</v>
      </c>
      <c r="F2243">
        <v>0</v>
      </c>
      <c r="G2243">
        <v>8000</v>
      </c>
      <c r="H2243" t="s">
        <v>205</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393</v>
      </c>
      <c r="F2244">
        <v>0</v>
      </c>
      <c r="G2244">
        <v>0</v>
      </c>
      <c r="H2244" t="s">
        <v>8</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338</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338</v>
      </c>
      <c r="F2246">
        <v>0</v>
      </c>
      <c r="G2246">
        <v>0</v>
      </c>
      <c r="H2246" t="s">
        <v>8</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338</v>
      </c>
      <c r="F2247">
        <v>16000</v>
      </c>
      <c r="G2247">
        <v>0</v>
      </c>
      <c r="H2247" t="s">
        <v>205</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338</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338</v>
      </c>
      <c r="F2249">
        <v>0</v>
      </c>
      <c r="G2249">
        <v>30000</v>
      </c>
      <c r="H2249" t="s">
        <v>205</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338</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338</v>
      </c>
      <c r="F2251">
        <v>0</v>
      </c>
      <c r="G2251">
        <v>0</v>
      </c>
      <c r="H2251" t="s">
        <v>8</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338</v>
      </c>
      <c r="F2252">
        <v>0</v>
      </c>
      <c r="G2252">
        <v>5000</v>
      </c>
      <c r="H2252" t="s">
        <v>205</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338</v>
      </c>
      <c r="F2253">
        <v>0</v>
      </c>
      <c r="G2253">
        <v>5000</v>
      </c>
      <c r="H2253" t="s">
        <v>205</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338</v>
      </c>
      <c r="F2254">
        <v>4000</v>
      </c>
      <c r="G2254">
        <v>8000</v>
      </c>
      <c r="H2254" t="s">
        <v>205</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338</v>
      </c>
      <c r="F2255">
        <v>0</v>
      </c>
      <c r="G2255">
        <v>0</v>
      </c>
      <c r="H2255" t="s">
        <v>8</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338</v>
      </c>
      <c r="F2256">
        <v>0</v>
      </c>
      <c r="G2256">
        <v>30000</v>
      </c>
      <c r="H2256" t="s">
        <v>205</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338</v>
      </c>
      <c r="F2257">
        <v>0</v>
      </c>
      <c r="G2257">
        <v>6000</v>
      </c>
      <c r="H2257" t="s">
        <v>205</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338</v>
      </c>
      <c r="F2258">
        <v>0</v>
      </c>
      <c r="G2258">
        <v>30000</v>
      </c>
      <c r="H2258" t="s">
        <v>205</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338</v>
      </c>
      <c r="F2259">
        <v>8000</v>
      </c>
      <c r="G2259">
        <v>0</v>
      </c>
      <c r="H2259" t="s">
        <v>205</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338</v>
      </c>
      <c r="F2260">
        <v>2000</v>
      </c>
      <c r="G2260">
        <v>0</v>
      </c>
      <c r="H2260" t="s">
        <v>205</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338</v>
      </c>
      <c r="F2261">
        <v>16000</v>
      </c>
      <c r="G2261">
        <v>0</v>
      </c>
      <c r="H2261" t="s">
        <v>205</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338</v>
      </c>
      <c r="F2262">
        <v>0</v>
      </c>
      <c r="G2262">
        <v>0</v>
      </c>
      <c r="H2262" t="s">
        <v>8</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338</v>
      </c>
      <c r="F2263">
        <v>0</v>
      </c>
      <c r="G2263">
        <v>0</v>
      </c>
      <c r="H2263" t="s">
        <v>8</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338</v>
      </c>
      <c r="F2264">
        <v>0</v>
      </c>
      <c r="G2264">
        <v>0</v>
      </c>
      <c r="H2264" t="s">
        <v>8</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338</v>
      </c>
      <c r="F2265">
        <v>0</v>
      </c>
      <c r="G2265">
        <v>0</v>
      </c>
      <c r="H2265" t="s">
        <v>8</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338</v>
      </c>
      <c r="F2266">
        <v>0</v>
      </c>
      <c r="G2266">
        <v>0</v>
      </c>
      <c r="H2266" t="s">
        <v>8</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338</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338</v>
      </c>
      <c r="F2268">
        <v>0</v>
      </c>
      <c r="G2268">
        <v>22000</v>
      </c>
      <c r="H2268" t="s">
        <v>205</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338</v>
      </c>
      <c r="F2269">
        <v>0</v>
      </c>
      <c r="G2269">
        <v>27000</v>
      </c>
      <c r="H2269" t="s">
        <v>205</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338</v>
      </c>
      <c r="F2270">
        <v>0</v>
      </c>
      <c r="G2270">
        <v>22000</v>
      </c>
      <c r="H2270" t="s">
        <v>205</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338</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338</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338</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338</v>
      </c>
      <c r="F2274">
        <v>0</v>
      </c>
      <c r="G2274">
        <v>17000</v>
      </c>
      <c r="H2274" t="s">
        <v>205</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338</v>
      </c>
      <c r="F2275">
        <v>0</v>
      </c>
      <c r="G2275">
        <v>180</v>
      </c>
      <c r="H2275" t="s">
        <v>4439</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338</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338</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338</v>
      </c>
      <c r="F2278">
        <v>0</v>
      </c>
      <c r="G2278">
        <v>12000</v>
      </c>
      <c r="H2278" t="s">
        <v>205</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340</v>
      </c>
      <c r="F2279">
        <v>0</v>
      </c>
      <c r="G2279">
        <v>17000</v>
      </c>
      <c r="H2279" t="s">
        <v>205</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340</v>
      </c>
      <c r="F2280">
        <v>0</v>
      </c>
      <c r="G2280">
        <v>1600</v>
      </c>
      <c r="H2280" t="s">
        <v>205</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340</v>
      </c>
      <c r="F2281">
        <v>0</v>
      </c>
      <c r="G2281">
        <v>8000</v>
      </c>
      <c r="H2281" t="s">
        <v>205</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340</v>
      </c>
      <c r="F2282">
        <v>0</v>
      </c>
      <c r="G2282">
        <v>3000</v>
      </c>
      <c r="H2282" t="s">
        <v>205</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340</v>
      </c>
      <c r="F2283">
        <v>0</v>
      </c>
      <c r="G2283">
        <v>0</v>
      </c>
      <c r="H2283" t="s">
        <v>8</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340</v>
      </c>
      <c r="F2284">
        <v>0</v>
      </c>
      <c r="G2284">
        <v>1600</v>
      </c>
      <c r="H2284" t="s">
        <v>205</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340</v>
      </c>
      <c r="F2285">
        <v>0</v>
      </c>
      <c r="G2285">
        <v>0</v>
      </c>
      <c r="H2285" t="s">
        <v>8</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340</v>
      </c>
      <c r="F2286">
        <v>0</v>
      </c>
      <c r="G2286">
        <v>0</v>
      </c>
      <c r="H2286" t="s">
        <v>8</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340</v>
      </c>
      <c r="F2287">
        <v>0</v>
      </c>
      <c r="G2287">
        <v>0</v>
      </c>
      <c r="H2287" t="s">
        <v>8</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340</v>
      </c>
      <c r="F2288">
        <v>0</v>
      </c>
      <c r="G2288">
        <v>0</v>
      </c>
      <c r="H2288" t="s">
        <v>8</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340</v>
      </c>
      <c r="F2289">
        <v>0</v>
      </c>
      <c r="G2289">
        <v>0</v>
      </c>
      <c r="H2289" t="s">
        <v>8</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340</v>
      </c>
      <c r="F2290">
        <v>0</v>
      </c>
      <c r="G2290">
        <v>3000</v>
      </c>
      <c r="H2290" t="s">
        <v>205</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340</v>
      </c>
      <c r="F2291">
        <v>0</v>
      </c>
      <c r="G2291">
        <v>1600</v>
      </c>
      <c r="H2291" t="s">
        <v>205</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340</v>
      </c>
      <c r="F2292">
        <v>0</v>
      </c>
      <c r="G2292">
        <v>4000</v>
      </c>
      <c r="H2292" t="s">
        <v>205</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340</v>
      </c>
      <c r="F2293">
        <v>0</v>
      </c>
      <c r="G2293">
        <v>0</v>
      </c>
      <c r="H2293" t="s">
        <v>8</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342</v>
      </c>
      <c r="F2294">
        <v>0</v>
      </c>
      <c r="G2294">
        <v>7000</v>
      </c>
      <c r="H2294" t="s">
        <v>205</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342</v>
      </c>
      <c r="F2295">
        <v>0</v>
      </c>
      <c r="G2295">
        <v>7000</v>
      </c>
      <c r="H2295" t="s">
        <v>205</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342</v>
      </c>
      <c r="F2296">
        <v>16000</v>
      </c>
      <c r="G2296">
        <v>0</v>
      </c>
      <c r="H2296" t="s">
        <v>205</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344</v>
      </c>
      <c r="F2297">
        <v>8000</v>
      </c>
      <c r="G2297">
        <v>0</v>
      </c>
      <c r="H2297" t="s">
        <v>205</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344</v>
      </c>
      <c r="F2298">
        <v>0</v>
      </c>
      <c r="G2298">
        <v>8000</v>
      </c>
      <c r="H2298" t="s">
        <v>205</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423</v>
      </c>
      <c r="F2299">
        <v>0</v>
      </c>
      <c r="G2299">
        <v>0</v>
      </c>
      <c r="H2299" t="s">
        <v>8</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423</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423</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2756</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463</v>
      </c>
      <c r="F2303">
        <v>0</v>
      </c>
      <c r="G2303">
        <v>30000</v>
      </c>
      <c r="H2303" t="s">
        <v>205</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463</v>
      </c>
      <c r="F2304">
        <v>0</v>
      </c>
      <c r="G2304">
        <v>0</v>
      </c>
      <c r="H2304" t="s">
        <v>8</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465</v>
      </c>
      <c r="F2305">
        <v>0</v>
      </c>
      <c r="G2305">
        <v>4000</v>
      </c>
      <c r="H2305" t="s">
        <v>205</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465</v>
      </c>
      <c r="F2306">
        <v>0</v>
      </c>
      <c r="G2306">
        <v>3500</v>
      </c>
      <c r="H2306" t="s">
        <v>205</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465</v>
      </c>
      <c r="F2307">
        <v>0</v>
      </c>
      <c r="G2307">
        <v>180</v>
      </c>
      <c r="H2307" t="s">
        <v>4439</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465</v>
      </c>
      <c r="F2308">
        <v>0</v>
      </c>
      <c r="G2308">
        <v>2600</v>
      </c>
      <c r="H2308" t="s">
        <v>205</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465</v>
      </c>
      <c r="F2309">
        <v>0</v>
      </c>
      <c r="G2309">
        <v>0</v>
      </c>
      <c r="H2309" t="s">
        <v>8</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465</v>
      </c>
      <c r="F2310">
        <v>0</v>
      </c>
      <c r="G2310">
        <v>180</v>
      </c>
      <c r="H2310" t="s">
        <v>4439</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465</v>
      </c>
      <c r="F2311">
        <v>0</v>
      </c>
      <c r="G2311">
        <v>2500</v>
      </c>
      <c r="H2311" t="s">
        <v>205</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465</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465</v>
      </c>
      <c r="F2313">
        <v>0</v>
      </c>
      <c r="G2313">
        <v>2600</v>
      </c>
      <c r="H2313" t="s">
        <v>205</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465</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465</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465</v>
      </c>
      <c r="F2316">
        <v>0</v>
      </c>
      <c r="G2316">
        <v>3000</v>
      </c>
      <c r="H2316" t="s">
        <v>205</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465</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548</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548</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548</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548</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548</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548</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548</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548</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548</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548</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548</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548</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548</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548</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548</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548</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548</v>
      </c>
      <c r="F2334">
        <v>28000</v>
      </c>
      <c r="G2334">
        <v>0</v>
      </c>
      <c r="H2334" t="s">
        <v>205</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548</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548</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548</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548</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548</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548</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548</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548</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548</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548</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548</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548</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548</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548</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548</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548</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548</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548</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548</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548</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548</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548</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548</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548</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548</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548</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548</v>
      </c>
      <c r="F2361">
        <v>0</v>
      </c>
      <c r="G2361">
        <v>0</v>
      </c>
      <c r="H2361" t="s">
        <v>8</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548</v>
      </c>
      <c r="F2362">
        <v>0</v>
      </c>
      <c r="G2362">
        <v>0</v>
      </c>
      <c r="H2362" t="s">
        <v>8</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346</v>
      </c>
      <c r="F2363">
        <v>0</v>
      </c>
      <c r="G2363">
        <v>0</v>
      </c>
      <c r="H2363" t="s">
        <v>8</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346</v>
      </c>
      <c r="F2364">
        <v>17000</v>
      </c>
      <c r="G2364">
        <v>0</v>
      </c>
      <c r="H2364" t="s">
        <v>205</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346</v>
      </c>
      <c r="F2365">
        <v>20200</v>
      </c>
      <c r="G2365">
        <v>0</v>
      </c>
      <c r="H2365" t="s">
        <v>205</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346</v>
      </c>
      <c r="F2366">
        <v>0</v>
      </c>
      <c r="G2366">
        <v>0</v>
      </c>
      <c r="H2366" t="s">
        <v>8</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346</v>
      </c>
      <c r="F2367">
        <v>19000</v>
      </c>
      <c r="G2367">
        <v>0</v>
      </c>
      <c r="H2367" t="s">
        <v>205</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346</v>
      </c>
      <c r="F2368">
        <v>40000</v>
      </c>
      <c r="G2368">
        <v>0</v>
      </c>
      <c r="H2368" t="s">
        <v>205</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346</v>
      </c>
      <c r="F2369">
        <v>12000</v>
      </c>
      <c r="G2369">
        <v>0</v>
      </c>
      <c r="H2369" t="s">
        <v>205</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346</v>
      </c>
      <c r="F2370">
        <v>10000</v>
      </c>
      <c r="G2370">
        <v>25000</v>
      </c>
      <c r="H2370" t="s">
        <v>205</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346</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346</v>
      </c>
      <c r="F2372">
        <v>0</v>
      </c>
      <c r="G2372">
        <v>15000</v>
      </c>
      <c r="H2372" t="s">
        <v>205</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346</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346</v>
      </c>
      <c r="F2374">
        <v>35000</v>
      </c>
      <c r="G2374">
        <v>0</v>
      </c>
      <c r="H2374" t="s">
        <v>205</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346</v>
      </c>
      <c r="F2375">
        <v>0</v>
      </c>
      <c r="G2375">
        <v>0</v>
      </c>
      <c r="H2375" t="s">
        <v>8</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346</v>
      </c>
      <c r="F2376">
        <v>40000</v>
      </c>
      <c r="G2376">
        <v>0</v>
      </c>
      <c r="H2376" t="s">
        <v>205</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346</v>
      </c>
      <c r="F2377">
        <v>0</v>
      </c>
      <c r="G2377">
        <v>0</v>
      </c>
      <c r="H2377" t="s">
        <v>8</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346</v>
      </c>
      <c r="F2378">
        <v>20000</v>
      </c>
      <c r="G2378">
        <v>0</v>
      </c>
      <c r="H2378" t="s">
        <v>205</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346</v>
      </c>
      <c r="F2379">
        <v>25000</v>
      </c>
      <c r="G2379">
        <v>0</v>
      </c>
      <c r="H2379" t="s">
        <v>205</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346</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346</v>
      </c>
      <c r="F2381">
        <v>28000</v>
      </c>
      <c r="G2381">
        <v>0</v>
      </c>
      <c r="H2381" t="s">
        <v>205</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346</v>
      </c>
      <c r="F2382">
        <v>15000</v>
      </c>
      <c r="G2382">
        <v>0</v>
      </c>
      <c r="H2382" t="s">
        <v>205</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394</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394</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394</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394</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394</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394</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394</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394</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394</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394</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394</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394</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394</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394</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394</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394</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394</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394</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394</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394</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394</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394</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394</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394</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394</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394</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394</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394</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394</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394</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394</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394</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394</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394</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394</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394</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394</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394</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394</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394</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394</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394</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394</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394</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394</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394</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394</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394</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394</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394</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394</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394</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394</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394</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394</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394</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394</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394</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394</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394</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394</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394</v>
      </c>
      <c r="F2444">
        <v>7000</v>
      </c>
      <c r="G2444">
        <v>0</v>
      </c>
      <c r="H2444" t="s">
        <v>205</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394</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394</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394</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394</v>
      </c>
      <c r="F2448">
        <v>0</v>
      </c>
      <c r="G2448">
        <v>0</v>
      </c>
      <c r="H2448" t="s">
        <v>8</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394</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394</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394</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394</v>
      </c>
      <c r="F2452">
        <v>6000</v>
      </c>
      <c r="G2452">
        <v>0</v>
      </c>
      <c r="H2452" t="s">
        <v>205</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394</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394</v>
      </c>
      <c r="F2454">
        <v>5000</v>
      </c>
      <c r="G2454">
        <v>0</v>
      </c>
      <c r="H2454" t="s">
        <v>205</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394</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394</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394</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394</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394</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394</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394</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347</v>
      </c>
      <c r="F2462">
        <v>0</v>
      </c>
      <c r="G2462">
        <v>7000</v>
      </c>
      <c r="H2462" t="s">
        <v>205</v>
      </c>
      <c r="I2462" s="75"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347</v>
      </c>
      <c r="F2463">
        <v>0</v>
      </c>
      <c r="G2463">
        <v>0</v>
      </c>
      <c r="H2463" t="s">
        <v>8</v>
      </c>
      <c r="I2463" s="75"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347</v>
      </c>
      <c r="F2464">
        <v>0</v>
      </c>
      <c r="G2464">
        <v>0</v>
      </c>
      <c r="H2464" t="s">
        <v>8</v>
      </c>
      <c r="I2464" s="75"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347</v>
      </c>
      <c r="F2465">
        <v>0</v>
      </c>
      <c r="G2465">
        <v>0</v>
      </c>
      <c r="H2465" t="s">
        <v>8</v>
      </c>
      <c r="I2465" s="7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351</v>
      </c>
      <c r="F2466">
        <v>0</v>
      </c>
      <c r="G2466">
        <v>0</v>
      </c>
      <c r="H2466" t="s">
        <v>8</v>
      </c>
      <c r="I2466"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6 X8:X998 X1000:X2002 AN8:AN1122">
    <cfRule type="expression" dxfId="3" priority="3">
      <formula>AND(AND(F8=0,G8=0),H8="XP")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595</v>
      </c>
    </row>
    <row r="5" spans="6:13" x14ac:dyDescent="0.25">
      <c r="F5" s="1" t="s">
        <v>772</v>
      </c>
      <c r="I5" s="1" t="s">
        <v>773</v>
      </c>
      <c r="L5" s="1" t="s">
        <v>1650</v>
      </c>
    </row>
    <row r="6" spans="6:13" x14ac:dyDescent="0.25">
      <c r="F6" t="s">
        <v>594</v>
      </c>
      <c r="G6" t="s">
        <v>596</v>
      </c>
      <c r="I6" t="s">
        <v>594</v>
      </c>
      <c r="J6" t="s">
        <v>596</v>
      </c>
      <c r="L6" t="s">
        <v>594</v>
      </c>
      <c r="M6" t="s">
        <v>596</v>
      </c>
    </row>
    <row r="7" spans="6:13" x14ac:dyDescent="0.25">
      <c r="F7" t="s">
        <v>3892</v>
      </c>
      <c r="G7" t="s">
        <v>4398</v>
      </c>
      <c r="I7" t="s">
        <v>123</v>
      </c>
      <c r="J7" t="s">
        <v>1190</v>
      </c>
      <c r="L7" t="s">
        <v>3892</v>
      </c>
      <c r="M7" t="s">
        <v>6911</v>
      </c>
    </row>
    <row r="8" spans="6:13" x14ac:dyDescent="0.25">
      <c r="F8" t="s">
        <v>4519</v>
      </c>
      <c r="G8" t="s">
        <v>4520</v>
      </c>
      <c r="I8" t="s">
        <v>313</v>
      </c>
      <c r="J8" t="s">
        <v>1288</v>
      </c>
      <c r="L8" t="s">
        <v>3892</v>
      </c>
      <c r="M8" t="s">
        <v>6911</v>
      </c>
    </row>
    <row r="9" spans="6:13" x14ac:dyDescent="0.25">
      <c r="F9" t="s">
        <v>4523</v>
      </c>
      <c r="G9" t="s">
        <v>4877</v>
      </c>
      <c r="I9" t="s">
        <v>6520</v>
      </c>
      <c r="J9" t="s">
        <v>1457</v>
      </c>
      <c r="L9" t="s">
        <v>3892</v>
      </c>
      <c r="M9" t="s">
        <v>6911</v>
      </c>
    </row>
    <row r="10" spans="6:13" x14ac:dyDescent="0.25">
      <c r="F10" t="s">
        <v>4660</v>
      </c>
      <c r="G10" t="s">
        <v>4661</v>
      </c>
      <c r="I10" t="s">
        <v>313</v>
      </c>
      <c r="J10" t="s">
        <v>1048</v>
      </c>
      <c r="L10" t="s">
        <v>3892</v>
      </c>
      <c r="M10" t="s">
        <v>6911</v>
      </c>
    </row>
    <row r="11" spans="6:13" x14ac:dyDescent="0.25">
      <c r="F11" t="s">
        <v>4734</v>
      </c>
      <c r="G11" t="s">
        <v>3504</v>
      </c>
      <c r="I11" t="s">
        <v>95</v>
      </c>
      <c r="J11" t="s">
        <v>6408</v>
      </c>
      <c r="L11" t="s">
        <v>3892</v>
      </c>
      <c r="M11" t="s">
        <v>6911</v>
      </c>
    </row>
    <row r="12" spans="6:13" x14ac:dyDescent="0.25">
      <c r="F12" t="s">
        <v>122</v>
      </c>
      <c r="G12" t="s">
        <v>677</v>
      </c>
      <c r="I12" t="s">
        <v>278</v>
      </c>
      <c r="J12" t="s">
        <v>1549</v>
      </c>
      <c r="L12" t="s">
        <v>3892</v>
      </c>
      <c r="M12" t="s">
        <v>6911</v>
      </c>
    </row>
    <row r="13" spans="6:13" x14ac:dyDescent="0.25">
      <c r="F13" t="s">
        <v>2748</v>
      </c>
      <c r="G13" t="s">
        <v>3323</v>
      </c>
      <c r="I13" t="s">
        <v>6147</v>
      </c>
      <c r="J13" t="s">
        <v>1252</v>
      </c>
      <c r="L13" t="s">
        <v>3892</v>
      </c>
      <c r="M13" t="s">
        <v>6911</v>
      </c>
    </row>
    <row r="14" spans="6:13" x14ac:dyDescent="0.25">
      <c r="F14" t="s">
        <v>2748</v>
      </c>
      <c r="G14" t="s">
        <v>3327</v>
      </c>
      <c r="I14" t="s">
        <v>6561</v>
      </c>
      <c r="J14" t="s">
        <v>1486</v>
      </c>
      <c r="L14" t="s">
        <v>3892</v>
      </c>
      <c r="M14" t="s">
        <v>6911</v>
      </c>
    </row>
    <row r="15" spans="6:13" x14ac:dyDescent="0.25">
      <c r="F15" t="s">
        <v>2669</v>
      </c>
      <c r="G15" t="s">
        <v>3577</v>
      </c>
      <c r="I15" t="s">
        <v>256</v>
      </c>
      <c r="J15" t="s">
        <v>1090</v>
      </c>
      <c r="L15" t="s">
        <v>4165</v>
      </c>
      <c r="M15" t="s">
        <v>7196</v>
      </c>
    </row>
    <row r="16" spans="6:13" x14ac:dyDescent="0.25">
      <c r="F16" t="s">
        <v>2677</v>
      </c>
      <c r="G16" t="s">
        <v>3516</v>
      </c>
      <c r="I16" t="s">
        <v>6457</v>
      </c>
      <c r="J16" t="s">
        <v>1416</v>
      </c>
      <c r="L16" t="s">
        <v>37</v>
      </c>
      <c r="M16" t="s">
        <v>7004</v>
      </c>
    </row>
    <row r="17" spans="6:13" x14ac:dyDescent="0.25">
      <c r="F17" t="s">
        <v>5031</v>
      </c>
      <c r="G17" t="s">
        <v>4770</v>
      </c>
      <c r="I17" t="s">
        <v>548</v>
      </c>
      <c r="J17" t="s">
        <v>6873</v>
      </c>
      <c r="L17" t="s">
        <v>459</v>
      </c>
      <c r="M17" t="s">
        <v>2088</v>
      </c>
    </row>
    <row r="18" spans="6:13" x14ac:dyDescent="0.25">
      <c r="F18" t="s">
        <v>5139</v>
      </c>
      <c r="G18" t="s">
        <v>4770</v>
      </c>
      <c r="I18" t="s">
        <v>5273</v>
      </c>
      <c r="J18" t="s">
        <v>6249</v>
      </c>
      <c r="L18" t="s">
        <v>7622</v>
      </c>
      <c r="M18" t="s">
        <v>2112</v>
      </c>
    </row>
    <row r="19" spans="6:13" x14ac:dyDescent="0.25">
      <c r="F19" t="s">
        <v>256</v>
      </c>
      <c r="G19" t="s">
        <v>4986</v>
      </c>
      <c r="I19" t="s">
        <v>280</v>
      </c>
      <c r="J19" t="s">
        <v>2876</v>
      </c>
      <c r="L19" t="s">
        <v>459</v>
      </c>
      <c r="M19" t="s">
        <v>1742</v>
      </c>
    </row>
    <row r="20" spans="6:13" x14ac:dyDescent="0.25">
      <c r="F20" t="s">
        <v>36</v>
      </c>
      <c r="G20" t="s">
        <v>4688</v>
      </c>
      <c r="I20" t="s">
        <v>2748</v>
      </c>
      <c r="J20" t="s">
        <v>2960</v>
      </c>
      <c r="L20" t="s">
        <v>22</v>
      </c>
      <c r="M20" t="s">
        <v>1798</v>
      </c>
    </row>
    <row r="21" spans="6:13" x14ac:dyDescent="0.25">
      <c r="F21" t="s">
        <v>2670</v>
      </c>
      <c r="G21" t="s">
        <v>3805</v>
      </c>
      <c r="I21" t="s">
        <v>2748</v>
      </c>
      <c r="J21" t="s">
        <v>2779</v>
      </c>
      <c r="L21" t="s">
        <v>7523</v>
      </c>
      <c r="M21" t="s">
        <v>7524</v>
      </c>
    </row>
    <row r="22" spans="6:13" x14ac:dyDescent="0.25">
      <c r="F22" t="s">
        <v>4615</v>
      </c>
      <c r="G22" t="s">
        <v>4616</v>
      </c>
      <c r="I22" t="s">
        <v>276</v>
      </c>
      <c r="J22" t="s">
        <v>5607</v>
      </c>
      <c r="L22" t="s">
        <v>459</v>
      </c>
      <c r="M22" t="s">
        <v>7444</v>
      </c>
    </row>
    <row r="23" spans="6:13" x14ac:dyDescent="0.25">
      <c r="F23" t="s">
        <v>4322</v>
      </c>
      <c r="G23" t="s">
        <v>4374</v>
      </c>
      <c r="I23" t="s">
        <v>2748</v>
      </c>
      <c r="J23" t="s">
        <v>3990</v>
      </c>
      <c r="L23" t="s">
        <v>41</v>
      </c>
      <c r="M23" t="s">
        <v>2011</v>
      </c>
    </row>
    <row r="24" spans="6:13" x14ac:dyDescent="0.25">
      <c r="F24" t="s">
        <v>4956</v>
      </c>
      <c r="G24" t="s">
        <v>4957</v>
      </c>
      <c r="I24" t="s">
        <v>2748</v>
      </c>
      <c r="J24" t="s">
        <v>4116</v>
      </c>
      <c r="L24" t="s">
        <v>7786</v>
      </c>
      <c r="M24" t="s">
        <v>2237</v>
      </c>
    </row>
    <row r="25" spans="6:13" x14ac:dyDescent="0.25">
      <c r="F25" t="s">
        <v>4956</v>
      </c>
      <c r="G25" t="s">
        <v>5007</v>
      </c>
      <c r="I25" t="s">
        <v>3924</v>
      </c>
      <c r="J25" t="s">
        <v>3939</v>
      </c>
      <c r="L25" t="s">
        <v>7104</v>
      </c>
      <c r="M25" t="s">
        <v>1786</v>
      </c>
    </row>
    <row r="26" spans="6:13" x14ac:dyDescent="0.25">
      <c r="F26" t="s">
        <v>4678</v>
      </c>
      <c r="G26" t="s">
        <v>4679</v>
      </c>
      <c r="I26" t="s">
        <v>553</v>
      </c>
      <c r="J26" t="s">
        <v>6542</v>
      </c>
      <c r="L26" t="s">
        <v>7024</v>
      </c>
      <c r="M26" t="s">
        <v>7323</v>
      </c>
    </row>
    <row r="27" spans="6:13" x14ac:dyDescent="0.25">
      <c r="F27" t="s">
        <v>4523</v>
      </c>
      <c r="G27" t="s">
        <v>4927</v>
      </c>
      <c r="I27" t="s">
        <v>254</v>
      </c>
      <c r="J27" t="s">
        <v>6754</v>
      </c>
      <c r="L27" t="s">
        <v>7489</v>
      </c>
      <c r="M27" t="s">
        <v>2009</v>
      </c>
    </row>
    <row r="28" spans="6:13" x14ac:dyDescent="0.25">
      <c r="F28" t="s">
        <v>4624</v>
      </c>
      <c r="G28" t="s">
        <v>3679</v>
      </c>
      <c r="I28" t="s">
        <v>2743</v>
      </c>
      <c r="J28" t="s">
        <v>4019</v>
      </c>
      <c r="L28" t="s">
        <v>313</v>
      </c>
      <c r="M28" t="s">
        <v>2350</v>
      </c>
    </row>
    <row r="29" spans="6:13" x14ac:dyDescent="0.25">
      <c r="F29" t="s">
        <v>2752</v>
      </c>
      <c r="G29" t="s">
        <v>763</v>
      </c>
      <c r="I29" t="s">
        <v>6668</v>
      </c>
      <c r="J29" t="s">
        <v>6669</v>
      </c>
      <c r="L29" t="s">
        <v>37</v>
      </c>
      <c r="M29" t="s">
        <v>1847</v>
      </c>
    </row>
    <row r="30" spans="6:13" x14ac:dyDescent="0.25">
      <c r="F30" t="s">
        <v>5034</v>
      </c>
      <c r="G30" t="s">
        <v>3281</v>
      </c>
      <c r="I30" t="s">
        <v>313</v>
      </c>
      <c r="J30" t="s">
        <v>1434</v>
      </c>
      <c r="L30" t="s">
        <v>7697</v>
      </c>
      <c r="M30" t="s">
        <v>2170</v>
      </c>
    </row>
    <row r="31" spans="6:13" x14ac:dyDescent="0.25">
      <c r="F31" t="s">
        <v>5085</v>
      </c>
      <c r="G31" t="s">
        <v>3495</v>
      </c>
      <c r="I31" t="s">
        <v>295</v>
      </c>
      <c r="J31" t="s">
        <v>6845</v>
      </c>
      <c r="L31" t="s">
        <v>4154</v>
      </c>
      <c r="M31" t="s">
        <v>4283</v>
      </c>
    </row>
    <row r="32" spans="6:13" x14ac:dyDescent="0.25">
      <c r="F32" t="s">
        <v>5125</v>
      </c>
      <c r="G32" t="s">
        <v>3495</v>
      </c>
      <c r="I32" t="s">
        <v>2748</v>
      </c>
      <c r="J32" t="s">
        <v>3002</v>
      </c>
      <c r="L32" t="s">
        <v>4154</v>
      </c>
      <c r="M32" t="s">
        <v>4276</v>
      </c>
    </row>
    <row r="33" spans="6:13" x14ac:dyDescent="0.25">
      <c r="F33" t="s">
        <v>4789</v>
      </c>
      <c r="G33" t="s">
        <v>4790</v>
      </c>
      <c r="I33" t="s">
        <v>2748</v>
      </c>
      <c r="J33" t="s">
        <v>3061</v>
      </c>
      <c r="L33" t="s">
        <v>459</v>
      </c>
      <c r="M33" t="s">
        <v>7566</v>
      </c>
    </row>
    <row r="34" spans="6:13" x14ac:dyDescent="0.25">
      <c r="F34" t="s">
        <v>2677</v>
      </c>
      <c r="G34" t="s">
        <v>3749</v>
      </c>
      <c r="I34" t="s">
        <v>2748</v>
      </c>
      <c r="J34" t="s">
        <v>3014</v>
      </c>
      <c r="L34" t="s">
        <v>459</v>
      </c>
      <c r="M34" t="s">
        <v>1856</v>
      </c>
    </row>
    <row r="35" spans="6:13" x14ac:dyDescent="0.25">
      <c r="F35" t="s">
        <v>4765</v>
      </c>
      <c r="G35" t="s">
        <v>694</v>
      </c>
      <c r="I35" t="s">
        <v>2748</v>
      </c>
      <c r="J35" t="s">
        <v>3043</v>
      </c>
      <c r="L35" t="s">
        <v>313</v>
      </c>
      <c r="M35" t="s">
        <v>2150</v>
      </c>
    </row>
    <row r="36" spans="6:13" x14ac:dyDescent="0.25">
      <c r="F36" t="s">
        <v>2733</v>
      </c>
      <c r="G36" t="s">
        <v>3690</v>
      </c>
      <c r="I36" t="s">
        <v>37</v>
      </c>
      <c r="J36" t="s">
        <v>2543</v>
      </c>
      <c r="L36" t="s">
        <v>462</v>
      </c>
      <c r="M36" t="s">
        <v>1670</v>
      </c>
    </row>
    <row r="37" spans="6:13" x14ac:dyDescent="0.25">
      <c r="F37" t="s">
        <v>2670</v>
      </c>
      <c r="G37" t="s">
        <v>3275</v>
      </c>
      <c r="I37" t="s">
        <v>6817</v>
      </c>
      <c r="J37" t="s">
        <v>6818</v>
      </c>
      <c r="L37" t="s">
        <v>4826</v>
      </c>
      <c r="M37" t="s">
        <v>7261</v>
      </c>
    </row>
    <row r="38" spans="6:13" x14ac:dyDescent="0.25">
      <c r="F38" t="s">
        <v>4438</v>
      </c>
      <c r="G38" t="s">
        <v>4980</v>
      </c>
      <c r="I38" t="s">
        <v>5391</v>
      </c>
      <c r="J38" t="s">
        <v>5746</v>
      </c>
      <c r="L38" t="s">
        <v>459</v>
      </c>
      <c r="M38" t="s">
        <v>6941</v>
      </c>
    </row>
    <row r="39" spans="6:13" x14ac:dyDescent="0.25">
      <c r="F39" t="s">
        <v>2679</v>
      </c>
      <c r="G39" t="s">
        <v>3431</v>
      </c>
      <c r="I39" t="s">
        <v>2359</v>
      </c>
      <c r="J39" t="s">
        <v>6377</v>
      </c>
      <c r="L39" t="s">
        <v>4826</v>
      </c>
      <c r="M39" t="s">
        <v>6888</v>
      </c>
    </row>
    <row r="40" spans="6:13" x14ac:dyDescent="0.25">
      <c r="F40" t="s">
        <v>5108</v>
      </c>
      <c r="G40" t="s">
        <v>4686</v>
      </c>
      <c r="I40" t="s">
        <v>5926</v>
      </c>
      <c r="J40" t="s">
        <v>5927</v>
      </c>
      <c r="L40" t="s">
        <v>289</v>
      </c>
      <c r="M40" t="s">
        <v>7973</v>
      </c>
    </row>
    <row r="41" spans="6:13" x14ac:dyDescent="0.25">
      <c r="F41" t="s">
        <v>2678</v>
      </c>
      <c r="G41" t="s">
        <v>3580</v>
      </c>
      <c r="I41" t="s">
        <v>6721</v>
      </c>
      <c r="J41" t="s">
        <v>6722</v>
      </c>
      <c r="L41" t="s">
        <v>462</v>
      </c>
      <c r="M41" t="s">
        <v>7912</v>
      </c>
    </row>
    <row r="42" spans="6:13" x14ac:dyDescent="0.25">
      <c r="F42" t="s">
        <v>4725</v>
      </c>
      <c r="G42" t="s">
        <v>3500</v>
      </c>
      <c r="I42" t="s">
        <v>6520</v>
      </c>
      <c r="J42" t="s">
        <v>1640</v>
      </c>
      <c r="L42" t="s">
        <v>4183</v>
      </c>
      <c r="M42" t="s">
        <v>4190</v>
      </c>
    </row>
    <row r="43" spans="6:13" x14ac:dyDescent="0.25">
      <c r="F43" t="s">
        <v>95</v>
      </c>
      <c r="G43" t="s">
        <v>4648</v>
      </c>
      <c r="I43" t="s">
        <v>3924</v>
      </c>
      <c r="J43" t="s">
        <v>4142</v>
      </c>
      <c r="L43" t="s">
        <v>3916</v>
      </c>
      <c r="M43" t="s">
        <v>4246</v>
      </c>
    </row>
    <row r="44" spans="6:13" x14ac:dyDescent="0.25">
      <c r="F44" t="s">
        <v>2679</v>
      </c>
      <c r="G44" t="s">
        <v>3487</v>
      </c>
      <c r="I44" t="s">
        <v>276</v>
      </c>
      <c r="J44" t="s">
        <v>1155</v>
      </c>
      <c r="L44" t="s">
        <v>7224</v>
      </c>
      <c r="M44" t="s">
        <v>7225</v>
      </c>
    </row>
    <row r="45" spans="6:13" x14ac:dyDescent="0.25">
      <c r="F45" t="s">
        <v>4523</v>
      </c>
      <c r="G45" t="s">
        <v>4733</v>
      </c>
      <c r="I45" t="s">
        <v>5940</v>
      </c>
      <c r="J45" t="s">
        <v>1137</v>
      </c>
      <c r="L45" t="s">
        <v>7333</v>
      </c>
      <c r="M45" t="s">
        <v>7334</v>
      </c>
    </row>
    <row r="46" spans="6:13" x14ac:dyDescent="0.25">
      <c r="F46" t="s">
        <v>4523</v>
      </c>
      <c r="G46" t="s">
        <v>4689</v>
      </c>
      <c r="I46" t="s">
        <v>3924</v>
      </c>
      <c r="J46" t="s">
        <v>4084</v>
      </c>
      <c r="L46" t="s">
        <v>123</v>
      </c>
      <c r="M46" t="s">
        <v>7554</v>
      </c>
    </row>
    <row r="47" spans="6:13" x14ac:dyDescent="0.25">
      <c r="F47" t="s">
        <v>3861</v>
      </c>
      <c r="G47" t="s">
        <v>4339</v>
      </c>
      <c r="I47" t="s">
        <v>6675</v>
      </c>
      <c r="J47" t="s">
        <v>6676</v>
      </c>
      <c r="L47" t="s">
        <v>122</v>
      </c>
      <c r="M47" t="s">
        <v>1664</v>
      </c>
    </row>
    <row r="48" spans="6:13" x14ac:dyDescent="0.25">
      <c r="F48" t="s">
        <v>5035</v>
      </c>
      <c r="G48" t="s">
        <v>4535</v>
      </c>
      <c r="I48" t="s">
        <v>6139</v>
      </c>
      <c r="J48" t="s">
        <v>6365</v>
      </c>
      <c r="L48" t="s">
        <v>289</v>
      </c>
      <c r="M48" t="s">
        <v>7095</v>
      </c>
    </row>
    <row r="49" spans="6:13" x14ac:dyDescent="0.25">
      <c r="F49" t="s">
        <v>5151</v>
      </c>
      <c r="G49" t="s">
        <v>4535</v>
      </c>
      <c r="I49" t="s">
        <v>2748</v>
      </c>
      <c r="J49" t="s">
        <v>3919</v>
      </c>
      <c r="L49" t="s">
        <v>7060</v>
      </c>
      <c r="M49" t="s">
        <v>3111</v>
      </c>
    </row>
    <row r="50" spans="6:13" x14ac:dyDescent="0.25">
      <c r="F50" t="s">
        <v>4436</v>
      </c>
      <c r="G50" t="s">
        <v>4776</v>
      </c>
      <c r="I50" t="s">
        <v>2748</v>
      </c>
      <c r="J50" t="s">
        <v>4141</v>
      </c>
      <c r="L50" t="s">
        <v>315</v>
      </c>
      <c r="M50" t="s">
        <v>3195</v>
      </c>
    </row>
    <row r="51" spans="6:13" x14ac:dyDescent="0.25">
      <c r="F51" t="s">
        <v>551</v>
      </c>
      <c r="G51" t="s">
        <v>4903</v>
      </c>
      <c r="I51" t="s">
        <v>2748</v>
      </c>
      <c r="J51" t="s">
        <v>4122</v>
      </c>
      <c r="L51" t="s">
        <v>459</v>
      </c>
      <c r="M51" t="s">
        <v>2304</v>
      </c>
    </row>
    <row r="52" spans="6:13" x14ac:dyDescent="0.25">
      <c r="F52" t="s">
        <v>4635</v>
      </c>
      <c r="G52" t="s">
        <v>3398</v>
      </c>
      <c r="I52" t="s">
        <v>2748</v>
      </c>
      <c r="J52" t="s">
        <v>3964</v>
      </c>
      <c r="L52" t="s">
        <v>462</v>
      </c>
      <c r="M52" t="s">
        <v>1907</v>
      </c>
    </row>
    <row r="53" spans="6:13" x14ac:dyDescent="0.25">
      <c r="F53" t="s">
        <v>2677</v>
      </c>
      <c r="G53" t="s">
        <v>3782</v>
      </c>
      <c r="I53" t="s">
        <v>6401</v>
      </c>
      <c r="J53" t="s">
        <v>1608</v>
      </c>
      <c r="L53" t="s">
        <v>7508</v>
      </c>
      <c r="M53" t="s">
        <v>2025</v>
      </c>
    </row>
    <row r="54" spans="6:13" x14ac:dyDescent="0.25">
      <c r="F54" t="s">
        <v>3861</v>
      </c>
      <c r="G54" t="s">
        <v>4424</v>
      </c>
      <c r="I54" t="s">
        <v>5250</v>
      </c>
      <c r="J54" t="s">
        <v>787</v>
      </c>
      <c r="L54" t="s">
        <v>7461</v>
      </c>
      <c r="M54" t="s">
        <v>1988</v>
      </c>
    </row>
    <row r="55" spans="6:13" x14ac:dyDescent="0.25">
      <c r="F55" t="s">
        <v>2674</v>
      </c>
      <c r="G55" t="s">
        <v>3545</v>
      </c>
      <c r="I55" t="s">
        <v>5467</v>
      </c>
      <c r="J55" t="s">
        <v>5685</v>
      </c>
      <c r="L55" t="s">
        <v>315</v>
      </c>
      <c r="M55" t="s">
        <v>3101</v>
      </c>
    </row>
    <row r="56" spans="6:13" x14ac:dyDescent="0.25">
      <c r="F56" t="s">
        <v>5070</v>
      </c>
      <c r="G56" t="s">
        <v>3476</v>
      </c>
      <c r="I56" t="s">
        <v>313</v>
      </c>
      <c r="J56" t="s">
        <v>1500</v>
      </c>
      <c r="L56" t="s">
        <v>4154</v>
      </c>
      <c r="M56" t="s">
        <v>7269</v>
      </c>
    </row>
    <row r="57" spans="6:13" x14ac:dyDescent="0.25">
      <c r="F57" t="s">
        <v>5117</v>
      </c>
      <c r="G57" t="s">
        <v>3476</v>
      </c>
      <c r="I57" t="s">
        <v>338</v>
      </c>
      <c r="J57" t="s">
        <v>1346</v>
      </c>
      <c r="L57" t="s">
        <v>7140</v>
      </c>
      <c r="M57" t="s">
        <v>1809</v>
      </c>
    </row>
    <row r="58" spans="6:13" x14ac:dyDescent="0.25">
      <c r="F58" t="s">
        <v>399</v>
      </c>
      <c r="G58" t="s">
        <v>607</v>
      </c>
      <c r="I58" t="s">
        <v>5358</v>
      </c>
      <c r="J58" t="s">
        <v>1105</v>
      </c>
      <c r="L58" t="s">
        <v>7915</v>
      </c>
      <c r="M58" t="s">
        <v>3263</v>
      </c>
    </row>
    <row r="59" spans="6:13" x14ac:dyDescent="0.25">
      <c r="F59" t="s">
        <v>2681</v>
      </c>
      <c r="G59" t="s">
        <v>3539</v>
      </c>
      <c r="I59" t="s">
        <v>313</v>
      </c>
      <c r="J59" t="s">
        <v>6518</v>
      </c>
      <c r="L59" t="s">
        <v>7532</v>
      </c>
      <c r="M59" t="s">
        <v>2038</v>
      </c>
    </row>
    <row r="60" spans="6:13" x14ac:dyDescent="0.25">
      <c r="F60" t="s">
        <v>5071</v>
      </c>
      <c r="G60" t="s">
        <v>4934</v>
      </c>
      <c r="I60" t="s">
        <v>47</v>
      </c>
      <c r="J60" t="s">
        <v>2520</v>
      </c>
      <c r="L60" t="s">
        <v>7393</v>
      </c>
      <c r="M60" t="s">
        <v>1946</v>
      </c>
    </row>
    <row r="61" spans="6:13" x14ac:dyDescent="0.25">
      <c r="F61" t="s">
        <v>5204</v>
      </c>
      <c r="G61" t="s">
        <v>4934</v>
      </c>
      <c r="I61" t="s">
        <v>254</v>
      </c>
      <c r="J61" t="s">
        <v>5521</v>
      </c>
      <c r="L61" t="s">
        <v>7799</v>
      </c>
      <c r="M61" t="s">
        <v>7800</v>
      </c>
    </row>
    <row r="62" spans="6:13" x14ac:dyDescent="0.25">
      <c r="F62" t="s">
        <v>4741</v>
      </c>
      <c r="G62" t="s">
        <v>3508</v>
      </c>
      <c r="I62" t="s">
        <v>5970</v>
      </c>
      <c r="J62" t="s">
        <v>1150</v>
      </c>
      <c r="L62" t="s">
        <v>459</v>
      </c>
      <c r="M62" t="s">
        <v>7910</v>
      </c>
    </row>
    <row r="63" spans="6:13" x14ac:dyDescent="0.25">
      <c r="F63" t="s">
        <v>4649</v>
      </c>
      <c r="G63" t="s">
        <v>646</v>
      </c>
      <c r="I63" t="s">
        <v>90</v>
      </c>
      <c r="J63" t="s">
        <v>5494</v>
      </c>
      <c r="L63" t="s">
        <v>3861</v>
      </c>
      <c r="M63" t="s">
        <v>4236</v>
      </c>
    </row>
    <row r="64" spans="6:13" x14ac:dyDescent="0.25">
      <c r="F64" t="s">
        <v>4970</v>
      </c>
      <c r="G64" t="s">
        <v>4971</v>
      </c>
      <c r="I64" t="s">
        <v>2748</v>
      </c>
      <c r="J64" t="s">
        <v>3033</v>
      </c>
      <c r="L64" t="s">
        <v>315</v>
      </c>
      <c r="M64" t="s">
        <v>2286</v>
      </c>
    </row>
    <row r="65" spans="6:13" x14ac:dyDescent="0.25">
      <c r="F65" t="s">
        <v>5079</v>
      </c>
      <c r="G65" t="s">
        <v>3381</v>
      </c>
      <c r="I65" t="s">
        <v>2748</v>
      </c>
      <c r="J65" t="s">
        <v>3078</v>
      </c>
      <c r="L65" t="s">
        <v>7781</v>
      </c>
      <c r="M65" t="s">
        <v>2231</v>
      </c>
    </row>
    <row r="66" spans="6:13" x14ac:dyDescent="0.25">
      <c r="F66" t="s">
        <v>2674</v>
      </c>
      <c r="G66" t="s">
        <v>3651</v>
      </c>
      <c r="I66" t="s">
        <v>5795</v>
      </c>
      <c r="J66" t="s">
        <v>5796</v>
      </c>
      <c r="L66" t="s">
        <v>7796</v>
      </c>
      <c r="M66" t="s">
        <v>7797</v>
      </c>
    </row>
    <row r="67" spans="6:13" x14ac:dyDescent="0.25">
      <c r="F67" t="s">
        <v>401</v>
      </c>
      <c r="G67" t="s">
        <v>695</v>
      </c>
      <c r="I67" t="s">
        <v>313</v>
      </c>
      <c r="J67" t="s">
        <v>846</v>
      </c>
      <c r="L67" t="s">
        <v>313</v>
      </c>
      <c r="M67" t="s">
        <v>3176</v>
      </c>
    </row>
    <row r="68" spans="6:13" x14ac:dyDescent="0.25">
      <c r="F68" t="s">
        <v>3861</v>
      </c>
      <c r="G68" t="s">
        <v>4348</v>
      </c>
      <c r="I68" t="s">
        <v>278</v>
      </c>
      <c r="J68" t="s">
        <v>1009</v>
      </c>
      <c r="L68" t="s">
        <v>6920</v>
      </c>
      <c r="M68" t="s">
        <v>3087</v>
      </c>
    </row>
    <row r="69" spans="6:13" x14ac:dyDescent="0.25">
      <c r="F69" t="s">
        <v>5089</v>
      </c>
      <c r="G69" t="s">
        <v>3409</v>
      </c>
      <c r="I69" t="s">
        <v>5496</v>
      </c>
      <c r="J69" t="s">
        <v>1392</v>
      </c>
      <c r="L69" t="s">
        <v>6975</v>
      </c>
      <c r="M69" t="s">
        <v>3097</v>
      </c>
    </row>
    <row r="70" spans="6:13" x14ac:dyDescent="0.25">
      <c r="F70" t="s">
        <v>5153</v>
      </c>
      <c r="G70" t="s">
        <v>3583</v>
      </c>
      <c r="I70" t="s">
        <v>5489</v>
      </c>
      <c r="J70" t="s">
        <v>901</v>
      </c>
      <c r="L70" t="s">
        <v>356</v>
      </c>
      <c r="M70" t="s">
        <v>7052</v>
      </c>
    </row>
    <row r="71" spans="6:13" x14ac:dyDescent="0.25">
      <c r="F71" t="s">
        <v>5207</v>
      </c>
      <c r="G71" t="s">
        <v>3726</v>
      </c>
      <c r="I71" t="s">
        <v>2745</v>
      </c>
      <c r="J71" t="s">
        <v>2860</v>
      </c>
      <c r="L71" t="s">
        <v>6934</v>
      </c>
      <c r="M71" t="s">
        <v>7236</v>
      </c>
    </row>
    <row r="72" spans="6:13" x14ac:dyDescent="0.25">
      <c r="F72" t="s">
        <v>5120</v>
      </c>
      <c r="G72" t="s">
        <v>3483</v>
      </c>
      <c r="I72" t="s">
        <v>5897</v>
      </c>
      <c r="J72" t="s">
        <v>5898</v>
      </c>
      <c r="L72" t="s">
        <v>289</v>
      </c>
      <c r="M72" t="s">
        <v>7743</v>
      </c>
    </row>
    <row r="73" spans="6:13" x14ac:dyDescent="0.25">
      <c r="F73" t="s">
        <v>2674</v>
      </c>
      <c r="G73" t="s">
        <v>3354</v>
      </c>
      <c r="I73" t="s">
        <v>5812</v>
      </c>
      <c r="J73" t="s">
        <v>5813</v>
      </c>
      <c r="L73" t="s">
        <v>6908</v>
      </c>
      <c r="M73" t="s">
        <v>2296</v>
      </c>
    </row>
    <row r="74" spans="6:13" x14ac:dyDescent="0.25">
      <c r="F74" t="s">
        <v>4607</v>
      </c>
      <c r="G74" t="s">
        <v>3790</v>
      </c>
      <c r="I74" t="s">
        <v>5295</v>
      </c>
      <c r="J74" t="s">
        <v>813</v>
      </c>
      <c r="L74" t="s">
        <v>6964</v>
      </c>
      <c r="M74" t="s">
        <v>7064</v>
      </c>
    </row>
    <row r="75" spans="6:13" x14ac:dyDescent="0.25">
      <c r="F75" t="s">
        <v>4658</v>
      </c>
      <c r="G75" t="s">
        <v>3533</v>
      </c>
      <c r="I75" t="s">
        <v>5757</v>
      </c>
      <c r="J75" t="s">
        <v>5758</v>
      </c>
      <c r="L75" t="s">
        <v>37</v>
      </c>
      <c r="M75" t="s">
        <v>1963</v>
      </c>
    </row>
    <row r="76" spans="6:13" x14ac:dyDescent="0.25">
      <c r="F76" t="s">
        <v>484</v>
      </c>
      <c r="G76" t="s">
        <v>4815</v>
      </c>
      <c r="I76" t="s">
        <v>360</v>
      </c>
      <c r="J76" t="s">
        <v>4040</v>
      </c>
      <c r="L76" t="s">
        <v>7756</v>
      </c>
      <c r="M76" t="s">
        <v>2210</v>
      </c>
    </row>
    <row r="77" spans="6:13" x14ac:dyDescent="0.25">
      <c r="F77" t="s">
        <v>5215</v>
      </c>
      <c r="G77" t="s">
        <v>3772</v>
      </c>
      <c r="I77" t="s">
        <v>2733</v>
      </c>
      <c r="J77" t="s">
        <v>2937</v>
      </c>
      <c r="L77" t="s">
        <v>37</v>
      </c>
      <c r="M77" t="s">
        <v>7068</v>
      </c>
    </row>
    <row r="78" spans="6:13" x14ac:dyDescent="0.25">
      <c r="F78" t="s">
        <v>2687</v>
      </c>
      <c r="G78" t="s">
        <v>3318</v>
      </c>
      <c r="I78" t="s">
        <v>2739</v>
      </c>
      <c r="J78" t="s">
        <v>4091</v>
      </c>
      <c r="L78" t="s">
        <v>459</v>
      </c>
      <c r="M78" t="s">
        <v>7638</v>
      </c>
    </row>
    <row r="79" spans="6:13" x14ac:dyDescent="0.25">
      <c r="F79" t="s">
        <v>2684</v>
      </c>
      <c r="G79" t="s">
        <v>3767</v>
      </c>
      <c r="I79" t="s">
        <v>2748</v>
      </c>
      <c r="J79" t="s">
        <v>3068</v>
      </c>
      <c r="L79" t="s">
        <v>7260</v>
      </c>
      <c r="M79" t="s">
        <v>3224</v>
      </c>
    </row>
    <row r="80" spans="6:13" x14ac:dyDescent="0.25">
      <c r="F80" t="s">
        <v>4884</v>
      </c>
      <c r="G80" t="s">
        <v>5185</v>
      </c>
      <c r="I80" t="s">
        <v>2748</v>
      </c>
      <c r="J80" t="s">
        <v>3029</v>
      </c>
      <c r="L80" t="s">
        <v>313</v>
      </c>
      <c r="M80" t="s">
        <v>1997</v>
      </c>
    </row>
    <row r="81" spans="6:13" x14ac:dyDescent="0.25">
      <c r="F81" t="s">
        <v>551</v>
      </c>
      <c r="G81" t="s">
        <v>3509</v>
      </c>
      <c r="I81" t="s">
        <v>4438</v>
      </c>
      <c r="J81" t="s">
        <v>6833</v>
      </c>
      <c r="L81" t="s">
        <v>3167</v>
      </c>
      <c r="M81" t="s">
        <v>3168</v>
      </c>
    </row>
    <row r="82" spans="6:13" x14ac:dyDescent="0.25">
      <c r="F82" t="s">
        <v>2671</v>
      </c>
      <c r="G82" t="s">
        <v>4901</v>
      </c>
      <c r="I82" t="s">
        <v>276</v>
      </c>
      <c r="J82" t="s">
        <v>6746</v>
      </c>
      <c r="L82" t="s">
        <v>392</v>
      </c>
      <c r="M82" t="s">
        <v>3107</v>
      </c>
    </row>
    <row r="83" spans="6:13" x14ac:dyDescent="0.25">
      <c r="F83" t="s">
        <v>4738</v>
      </c>
      <c r="G83" t="s">
        <v>4739</v>
      </c>
      <c r="I83" t="s">
        <v>2730</v>
      </c>
      <c r="J83" t="s">
        <v>4063</v>
      </c>
      <c r="L83" t="s">
        <v>315</v>
      </c>
      <c r="M83" t="s">
        <v>1915</v>
      </c>
    </row>
    <row r="84" spans="6:13" x14ac:dyDescent="0.25">
      <c r="F84" t="s">
        <v>4154</v>
      </c>
      <c r="G84" t="s">
        <v>4358</v>
      </c>
      <c r="I84" t="s">
        <v>311</v>
      </c>
      <c r="J84" t="s">
        <v>803</v>
      </c>
      <c r="L84" t="s">
        <v>313</v>
      </c>
      <c r="M84" t="s">
        <v>1941</v>
      </c>
    </row>
    <row r="85" spans="6:13" x14ac:dyDescent="0.25">
      <c r="F85" t="s">
        <v>4523</v>
      </c>
      <c r="G85" t="s">
        <v>4904</v>
      </c>
      <c r="I85" t="s">
        <v>407</v>
      </c>
      <c r="J85" t="s">
        <v>6160</v>
      </c>
      <c r="L85" t="s">
        <v>4196</v>
      </c>
      <c r="M85" t="s">
        <v>4197</v>
      </c>
    </row>
    <row r="86" spans="6:13" x14ac:dyDescent="0.25">
      <c r="F86" t="s">
        <v>2671</v>
      </c>
      <c r="G86" t="s">
        <v>4521</v>
      </c>
      <c r="I86" t="s">
        <v>280</v>
      </c>
      <c r="J86" t="s">
        <v>2909</v>
      </c>
      <c r="L86" t="s">
        <v>7260</v>
      </c>
      <c r="M86" t="s">
        <v>3147</v>
      </c>
    </row>
    <row r="87" spans="6:13" x14ac:dyDescent="0.25">
      <c r="F87" t="s">
        <v>4523</v>
      </c>
      <c r="G87" t="s">
        <v>4946</v>
      </c>
      <c r="I87" t="s">
        <v>5503</v>
      </c>
      <c r="J87" t="s">
        <v>5504</v>
      </c>
      <c r="L87" t="s">
        <v>462</v>
      </c>
      <c r="M87" t="s">
        <v>2163</v>
      </c>
    </row>
    <row r="88" spans="6:13" x14ac:dyDescent="0.25">
      <c r="F88" t="s">
        <v>4523</v>
      </c>
      <c r="G88" t="s">
        <v>4796</v>
      </c>
      <c r="I88" t="s">
        <v>548</v>
      </c>
      <c r="J88" t="s">
        <v>6557</v>
      </c>
      <c r="L88" t="s">
        <v>7411</v>
      </c>
      <c r="M88" t="s">
        <v>1955</v>
      </c>
    </row>
    <row r="89" spans="6:13" x14ac:dyDescent="0.25">
      <c r="F89" t="s">
        <v>484</v>
      </c>
      <c r="G89" t="s">
        <v>3553</v>
      </c>
      <c r="I89" t="s">
        <v>313</v>
      </c>
      <c r="J89" t="s">
        <v>2807</v>
      </c>
      <c r="L89" t="s">
        <v>4154</v>
      </c>
      <c r="M89" t="s">
        <v>7952</v>
      </c>
    </row>
    <row r="90" spans="6:13" x14ac:dyDescent="0.25">
      <c r="F90" t="s">
        <v>2674</v>
      </c>
      <c r="G90" t="s">
        <v>3308</v>
      </c>
      <c r="I90" t="s">
        <v>46</v>
      </c>
      <c r="J90" t="s">
        <v>1423</v>
      </c>
      <c r="L90" t="s">
        <v>309</v>
      </c>
      <c r="M90" t="s">
        <v>1658</v>
      </c>
    </row>
    <row r="91" spans="6:13" x14ac:dyDescent="0.25">
      <c r="F91" t="s">
        <v>4794</v>
      </c>
      <c r="G91" t="s">
        <v>3569</v>
      </c>
      <c r="I91" t="s">
        <v>2748</v>
      </c>
      <c r="J91" t="s">
        <v>3035</v>
      </c>
      <c r="L91" t="s">
        <v>459</v>
      </c>
      <c r="M91" t="s">
        <v>7502</v>
      </c>
    </row>
    <row r="92" spans="6:13" x14ac:dyDescent="0.25">
      <c r="F92" t="s">
        <v>2682</v>
      </c>
      <c r="G92" t="s">
        <v>3410</v>
      </c>
      <c r="I92" t="s">
        <v>2748</v>
      </c>
      <c r="J92" t="s">
        <v>3005</v>
      </c>
      <c r="L92" t="s">
        <v>311</v>
      </c>
      <c r="M92" t="s">
        <v>3222</v>
      </c>
    </row>
    <row r="93" spans="6:13" x14ac:dyDescent="0.25">
      <c r="F93" t="s">
        <v>2671</v>
      </c>
      <c r="G93" t="s">
        <v>4825</v>
      </c>
      <c r="I93" t="s">
        <v>91</v>
      </c>
      <c r="J93" t="s">
        <v>1153</v>
      </c>
      <c r="L93" t="s">
        <v>392</v>
      </c>
      <c r="M93" t="s">
        <v>3190</v>
      </c>
    </row>
    <row r="94" spans="6:13" x14ac:dyDescent="0.25">
      <c r="F94" t="s">
        <v>4523</v>
      </c>
      <c r="G94" t="s">
        <v>4582</v>
      </c>
      <c r="I94" t="s">
        <v>3945</v>
      </c>
      <c r="J94" t="s">
        <v>4101</v>
      </c>
      <c r="L94" t="s">
        <v>7620</v>
      </c>
      <c r="M94" t="s">
        <v>2110</v>
      </c>
    </row>
    <row r="95" spans="6:13" x14ac:dyDescent="0.25">
      <c r="F95" t="s">
        <v>4631</v>
      </c>
      <c r="G95" t="s">
        <v>3638</v>
      </c>
      <c r="I95" t="s">
        <v>318</v>
      </c>
      <c r="J95" t="s">
        <v>6461</v>
      </c>
      <c r="L95" t="s">
        <v>392</v>
      </c>
      <c r="M95" t="s">
        <v>2603</v>
      </c>
    </row>
    <row r="96" spans="6:13" x14ac:dyDescent="0.25">
      <c r="F96" t="s">
        <v>5043</v>
      </c>
      <c r="G96" t="s">
        <v>3311</v>
      </c>
      <c r="I96" t="s">
        <v>548</v>
      </c>
      <c r="J96" t="s">
        <v>1623</v>
      </c>
      <c r="L96" t="s">
        <v>315</v>
      </c>
      <c r="M96" t="s">
        <v>2000</v>
      </c>
    </row>
    <row r="97" spans="6:13" x14ac:dyDescent="0.25">
      <c r="F97" t="s">
        <v>2674</v>
      </c>
      <c r="G97" t="s">
        <v>5157</v>
      </c>
      <c r="I97" t="s">
        <v>3861</v>
      </c>
      <c r="J97" t="s">
        <v>4139</v>
      </c>
      <c r="L97" t="s">
        <v>21</v>
      </c>
      <c r="M97" t="s">
        <v>6956</v>
      </c>
    </row>
    <row r="98" spans="6:13" x14ac:dyDescent="0.25">
      <c r="F98" t="s">
        <v>399</v>
      </c>
      <c r="G98" t="s">
        <v>3468</v>
      </c>
      <c r="I98" t="s">
        <v>313</v>
      </c>
      <c r="J98" t="s">
        <v>1482</v>
      </c>
      <c r="L98" t="s">
        <v>4196</v>
      </c>
      <c r="M98" t="s">
        <v>4241</v>
      </c>
    </row>
    <row r="99" spans="6:13" x14ac:dyDescent="0.25">
      <c r="F99" t="s">
        <v>5082</v>
      </c>
      <c r="G99" t="s">
        <v>3397</v>
      </c>
      <c r="I99" t="s">
        <v>6327</v>
      </c>
      <c r="J99" t="s">
        <v>6328</v>
      </c>
      <c r="L99" t="s">
        <v>3861</v>
      </c>
      <c r="M99" t="s">
        <v>4171</v>
      </c>
    </row>
    <row r="100" spans="6:13" x14ac:dyDescent="0.25">
      <c r="F100" t="s">
        <v>4523</v>
      </c>
      <c r="G100" t="s">
        <v>4945</v>
      </c>
      <c r="I100" t="s">
        <v>313</v>
      </c>
      <c r="J100" t="s">
        <v>1611</v>
      </c>
      <c r="L100" t="s">
        <v>315</v>
      </c>
      <c r="M100" t="s">
        <v>1753</v>
      </c>
    </row>
    <row r="101" spans="6:13" x14ac:dyDescent="0.25">
      <c r="F101" t="s">
        <v>4754</v>
      </c>
      <c r="G101" t="s">
        <v>3520</v>
      </c>
      <c r="I101" t="s">
        <v>5409</v>
      </c>
      <c r="J101" t="s">
        <v>5595</v>
      </c>
      <c r="L101" t="s">
        <v>313</v>
      </c>
      <c r="M101" t="s">
        <v>3186</v>
      </c>
    </row>
    <row r="102" spans="6:13" x14ac:dyDescent="0.25">
      <c r="F102" t="s">
        <v>484</v>
      </c>
      <c r="G102" t="s">
        <v>4553</v>
      </c>
      <c r="I102" t="s">
        <v>548</v>
      </c>
      <c r="J102" t="s">
        <v>5541</v>
      </c>
      <c r="L102" t="s">
        <v>7940</v>
      </c>
      <c r="M102" t="s">
        <v>7941</v>
      </c>
    </row>
    <row r="103" spans="6:13" x14ac:dyDescent="0.25">
      <c r="F103" t="s">
        <v>484</v>
      </c>
      <c r="G103" t="s">
        <v>3482</v>
      </c>
      <c r="I103" t="s">
        <v>6793</v>
      </c>
      <c r="J103" t="s">
        <v>6794</v>
      </c>
      <c r="L103" t="s">
        <v>4183</v>
      </c>
      <c r="M103" t="s">
        <v>4211</v>
      </c>
    </row>
    <row r="104" spans="6:13" x14ac:dyDescent="0.25">
      <c r="F104" t="s">
        <v>4795</v>
      </c>
      <c r="G104" t="s">
        <v>3570</v>
      </c>
      <c r="I104" t="s">
        <v>6699</v>
      </c>
      <c r="J104" t="s">
        <v>6700</v>
      </c>
      <c r="L104" t="s">
        <v>7114</v>
      </c>
      <c r="M104" t="s">
        <v>4286</v>
      </c>
    </row>
    <row r="105" spans="6:13" x14ac:dyDescent="0.25">
      <c r="F105" t="s">
        <v>46</v>
      </c>
      <c r="G105" t="s">
        <v>3488</v>
      </c>
      <c r="I105" t="s">
        <v>5556</v>
      </c>
      <c r="J105" t="s">
        <v>1430</v>
      </c>
      <c r="L105" t="s">
        <v>459</v>
      </c>
      <c r="M105" t="s">
        <v>7846</v>
      </c>
    </row>
    <row r="106" spans="6:13" x14ac:dyDescent="0.25">
      <c r="F106" t="s">
        <v>2671</v>
      </c>
      <c r="G106" t="s">
        <v>4849</v>
      </c>
      <c r="I106" t="s">
        <v>313</v>
      </c>
      <c r="J106" t="s">
        <v>918</v>
      </c>
      <c r="L106" t="s">
        <v>315</v>
      </c>
      <c r="M106" t="s">
        <v>1948</v>
      </c>
    </row>
    <row r="107" spans="6:13" x14ac:dyDescent="0.25">
      <c r="F107" t="s">
        <v>4154</v>
      </c>
      <c r="G107" t="s">
        <v>4433</v>
      </c>
      <c r="I107" t="s">
        <v>313</v>
      </c>
      <c r="J107" t="s">
        <v>1364</v>
      </c>
      <c r="L107" t="s">
        <v>3861</v>
      </c>
      <c r="M107" t="s">
        <v>4255</v>
      </c>
    </row>
    <row r="108" spans="6:13" x14ac:dyDescent="0.25">
      <c r="F108" t="s">
        <v>4154</v>
      </c>
      <c r="G108" t="s">
        <v>4359</v>
      </c>
      <c r="I108" t="s">
        <v>313</v>
      </c>
      <c r="J108" t="s">
        <v>1426</v>
      </c>
      <c r="L108" t="s">
        <v>459</v>
      </c>
      <c r="M108" t="s">
        <v>7134</v>
      </c>
    </row>
    <row r="109" spans="6:13" x14ac:dyDescent="0.25">
      <c r="F109" t="s">
        <v>2684</v>
      </c>
      <c r="G109" t="s">
        <v>3278</v>
      </c>
      <c r="I109" t="s">
        <v>5977</v>
      </c>
      <c r="J109" t="s">
        <v>2970</v>
      </c>
      <c r="L109" t="s">
        <v>7484</v>
      </c>
      <c r="M109" t="s">
        <v>2004</v>
      </c>
    </row>
    <row r="110" spans="6:13" x14ac:dyDescent="0.25">
      <c r="F110" t="s">
        <v>3861</v>
      </c>
      <c r="G110" t="s">
        <v>4387</v>
      </c>
      <c r="I110" t="s">
        <v>11</v>
      </c>
      <c r="J110" t="s">
        <v>5695</v>
      </c>
      <c r="L110" t="s">
        <v>7071</v>
      </c>
      <c r="M110" t="s">
        <v>2275</v>
      </c>
    </row>
    <row r="111" spans="6:13" x14ac:dyDescent="0.25">
      <c r="F111" t="s">
        <v>2671</v>
      </c>
      <c r="G111" t="s">
        <v>3552</v>
      </c>
      <c r="I111" t="s">
        <v>278</v>
      </c>
      <c r="J111" t="s">
        <v>5619</v>
      </c>
      <c r="L111" t="s">
        <v>315</v>
      </c>
      <c r="M111" t="s">
        <v>1965</v>
      </c>
    </row>
    <row r="112" spans="6:13" x14ac:dyDescent="0.25">
      <c r="F112" t="s">
        <v>2669</v>
      </c>
      <c r="G112" t="s">
        <v>5143</v>
      </c>
      <c r="I112" t="s">
        <v>2748</v>
      </c>
      <c r="J112" t="s">
        <v>4065</v>
      </c>
      <c r="L112" t="s">
        <v>122</v>
      </c>
      <c r="M112" t="s">
        <v>7614</v>
      </c>
    </row>
    <row r="113" spans="6:13" x14ac:dyDescent="0.25">
      <c r="F113" t="s">
        <v>2671</v>
      </c>
      <c r="G113" t="s">
        <v>4645</v>
      </c>
      <c r="I113" t="s">
        <v>2748</v>
      </c>
      <c r="J113" t="s">
        <v>3984</v>
      </c>
      <c r="L113" t="s">
        <v>315</v>
      </c>
      <c r="M113" t="s">
        <v>1777</v>
      </c>
    </row>
    <row r="114" spans="6:13" x14ac:dyDescent="0.25">
      <c r="F114" t="s">
        <v>4741</v>
      </c>
      <c r="G114" t="s">
        <v>3628</v>
      </c>
      <c r="I114" t="s">
        <v>5581</v>
      </c>
      <c r="J114" t="s">
        <v>946</v>
      </c>
      <c r="L114" t="s">
        <v>459</v>
      </c>
      <c r="M114" t="s">
        <v>7020</v>
      </c>
    </row>
    <row r="115" spans="6:13" x14ac:dyDescent="0.25">
      <c r="F115" t="s">
        <v>122</v>
      </c>
      <c r="G115" t="s">
        <v>3758</v>
      </c>
      <c r="I115" t="s">
        <v>5791</v>
      </c>
      <c r="J115" t="s">
        <v>1066</v>
      </c>
      <c r="L115" t="s">
        <v>309</v>
      </c>
      <c r="M115" t="s">
        <v>1862</v>
      </c>
    </row>
    <row r="116" spans="6:13" x14ac:dyDescent="0.25">
      <c r="F116" t="s">
        <v>2671</v>
      </c>
      <c r="G116" t="s">
        <v>3572</v>
      </c>
      <c r="I116" t="s">
        <v>6214</v>
      </c>
      <c r="J116" t="s">
        <v>2881</v>
      </c>
      <c r="L116" t="s">
        <v>7135</v>
      </c>
      <c r="M116" t="s">
        <v>1807</v>
      </c>
    </row>
    <row r="117" spans="6:13" x14ac:dyDescent="0.25">
      <c r="F117" t="s">
        <v>2674</v>
      </c>
      <c r="G117" t="s">
        <v>3524</v>
      </c>
      <c r="I117" t="s">
        <v>311</v>
      </c>
      <c r="J117" t="s">
        <v>2890</v>
      </c>
      <c r="L117" t="s">
        <v>7964</v>
      </c>
      <c r="M117" t="s">
        <v>2340</v>
      </c>
    </row>
    <row r="118" spans="6:13" x14ac:dyDescent="0.25">
      <c r="F118" t="s">
        <v>4629</v>
      </c>
      <c r="G118" t="s">
        <v>3388</v>
      </c>
      <c r="I118" t="s">
        <v>6495</v>
      </c>
      <c r="J118" t="s">
        <v>6496</v>
      </c>
      <c r="L118" t="s">
        <v>7333</v>
      </c>
      <c r="M118" t="s">
        <v>7404</v>
      </c>
    </row>
    <row r="119" spans="6:13" x14ac:dyDescent="0.25">
      <c r="F119" t="s">
        <v>484</v>
      </c>
      <c r="G119" t="s">
        <v>3814</v>
      </c>
      <c r="I119" t="s">
        <v>6871</v>
      </c>
      <c r="J119" t="s">
        <v>6872</v>
      </c>
      <c r="L119" t="s">
        <v>7471</v>
      </c>
      <c r="M119" t="s">
        <v>7472</v>
      </c>
    </row>
    <row r="120" spans="6:13" x14ac:dyDescent="0.25">
      <c r="F120" t="s">
        <v>3861</v>
      </c>
      <c r="G120" t="s">
        <v>4409</v>
      </c>
      <c r="I120" t="s">
        <v>6100</v>
      </c>
      <c r="J120" t="s">
        <v>6101</v>
      </c>
      <c r="L120" t="s">
        <v>459</v>
      </c>
      <c r="M120" t="s">
        <v>2067</v>
      </c>
    </row>
    <row r="121" spans="6:13" x14ac:dyDescent="0.25">
      <c r="F121" t="s">
        <v>2687</v>
      </c>
      <c r="G121" t="s">
        <v>3683</v>
      </c>
      <c r="I121" t="s">
        <v>313</v>
      </c>
      <c r="J121" t="s">
        <v>1275</v>
      </c>
      <c r="L121" t="s">
        <v>461</v>
      </c>
      <c r="M121" t="s">
        <v>1969</v>
      </c>
    </row>
    <row r="122" spans="6:13" x14ac:dyDescent="0.25">
      <c r="F122" t="s">
        <v>2671</v>
      </c>
      <c r="G122" t="s">
        <v>4964</v>
      </c>
      <c r="I122" t="s">
        <v>254</v>
      </c>
      <c r="J122" t="s">
        <v>4025</v>
      </c>
      <c r="L122" t="s">
        <v>459</v>
      </c>
      <c r="M122" t="s">
        <v>7167</v>
      </c>
    </row>
    <row r="123" spans="6:13" x14ac:dyDescent="0.25">
      <c r="F123" t="s">
        <v>122</v>
      </c>
      <c r="G123" t="s">
        <v>3349</v>
      </c>
      <c r="I123" t="s">
        <v>5487</v>
      </c>
      <c r="J123" t="s">
        <v>5488</v>
      </c>
      <c r="L123" t="s">
        <v>313</v>
      </c>
      <c r="M123" t="s">
        <v>3220</v>
      </c>
    </row>
    <row r="124" spans="6:13" x14ac:dyDescent="0.25">
      <c r="F124" t="s">
        <v>5040</v>
      </c>
      <c r="G124" t="s">
        <v>3301</v>
      </c>
      <c r="I124" t="s">
        <v>3861</v>
      </c>
      <c r="J124" t="s">
        <v>4053</v>
      </c>
      <c r="L124" t="s">
        <v>392</v>
      </c>
      <c r="M124" t="s">
        <v>3099</v>
      </c>
    </row>
    <row r="125" spans="6:13" x14ac:dyDescent="0.25">
      <c r="F125" t="s">
        <v>2674</v>
      </c>
      <c r="G125" t="s">
        <v>3606</v>
      </c>
      <c r="I125" t="s">
        <v>280</v>
      </c>
      <c r="J125" t="s">
        <v>8010</v>
      </c>
      <c r="L125" t="s">
        <v>289</v>
      </c>
      <c r="M125" t="s">
        <v>7006</v>
      </c>
    </row>
    <row r="126" spans="6:13" x14ac:dyDescent="0.25">
      <c r="F126" t="s">
        <v>4154</v>
      </c>
      <c r="G126" t="s">
        <v>4376</v>
      </c>
      <c r="I126" t="s">
        <v>0</v>
      </c>
      <c r="J126" t="s">
        <v>1407</v>
      </c>
      <c r="L126" t="s">
        <v>313</v>
      </c>
      <c r="M126" t="s">
        <v>2311</v>
      </c>
    </row>
    <row r="127" spans="6:13" x14ac:dyDescent="0.25">
      <c r="F127" t="s">
        <v>4967</v>
      </c>
      <c r="G127" t="s">
        <v>3776</v>
      </c>
      <c r="I127" t="s">
        <v>6038</v>
      </c>
      <c r="J127" t="s">
        <v>1187</v>
      </c>
      <c r="L127" t="s">
        <v>392</v>
      </c>
      <c r="M127" t="s">
        <v>3124</v>
      </c>
    </row>
    <row r="128" spans="6:13" x14ac:dyDescent="0.25">
      <c r="F128" t="s">
        <v>5109</v>
      </c>
      <c r="G128" t="s">
        <v>3450</v>
      </c>
      <c r="I128" t="s">
        <v>2748</v>
      </c>
      <c r="J128" t="s">
        <v>4070</v>
      </c>
      <c r="L128" t="s">
        <v>313</v>
      </c>
      <c r="M128" t="s">
        <v>1901</v>
      </c>
    </row>
    <row r="129" spans="6:13" x14ac:dyDescent="0.25">
      <c r="F129" t="s">
        <v>4545</v>
      </c>
      <c r="G129" t="s">
        <v>3294</v>
      </c>
      <c r="I129" t="s">
        <v>2748</v>
      </c>
      <c r="J129" t="s">
        <v>3886</v>
      </c>
      <c r="L129" t="s">
        <v>22</v>
      </c>
      <c r="M129" t="s">
        <v>7928</v>
      </c>
    </row>
    <row r="130" spans="6:13" x14ac:dyDescent="0.25">
      <c r="F130" t="s">
        <v>4523</v>
      </c>
      <c r="G130" t="s">
        <v>4708</v>
      </c>
      <c r="I130" t="s">
        <v>313</v>
      </c>
      <c r="J130" t="s">
        <v>5645</v>
      </c>
      <c r="L130" t="s">
        <v>3861</v>
      </c>
      <c r="M130" t="s">
        <v>4177</v>
      </c>
    </row>
    <row r="131" spans="6:13" x14ac:dyDescent="0.25">
      <c r="F131" t="s">
        <v>4641</v>
      </c>
      <c r="G131" t="s">
        <v>3402</v>
      </c>
      <c r="I131" t="s">
        <v>318</v>
      </c>
      <c r="J131" t="s">
        <v>6323</v>
      </c>
      <c r="L131" t="s">
        <v>392</v>
      </c>
      <c r="M131" t="s">
        <v>1804</v>
      </c>
    </row>
    <row r="132" spans="6:13" x14ac:dyDescent="0.25">
      <c r="F132" t="s">
        <v>4523</v>
      </c>
      <c r="G132" t="s">
        <v>4695</v>
      </c>
      <c r="I132" t="s">
        <v>3887</v>
      </c>
      <c r="J132" t="s">
        <v>6572</v>
      </c>
      <c r="L132" t="s">
        <v>3861</v>
      </c>
      <c r="M132" t="s">
        <v>4210</v>
      </c>
    </row>
    <row r="133" spans="6:13" x14ac:dyDescent="0.25">
      <c r="F133" t="s">
        <v>4523</v>
      </c>
      <c r="G133" t="s">
        <v>4958</v>
      </c>
      <c r="I133" t="s">
        <v>548</v>
      </c>
      <c r="J133" t="s">
        <v>943</v>
      </c>
      <c r="L133" t="s">
        <v>459</v>
      </c>
      <c r="M133" t="s">
        <v>1755</v>
      </c>
    </row>
    <row r="134" spans="6:13" x14ac:dyDescent="0.25">
      <c r="F134" t="s">
        <v>4438</v>
      </c>
      <c r="G134" t="s">
        <v>4547</v>
      </c>
      <c r="I134" t="s">
        <v>4864</v>
      </c>
      <c r="J134" t="s">
        <v>898</v>
      </c>
      <c r="L134" t="s">
        <v>3861</v>
      </c>
      <c r="M134" t="s">
        <v>4187</v>
      </c>
    </row>
    <row r="135" spans="6:13" x14ac:dyDescent="0.25">
      <c r="F135" t="s">
        <v>2683</v>
      </c>
      <c r="G135" t="s">
        <v>3390</v>
      </c>
      <c r="I135" t="s">
        <v>5959</v>
      </c>
      <c r="J135" t="s">
        <v>6314</v>
      </c>
      <c r="L135" t="s">
        <v>311</v>
      </c>
      <c r="M135" t="s">
        <v>1983</v>
      </c>
    </row>
    <row r="136" spans="6:13" x14ac:dyDescent="0.25">
      <c r="F136" t="s">
        <v>4563</v>
      </c>
      <c r="G136" t="s">
        <v>3806</v>
      </c>
      <c r="I136" t="s">
        <v>6771</v>
      </c>
      <c r="J136" t="s">
        <v>1585</v>
      </c>
      <c r="L136" t="s">
        <v>38</v>
      </c>
      <c r="M136" t="s">
        <v>1850</v>
      </c>
    </row>
    <row r="137" spans="6:13" x14ac:dyDescent="0.25">
      <c r="F137" t="s">
        <v>4523</v>
      </c>
      <c r="G137" t="s">
        <v>4894</v>
      </c>
      <c r="I137" t="s">
        <v>3887</v>
      </c>
      <c r="J137" t="s">
        <v>5666</v>
      </c>
      <c r="L137" t="s">
        <v>6929</v>
      </c>
      <c r="M137" t="s">
        <v>1978</v>
      </c>
    </row>
    <row r="138" spans="6:13" x14ac:dyDescent="0.25">
      <c r="F138" t="s">
        <v>551</v>
      </c>
      <c r="G138" t="s">
        <v>3385</v>
      </c>
      <c r="I138" t="s">
        <v>5391</v>
      </c>
      <c r="J138" t="s">
        <v>5392</v>
      </c>
      <c r="L138" t="s">
        <v>36</v>
      </c>
      <c r="M138" t="s">
        <v>2131</v>
      </c>
    </row>
    <row r="139" spans="6:13" x14ac:dyDescent="0.25">
      <c r="F139" t="s">
        <v>2669</v>
      </c>
      <c r="G139" t="s">
        <v>5086</v>
      </c>
      <c r="I139" t="s">
        <v>2748</v>
      </c>
      <c r="J139" t="s">
        <v>4045</v>
      </c>
      <c r="L139" t="s">
        <v>392</v>
      </c>
      <c r="M139" t="s">
        <v>2598</v>
      </c>
    </row>
    <row r="140" spans="6:13" x14ac:dyDescent="0.25">
      <c r="F140" t="s">
        <v>2669</v>
      </c>
      <c r="G140" t="s">
        <v>5088</v>
      </c>
      <c r="I140" t="s">
        <v>2748</v>
      </c>
      <c r="J140" t="s">
        <v>3957</v>
      </c>
      <c r="L140" t="s">
        <v>7074</v>
      </c>
      <c r="M140" t="s">
        <v>1765</v>
      </c>
    </row>
    <row r="141" spans="6:13" x14ac:dyDescent="0.25">
      <c r="F141" t="s">
        <v>4523</v>
      </c>
      <c r="G141" t="s">
        <v>4524</v>
      </c>
      <c r="I141" t="s">
        <v>2748</v>
      </c>
      <c r="J141" t="s">
        <v>3025</v>
      </c>
      <c r="L141" t="s">
        <v>36</v>
      </c>
      <c r="M141" t="s">
        <v>1863</v>
      </c>
    </row>
    <row r="142" spans="6:13" x14ac:dyDescent="0.25">
      <c r="F142" t="s">
        <v>2683</v>
      </c>
      <c r="G142" t="s">
        <v>3394</v>
      </c>
      <c r="I142" t="s">
        <v>2748</v>
      </c>
      <c r="J142" t="s">
        <v>3030</v>
      </c>
      <c r="L142" t="s">
        <v>38</v>
      </c>
      <c r="M142" t="s">
        <v>1781</v>
      </c>
    </row>
    <row r="143" spans="6:13" x14ac:dyDescent="0.25">
      <c r="F143" t="s">
        <v>2681</v>
      </c>
      <c r="G143" t="s">
        <v>5114</v>
      </c>
      <c r="I143" t="s">
        <v>2748</v>
      </c>
      <c r="J143" t="s">
        <v>3042</v>
      </c>
      <c r="L143" t="s">
        <v>4575</v>
      </c>
      <c r="M143" t="s">
        <v>3262</v>
      </c>
    </row>
    <row r="144" spans="6:13" x14ac:dyDescent="0.25">
      <c r="F144" t="s">
        <v>2669</v>
      </c>
      <c r="G144" t="s">
        <v>5083</v>
      </c>
      <c r="I144" t="s">
        <v>2748</v>
      </c>
      <c r="J144" t="s">
        <v>3011</v>
      </c>
      <c r="L144" t="s">
        <v>7428</v>
      </c>
      <c r="M144" t="s">
        <v>2593</v>
      </c>
    </row>
    <row r="145" spans="6:13" x14ac:dyDescent="0.25">
      <c r="F145" t="s">
        <v>2686</v>
      </c>
      <c r="G145" t="s">
        <v>3593</v>
      </c>
      <c r="I145" t="s">
        <v>313</v>
      </c>
      <c r="J145" t="s">
        <v>861</v>
      </c>
      <c r="L145" t="s">
        <v>459</v>
      </c>
      <c r="M145" t="s">
        <v>1793</v>
      </c>
    </row>
    <row r="146" spans="6:13" x14ac:dyDescent="0.25">
      <c r="F146" t="s">
        <v>4627</v>
      </c>
      <c r="G146" t="s">
        <v>3382</v>
      </c>
      <c r="I146" t="s">
        <v>47</v>
      </c>
      <c r="J146" t="s">
        <v>961</v>
      </c>
      <c r="L146" t="s">
        <v>289</v>
      </c>
      <c r="M146" t="s">
        <v>2045</v>
      </c>
    </row>
    <row r="147" spans="6:13" x14ac:dyDescent="0.25">
      <c r="F147" t="s">
        <v>46</v>
      </c>
      <c r="G147" t="s">
        <v>3304</v>
      </c>
      <c r="I147" t="s">
        <v>254</v>
      </c>
      <c r="J147" t="s">
        <v>6286</v>
      </c>
      <c r="L147" t="s">
        <v>7329</v>
      </c>
      <c r="M147" t="s">
        <v>1905</v>
      </c>
    </row>
    <row r="148" spans="6:13" x14ac:dyDescent="0.25">
      <c r="F148" t="s">
        <v>46</v>
      </c>
      <c r="G148" t="s">
        <v>3474</v>
      </c>
      <c r="I148" t="s">
        <v>551</v>
      </c>
      <c r="J148" t="s">
        <v>1601</v>
      </c>
      <c r="L148" t="s">
        <v>7074</v>
      </c>
      <c r="M148" t="s">
        <v>1829</v>
      </c>
    </row>
    <row r="149" spans="6:13" x14ac:dyDescent="0.25">
      <c r="F149" t="s">
        <v>4869</v>
      </c>
      <c r="G149" t="s">
        <v>3643</v>
      </c>
      <c r="I149" t="s">
        <v>3861</v>
      </c>
      <c r="J149" t="s">
        <v>4031</v>
      </c>
      <c r="L149" t="s">
        <v>289</v>
      </c>
      <c r="M149" t="s">
        <v>7465</v>
      </c>
    </row>
    <row r="150" spans="6:13" x14ac:dyDescent="0.25">
      <c r="F150" t="s">
        <v>4650</v>
      </c>
      <c r="G150" t="s">
        <v>3415</v>
      </c>
      <c r="I150" t="s">
        <v>4342</v>
      </c>
      <c r="J150" t="s">
        <v>6130</v>
      </c>
      <c r="L150" t="s">
        <v>7233</v>
      </c>
      <c r="M150" t="s">
        <v>2240</v>
      </c>
    </row>
    <row r="151" spans="6:13" x14ac:dyDescent="0.25">
      <c r="F151" t="s">
        <v>2671</v>
      </c>
      <c r="G151" t="s">
        <v>3440</v>
      </c>
      <c r="I151" t="s">
        <v>6469</v>
      </c>
      <c r="J151" t="s">
        <v>2531</v>
      </c>
      <c r="L151" t="s">
        <v>7333</v>
      </c>
      <c r="M151" t="s">
        <v>7606</v>
      </c>
    </row>
    <row r="152" spans="6:13" x14ac:dyDescent="0.25">
      <c r="F152" t="s">
        <v>399</v>
      </c>
      <c r="G152" t="s">
        <v>3391</v>
      </c>
      <c r="I152" t="s">
        <v>295</v>
      </c>
      <c r="J152" t="s">
        <v>1390</v>
      </c>
      <c r="L152" t="s">
        <v>311</v>
      </c>
      <c r="M152" t="s">
        <v>2174</v>
      </c>
    </row>
    <row r="153" spans="6:13" x14ac:dyDescent="0.25">
      <c r="F153" t="s">
        <v>4795</v>
      </c>
      <c r="G153" t="s">
        <v>3735</v>
      </c>
      <c r="I153" t="s">
        <v>280</v>
      </c>
      <c r="J153" t="s">
        <v>8006</v>
      </c>
      <c r="L153" t="s">
        <v>123</v>
      </c>
      <c r="M153" t="s">
        <v>7782</v>
      </c>
    </row>
    <row r="154" spans="6:13" x14ac:dyDescent="0.25">
      <c r="F154" t="s">
        <v>2686</v>
      </c>
      <c r="G154" t="s">
        <v>3426</v>
      </c>
      <c r="I154" t="s">
        <v>254</v>
      </c>
      <c r="J154" t="s">
        <v>5844</v>
      </c>
      <c r="L154" t="s">
        <v>7138</v>
      </c>
      <c r="M154" t="s">
        <v>3123</v>
      </c>
    </row>
    <row r="155" spans="6:13" x14ac:dyDescent="0.25">
      <c r="F155" t="s">
        <v>2674</v>
      </c>
      <c r="G155" t="s">
        <v>3742</v>
      </c>
      <c r="I155" t="s">
        <v>313</v>
      </c>
      <c r="J155" t="s">
        <v>2933</v>
      </c>
      <c r="L155" t="s">
        <v>459</v>
      </c>
      <c r="M155" t="s">
        <v>2229</v>
      </c>
    </row>
    <row r="156" spans="6:13" x14ac:dyDescent="0.25">
      <c r="F156" t="s">
        <v>2669</v>
      </c>
      <c r="G156" t="s">
        <v>4572</v>
      </c>
      <c r="I156" t="s">
        <v>313</v>
      </c>
      <c r="J156" t="s">
        <v>973</v>
      </c>
      <c r="L156" t="s">
        <v>311</v>
      </c>
      <c r="M156" t="s">
        <v>2204</v>
      </c>
    </row>
    <row r="157" spans="6:13" x14ac:dyDescent="0.25">
      <c r="F157" t="s">
        <v>2671</v>
      </c>
      <c r="G157" t="s">
        <v>3803</v>
      </c>
      <c r="I157" t="s">
        <v>90</v>
      </c>
      <c r="J157" t="s">
        <v>5935</v>
      </c>
      <c r="L157" t="s">
        <v>7274</v>
      </c>
      <c r="M157" t="s">
        <v>3270</v>
      </c>
    </row>
    <row r="158" spans="6:13" x14ac:dyDescent="0.25">
      <c r="F158" t="s">
        <v>2669</v>
      </c>
      <c r="G158" t="s">
        <v>5101</v>
      </c>
      <c r="I158" t="s">
        <v>2359</v>
      </c>
      <c r="J158" t="s">
        <v>3883</v>
      </c>
      <c r="L158" t="s">
        <v>123</v>
      </c>
      <c r="M158" t="s">
        <v>7530</v>
      </c>
    </row>
    <row r="159" spans="6:13" x14ac:dyDescent="0.25">
      <c r="F159" t="s">
        <v>4554</v>
      </c>
      <c r="G159" t="s">
        <v>3631</v>
      </c>
      <c r="I159" t="s">
        <v>548</v>
      </c>
      <c r="J159" t="s">
        <v>5946</v>
      </c>
      <c r="L159" t="s">
        <v>21</v>
      </c>
      <c r="M159" t="s">
        <v>2044</v>
      </c>
    </row>
    <row r="160" spans="6:13" x14ac:dyDescent="0.25">
      <c r="F160" t="s">
        <v>4154</v>
      </c>
      <c r="G160" t="s">
        <v>4383</v>
      </c>
      <c r="I160" t="s">
        <v>2773</v>
      </c>
      <c r="J160" t="s">
        <v>4135</v>
      </c>
      <c r="L160" t="s">
        <v>551</v>
      </c>
      <c r="M160" t="s">
        <v>2209</v>
      </c>
    </row>
    <row r="161" spans="6:13" x14ac:dyDescent="0.25">
      <c r="F161" t="s">
        <v>5192</v>
      </c>
      <c r="G161" t="s">
        <v>3682</v>
      </c>
      <c r="I161" t="s">
        <v>47</v>
      </c>
      <c r="J161" t="s">
        <v>5362</v>
      </c>
      <c r="L161" t="s">
        <v>392</v>
      </c>
      <c r="M161" t="s">
        <v>3238</v>
      </c>
    </row>
    <row r="162" spans="6:13" x14ac:dyDescent="0.25">
      <c r="F162" t="s">
        <v>2687</v>
      </c>
      <c r="G162" t="s">
        <v>3809</v>
      </c>
      <c r="I162" t="s">
        <v>6082</v>
      </c>
      <c r="J162" t="s">
        <v>6385</v>
      </c>
      <c r="L162" t="s">
        <v>7676</v>
      </c>
      <c r="M162" t="s">
        <v>3218</v>
      </c>
    </row>
    <row r="163" spans="6:13" x14ac:dyDescent="0.25">
      <c r="F163" t="s">
        <v>2674</v>
      </c>
      <c r="G163" t="s">
        <v>3590</v>
      </c>
      <c r="I163" t="s">
        <v>90</v>
      </c>
      <c r="J163" t="s">
        <v>6813</v>
      </c>
      <c r="L163" t="s">
        <v>7704</v>
      </c>
      <c r="M163" t="s">
        <v>2175</v>
      </c>
    </row>
    <row r="164" spans="6:13" x14ac:dyDescent="0.25">
      <c r="F164" t="s">
        <v>3861</v>
      </c>
      <c r="G164" t="s">
        <v>4338</v>
      </c>
      <c r="I164" t="s">
        <v>256</v>
      </c>
      <c r="J164" t="s">
        <v>5418</v>
      </c>
      <c r="L164" t="s">
        <v>7152</v>
      </c>
      <c r="M164" t="s">
        <v>1816</v>
      </c>
    </row>
    <row r="165" spans="6:13" x14ac:dyDescent="0.25">
      <c r="F165" t="s">
        <v>5140</v>
      </c>
      <c r="G165" t="s">
        <v>3547</v>
      </c>
      <c r="I165" t="s">
        <v>2748</v>
      </c>
      <c r="J165" t="s">
        <v>4018</v>
      </c>
      <c r="L165" t="s">
        <v>37</v>
      </c>
      <c r="M165" t="s">
        <v>1992</v>
      </c>
    </row>
    <row r="166" spans="6:13" x14ac:dyDescent="0.25">
      <c r="F166" t="s">
        <v>4523</v>
      </c>
      <c r="G166" t="s">
        <v>4634</v>
      </c>
      <c r="I166" t="s">
        <v>2748</v>
      </c>
      <c r="J166" t="s">
        <v>4124</v>
      </c>
      <c r="L166" t="s">
        <v>356</v>
      </c>
      <c r="M166" t="s">
        <v>7649</v>
      </c>
    </row>
    <row r="167" spans="6:13" x14ac:dyDescent="0.25">
      <c r="F167" t="s">
        <v>2674</v>
      </c>
      <c r="G167" t="s">
        <v>3421</v>
      </c>
      <c r="I167" t="s">
        <v>2748</v>
      </c>
      <c r="J167" t="s">
        <v>3948</v>
      </c>
      <c r="L167" t="s">
        <v>37</v>
      </c>
      <c r="M167" t="s">
        <v>2319</v>
      </c>
    </row>
    <row r="168" spans="6:13" x14ac:dyDescent="0.25">
      <c r="F168" t="s">
        <v>4523</v>
      </c>
      <c r="G168" t="s">
        <v>4769</v>
      </c>
      <c r="I168" t="s">
        <v>2748</v>
      </c>
      <c r="J168" t="s">
        <v>4002</v>
      </c>
      <c r="L168" t="s">
        <v>37</v>
      </c>
      <c r="M168" t="s">
        <v>2336</v>
      </c>
    </row>
    <row r="169" spans="6:13" x14ac:dyDescent="0.25">
      <c r="F169" t="s">
        <v>3861</v>
      </c>
      <c r="G169" t="s">
        <v>4418</v>
      </c>
      <c r="I169" t="s">
        <v>2748</v>
      </c>
      <c r="J169" t="s">
        <v>3057</v>
      </c>
      <c r="L169" t="s">
        <v>3861</v>
      </c>
      <c r="M169" t="s">
        <v>4160</v>
      </c>
    </row>
    <row r="170" spans="6:13" x14ac:dyDescent="0.25">
      <c r="F170" t="s">
        <v>4438</v>
      </c>
      <c r="G170" t="s">
        <v>4933</v>
      </c>
      <c r="I170" t="s">
        <v>2748</v>
      </c>
      <c r="J170" t="s">
        <v>3006</v>
      </c>
      <c r="L170" t="s">
        <v>7939</v>
      </c>
      <c r="M170" t="s">
        <v>2637</v>
      </c>
    </row>
    <row r="171" spans="6:13" x14ac:dyDescent="0.25">
      <c r="F171" t="s">
        <v>2669</v>
      </c>
      <c r="G171" t="s">
        <v>5104</v>
      </c>
      <c r="I171" t="s">
        <v>90</v>
      </c>
      <c r="J171" t="s">
        <v>938</v>
      </c>
      <c r="L171" t="s">
        <v>6902</v>
      </c>
      <c r="M171" t="s">
        <v>3082</v>
      </c>
    </row>
    <row r="172" spans="6:13" x14ac:dyDescent="0.25">
      <c r="F172" t="s">
        <v>5128</v>
      </c>
      <c r="G172" t="s">
        <v>4730</v>
      </c>
      <c r="I172" t="s">
        <v>338</v>
      </c>
      <c r="J172" t="s">
        <v>779</v>
      </c>
      <c r="L172" t="s">
        <v>5809</v>
      </c>
      <c r="M172" t="s">
        <v>3082</v>
      </c>
    </row>
    <row r="173" spans="6:13" x14ac:dyDescent="0.25">
      <c r="F173" t="s">
        <v>5045</v>
      </c>
      <c r="G173" t="s">
        <v>4564</v>
      </c>
      <c r="I173" t="s">
        <v>256</v>
      </c>
      <c r="J173" t="s">
        <v>5774</v>
      </c>
      <c r="L173" t="s">
        <v>306</v>
      </c>
      <c r="M173" t="s">
        <v>7218</v>
      </c>
    </row>
    <row r="174" spans="6:13" x14ac:dyDescent="0.25">
      <c r="F174" t="s">
        <v>5142</v>
      </c>
      <c r="G174" t="s">
        <v>4777</v>
      </c>
      <c r="I174" t="s">
        <v>90</v>
      </c>
      <c r="J174" t="s">
        <v>6554</v>
      </c>
      <c r="L174" t="s">
        <v>392</v>
      </c>
      <c r="M174" t="s">
        <v>3273</v>
      </c>
    </row>
    <row r="175" spans="6:13" x14ac:dyDescent="0.25">
      <c r="F175" t="s">
        <v>46</v>
      </c>
      <c r="G175" t="s">
        <v>3664</v>
      </c>
      <c r="I175" t="s">
        <v>407</v>
      </c>
      <c r="J175" t="s">
        <v>6417</v>
      </c>
      <c r="L175" t="s">
        <v>7693</v>
      </c>
      <c r="M175" t="s">
        <v>2168</v>
      </c>
    </row>
    <row r="176" spans="6:13" x14ac:dyDescent="0.25">
      <c r="F176" t="s">
        <v>5067</v>
      </c>
      <c r="G176" t="s">
        <v>3367</v>
      </c>
      <c r="I176" t="s">
        <v>6078</v>
      </c>
      <c r="J176" t="s">
        <v>1205</v>
      </c>
      <c r="L176" t="s">
        <v>399</v>
      </c>
      <c r="M176" t="s">
        <v>7854</v>
      </c>
    </row>
    <row r="177" spans="6:13" x14ac:dyDescent="0.25">
      <c r="F177" t="s">
        <v>2669</v>
      </c>
      <c r="G177" t="s">
        <v>3778</v>
      </c>
      <c r="I177" t="s">
        <v>2730</v>
      </c>
      <c r="J177" t="s">
        <v>4062</v>
      </c>
      <c r="L177" t="s">
        <v>7497</v>
      </c>
      <c r="M177" t="s">
        <v>2599</v>
      </c>
    </row>
    <row r="178" spans="6:13" x14ac:dyDescent="0.25">
      <c r="F178" t="s">
        <v>551</v>
      </c>
      <c r="G178" t="s">
        <v>4537</v>
      </c>
      <c r="I178" t="s">
        <v>2359</v>
      </c>
      <c r="J178" t="s">
        <v>3903</v>
      </c>
      <c r="L178" t="s">
        <v>313</v>
      </c>
      <c r="M178" t="s">
        <v>2190</v>
      </c>
    </row>
    <row r="179" spans="6:13" x14ac:dyDescent="0.25">
      <c r="F179" t="s">
        <v>551</v>
      </c>
      <c r="G179" t="s">
        <v>4537</v>
      </c>
      <c r="I179" t="s">
        <v>257</v>
      </c>
      <c r="J179" t="s">
        <v>6553</v>
      </c>
      <c r="L179" t="s">
        <v>459</v>
      </c>
      <c r="M179" t="s">
        <v>1930</v>
      </c>
    </row>
    <row r="180" spans="6:13" x14ac:dyDescent="0.25">
      <c r="F180" t="s">
        <v>551</v>
      </c>
      <c r="G180" t="s">
        <v>4866</v>
      </c>
      <c r="I180" t="s">
        <v>6187</v>
      </c>
      <c r="J180" t="s">
        <v>6188</v>
      </c>
      <c r="L180" t="s">
        <v>392</v>
      </c>
      <c r="M180" t="s">
        <v>3215</v>
      </c>
    </row>
    <row r="181" spans="6:13" x14ac:dyDescent="0.25">
      <c r="F181" t="s">
        <v>4731</v>
      </c>
      <c r="G181" t="s">
        <v>3503</v>
      </c>
      <c r="I181" t="s">
        <v>399</v>
      </c>
      <c r="J181" t="s">
        <v>6027</v>
      </c>
      <c r="L181" t="s">
        <v>7094</v>
      </c>
      <c r="M181" t="s">
        <v>2573</v>
      </c>
    </row>
    <row r="182" spans="6:13" x14ac:dyDescent="0.25">
      <c r="F182" t="s">
        <v>2674</v>
      </c>
      <c r="G182" t="s">
        <v>3711</v>
      </c>
      <c r="I182" t="s">
        <v>463</v>
      </c>
      <c r="J182" t="s">
        <v>6854</v>
      </c>
      <c r="L182" t="s">
        <v>46</v>
      </c>
      <c r="M182" t="s">
        <v>1662</v>
      </c>
    </row>
    <row r="183" spans="6:13" x14ac:dyDescent="0.25">
      <c r="F183" t="s">
        <v>2674</v>
      </c>
      <c r="G183" t="s">
        <v>3588</v>
      </c>
      <c r="I183" t="s">
        <v>257</v>
      </c>
      <c r="J183" t="s">
        <v>5348</v>
      </c>
      <c r="L183" t="s">
        <v>6440</v>
      </c>
      <c r="M183" t="s">
        <v>1877</v>
      </c>
    </row>
    <row r="184" spans="6:13" x14ac:dyDescent="0.25">
      <c r="F184" t="s">
        <v>2674</v>
      </c>
      <c r="G184" t="s">
        <v>3375</v>
      </c>
      <c r="I184" t="s">
        <v>2748</v>
      </c>
      <c r="J184" t="s">
        <v>3018</v>
      </c>
      <c r="L184" t="s">
        <v>313</v>
      </c>
      <c r="M184" t="s">
        <v>2301</v>
      </c>
    </row>
    <row r="185" spans="6:13" x14ac:dyDescent="0.25">
      <c r="F185" t="s">
        <v>3861</v>
      </c>
      <c r="G185" t="s">
        <v>4350</v>
      </c>
      <c r="I185" t="s">
        <v>5377</v>
      </c>
      <c r="J185" t="s">
        <v>1124</v>
      </c>
      <c r="L185" t="s">
        <v>7521</v>
      </c>
      <c r="M185" t="s">
        <v>7522</v>
      </c>
    </row>
    <row r="186" spans="6:13" x14ac:dyDescent="0.25">
      <c r="F186" t="s">
        <v>2669</v>
      </c>
      <c r="G186" t="s">
        <v>3678</v>
      </c>
      <c r="I186" t="s">
        <v>2733</v>
      </c>
      <c r="J186" t="s">
        <v>5652</v>
      </c>
      <c r="L186" t="s">
        <v>399</v>
      </c>
      <c r="M186" t="s">
        <v>2262</v>
      </c>
    </row>
    <row r="187" spans="6:13" x14ac:dyDescent="0.25">
      <c r="F187" t="s">
        <v>4937</v>
      </c>
      <c r="G187" t="s">
        <v>3725</v>
      </c>
      <c r="I187" t="s">
        <v>313</v>
      </c>
      <c r="J187" t="s">
        <v>1406</v>
      </c>
      <c r="L187" t="s">
        <v>399</v>
      </c>
      <c r="M187" t="s">
        <v>7584</v>
      </c>
    </row>
    <row r="188" spans="6:13" x14ac:dyDescent="0.25">
      <c r="F188" t="s">
        <v>2687</v>
      </c>
      <c r="G188" t="s">
        <v>3530</v>
      </c>
      <c r="I188" t="s">
        <v>313</v>
      </c>
      <c r="J188" t="s">
        <v>7994</v>
      </c>
      <c r="L188" t="s">
        <v>459</v>
      </c>
      <c r="M188" t="s">
        <v>1727</v>
      </c>
    </row>
    <row r="189" spans="6:13" x14ac:dyDescent="0.25">
      <c r="F189" t="s">
        <v>399</v>
      </c>
      <c r="G189" t="s">
        <v>3414</v>
      </c>
      <c r="I189" t="s">
        <v>5866</v>
      </c>
      <c r="J189" t="s">
        <v>5867</v>
      </c>
      <c r="L189" t="s">
        <v>7159</v>
      </c>
      <c r="M189" t="s">
        <v>7160</v>
      </c>
    </row>
    <row r="190" spans="6:13" x14ac:dyDescent="0.25">
      <c r="F190" t="s">
        <v>2681</v>
      </c>
      <c r="G190" t="s">
        <v>5214</v>
      </c>
      <c r="I190" t="s">
        <v>2748</v>
      </c>
      <c r="J190" t="s">
        <v>3019</v>
      </c>
      <c r="L190" t="s">
        <v>6942</v>
      </c>
      <c r="M190" t="s">
        <v>1686</v>
      </c>
    </row>
    <row r="191" spans="6:13" x14ac:dyDescent="0.25">
      <c r="F191" t="s">
        <v>2674</v>
      </c>
      <c r="G191" t="s">
        <v>3535</v>
      </c>
      <c r="I191" t="s">
        <v>2748</v>
      </c>
      <c r="J191" t="s">
        <v>3077</v>
      </c>
      <c r="L191" t="s">
        <v>123</v>
      </c>
      <c r="M191" t="s">
        <v>7739</v>
      </c>
    </row>
    <row r="192" spans="6:13" x14ac:dyDescent="0.25">
      <c r="F192" t="s">
        <v>4797</v>
      </c>
      <c r="G192" t="s">
        <v>3574</v>
      </c>
      <c r="I192" t="s">
        <v>5639</v>
      </c>
      <c r="J192" t="s">
        <v>5640</v>
      </c>
      <c r="L192" t="s">
        <v>123</v>
      </c>
      <c r="M192" t="s">
        <v>7026</v>
      </c>
    </row>
    <row r="193" spans="6:13" x14ac:dyDescent="0.25">
      <c r="F193" t="s">
        <v>122</v>
      </c>
      <c r="G193" t="s">
        <v>692</v>
      </c>
      <c r="I193" t="s">
        <v>5596</v>
      </c>
      <c r="J193" t="s">
        <v>5597</v>
      </c>
      <c r="L193" t="s">
        <v>37</v>
      </c>
      <c r="M193" t="s">
        <v>3272</v>
      </c>
    </row>
    <row r="194" spans="6:13" x14ac:dyDescent="0.25">
      <c r="F194" t="s">
        <v>4896</v>
      </c>
      <c r="G194" t="s">
        <v>3684</v>
      </c>
      <c r="I194" t="s">
        <v>48</v>
      </c>
      <c r="J194" t="s">
        <v>6278</v>
      </c>
      <c r="L194" t="s">
        <v>7484</v>
      </c>
      <c r="M194" t="s">
        <v>7713</v>
      </c>
    </row>
    <row r="195" spans="6:13" x14ac:dyDescent="0.25">
      <c r="F195" t="s">
        <v>4523</v>
      </c>
      <c r="G195" t="s">
        <v>4861</v>
      </c>
      <c r="I195" t="s">
        <v>5608</v>
      </c>
      <c r="J195" t="s">
        <v>964</v>
      </c>
      <c r="L195" t="s">
        <v>7337</v>
      </c>
      <c r="M195" t="s">
        <v>7338</v>
      </c>
    </row>
    <row r="196" spans="6:13" x14ac:dyDescent="0.25">
      <c r="F196" t="s">
        <v>95</v>
      </c>
      <c r="G196" t="s">
        <v>762</v>
      </c>
      <c r="I196" t="s">
        <v>333</v>
      </c>
      <c r="J196" t="s">
        <v>6468</v>
      </c>
      <c r="L196" t="s">
        <v>37</v>
      </c>
      <c r="M196" t="s">
        <v>7007</v>
      </c>
    </row>
    <row r="197" spans="6:13" x14ac:dyDescent="0.25">
      <c r="F197" t="s">
        <v>4523</v>
      </c>
      <c r="G197" t="s">
        <v>4583</v>
      </c>
      <c r="I197" t="s">
        <v>3887</v>
      </c>
      <c r="J197" t="s">
        <v>6467</v>
      </c>
      <c r="L197" t="s">
        <v>459</v>
      </c>
      <c r="M197" t="s">
        <v>1876</v>
      </c>
    </row>
    <row r="198" spans="6:13" x14ac:dyDescent="0.25">
      <c r="F198" t="s">
        <v>4523</v>
      </c>
      <c r="G198" t="s">
        <v>4895</v>
      </c>
      <c r="I198" t="s">
        <v>4438</v>
      </c>
      <c r="J198" t="s">
        <v>5782</v>
      </c>
      <c r="L198" t="s">
        <v>7650</v>
      </c>
      <c r="M198" t="s">
        <v>2141</v>
      </c>
    </row>
    <row r="199" spans="6:13" x14ac:dyDescent="0.25">
      <c r="F199" t="s">
        <v>4436</v>
      </c>
      <c r="G199" t="s">
        <v>4999</v>
      </c>
      <c r="I199" t="s">
        <v>5475</v>
      </c>
      <c r="J199" t="s">
        <v>5476</v>
      </c>
      <c r="L199" t="s">
        <v>311</v>
      </c>
      <c r="M199" t="s">
        <v>2247</v>
      </c>
    </row>
    <row r="200" spans="6:13" x14ac:dyDescent="0.25">
      <c r="F200" t="s">
        <v>2674</v>
      </c>
      <c r="G200" t="s">
        <v>3548</v>
      </c>
      <c r="I200" t="s">
        <v>392</v>
      </c>
      <c r="J200" t="s">
        <v>2536</v>
      </c>
      <c r="L200" t="s">
        <v>4154</v>
      </c>
      <c r="M200" t="s">
        <v>4257</v>
      </c>
    </row>
    <row r="201" spans="6:13" x14ac:dyDescent="0.25">
      <c r="F201" t="s">
        <v>2754</v>
      </c>
      <c r="G201" t="s">
        <v>3448</v>
      </c>
      <c r="I201" t="s">
        <v>313</v>
      </c>
      <c r="J201" t="s">
        <v>777</v>
      </c>
      <c r="L201" t="s">
        <v>4154</v>
      </c>
      <c r="M201" t="s">
        <v>4253</v>
      </c>
    </row>
    <row r="202" spans="6:13" x14ac:dyDescent="0.25">
      <c r="F202" t="s">
        <v>4523</v>
      </c>
      <c r="G202" t="s">
        <v>4844</v>
      </c>
      <c r="I202" t="s">
        <v>2359</v>
      </c>
      <c r="J202" t="s">
        <v>3988</v>
      </c>
      <c r="L202" t="s">
        <v>289</v>
      </c>
      <c r="M202" t="s">
        <v>7130</v>
      </c>
    </row>
    <row r="203" spans="6:13" x14ac:dyDescent="0.25">
      <c r="F203" t="s">
        <v>2676</v>
      </c>
      <c r="G203" t="s">
        <v>3298</v>
      </c>
      <c r="I203" t="s">
        <v>5433</v>
      </c>
      <c r="J203" t="s">
        <v>5434</v>
      </c>
      <c r="L203" t="s">
        <v>95</v>
      </c>
      <c r="M203" t="s">
        <v>2105</v>
      </c>
    </row>
    <row r="204" spans="6:13" x14ac:dyDescent="0.25">
      <c r="F204" t="s">
        <v>2683</v>
      </c>
      <c r="G204" t="s">
        <v>3549</v>
      </c>
      <c r="I204" t="s">
        <v>5543</v>
      </c>
      <c r="J204" t="s">
        <v>926</v>
      </c>
      <c r="L204" t="s">
        <v>459</v>
      </c>
      <c r="M204" t="s">
        <v>7022</v>
      </c>
    </row>
    <row r="205" spans="6:13" x14ac:dyDescent="0.25">
      <c r="F205" t="s">
        <v>484</v>
      </c>
      <c r="G205" t="s">
        <v>3369</v>
      </c>
      <c r="I205" t="s">
        <v>2748</v>
      </c>
      <c r="J205" t="s">
        <v>3034</v>
      </c>
      <c r="L205" t="s">
        <v>37</v>
      </c>
      <c r="M205" t="s">
        <v>2101</v>
      </c>
    </row>
    <row r="206" spans="6:13" x14ac:dyDescent="0.25">
      <c r="F206" t="s">
        <v>4523</v>
      </c>
      <c r="G206" t="s">
        <v>5011</v>
      </c>
      <c r="I206" t="s">
        <v>254</v>
      </c>
      <c r="J206" t="s">
        <v>1295</v>
      </c>
      <c r="L206" t="s">
        <v>123</v>
      </c>
      <c r="M206" t="s">
        <v>7673</v>
      </c>
    </row>
    <row r="207" spans="6:13" x14ac:dyDescent="0.25">
      <c r="F207" t="s">
        <v>4523</v>
      </c>
      <c r="G207" t="s">
        <v>4538</v>
      </c>
      <c r="I207" t="s">
        <v>5870</v>
      </c>
      <c r="J207" t="s">
        <v>5871</v>
      </c>
      <c r="L207" t="s">
        <v>7830</v>
      </c>
      <c r="M207" t="s">
        <v>7831</v>
      </c>
    </row>
    <row r="208" spans="6:13" x14ac:dyDescent="0.25">
      <c r="F208" t="s">
        <v>37</v>
      </c>
      <c r="G208" t="s">
        <v>5209</v>
      </c>
      <c r="I208" t="s">
        <v>2748</v>
      </c>
      <c r="J208" t="s">
        <v>3066</v>
      </c>
      <c r="L208" t="s">
        <v>289</v>
      </c>
      <c r="M208" t="s">
        <v>6919</v>
      </c>
    </row>
    <row r="209" spans="6:13" x14ac:dyDescent="0.25">
      <c r="F209" t="s">
        <v>95</v>
      </c>
      <c r="G209" t="s">
        <v>5110</v>
      </c>
      <c r="I209" t="s">
        <v>2748</v>
      </c>
      <c r="J209" t="s">
        <v>3038</v>
      </c>
      <c r="L209" t="s">
        <v>6943</v>
      </c>
      <c r="M209" t="s">
        <v>2564</v>
      </c>
    </row>
    <row r="210" spans="6:13" x14ac:dyDescent="0.25">
      <c r="F210" t="s">
        <v>5211</v>
      </c>
      <c r="G210" t="s">
        <v>3762</v>
      </c>
      <c r="I210" t="s">
        <v>253</v>
      </c>
      <c r="J210" t="s">
        <v>4090</v>
      </c>
      <c r="L210" t="s">
        <v>313</v>
      </c>
      <c r="M210" t="s">
        <v>1684</v>
      </c>
    </row>
    <row r="211" spans="6:13" x14ac:dyDescent="0.25">
      <c r="F211" t="s">
        <v>4523</v>
      </c>
      <c r="G211" t="s">
        <v>4735</v>
      </c>
      <c r="I211" t="s">
        <v>5286</v>
      </c>
      <c r="J211" t="s">
        <v>6843</v>
      </c>
      <c r="L211" t="s">
        <v>459</v>
      </c>
      <c r="M211" t="s">
        <v>7212</v>
      </c>
    </row>
    <row r="212" spans="6:13" x14ac:dyDescent="0.25">
      <c r="F212" t="s">
        <v>551</v>
      </c>
      <c r="G212" t="s">
        <v>3331</v>
      </c>
      <c r="I212" t="s">
        <v>5241</v>
      </c>
      <c r="J212" t="s">
        <v>781</v>
      </c>
      <c r="L212" t="s">
        <v>313</v>
      </c>
      <c r="M212" t="s">
        <v>7628</v>
      </c>
    </row>
    <row r="213" spans="6:13" x14ac:dyDescent="0.25">
      <c r="F213" t="s">
        <v>122</v>
      </c>
      <c r="G213" t="s">
        <v>4397</v>
      </c>
      <c r="I213" t="s">
        <v>0</v>
      </c>
      <c r="J213" t="s">
        <v>5490</v>
      </c>
      <c r="L213" t="s">
        <v>392</v>
      </c>
      <c r="M213" t="s">
        <v>2330</v>
      </c>
    </row>
    <row r="214" spans="6:13" x14ac:dyDescent="0.25">
      <c r="F214" t="s">
        <v>37</v>
      </c>
      <c r="G214" t="s">
        <v>5222</v>
      </c>
      <c r="I214" t="s">
        <v>254</v>
      </c>
      <c r="J214" t="s">
        <v>6880</v>
      </c>
      <c r="L214" t="s">
        <v>3861</v>
      </c>
      <c r="M214" t="s">
        <v>4200</v>
      </c>
    </row>
    <row r="215" spans="6:13" x14ac:dyDescent="0.25">
      <c r="F215" t="s">
        <v>551</v>
      </c>
      <c r="G215" t="s">
        <v>609</v>
      </c>
      <c r="I215" t="s">
        <v>6202</v>
      </c>
      <c r="J215" t="s">
        <v>1279</v>
      </c>
      <c r="L215" t="s">
        <v>95</v>
      </c>
      <c r="M215" t="s">
        <v>2094</v>
      </c>
    </row>
    <row r="216" spans="6:13" x14ac:dyDescent="0.25">
      <c r="F216" t="s">
        <v>5162</v>
      </c>
      <c r="G216" t="s">
        <v>4938</v>
      </c>
      <c r="I216" t="s">
        <v>90</v>
      </c>
      <c r="J216" t="s">
        <v>6253</v>
      </c>
      <c r="L216" t="s">
        <v>7426</v>
      </c>
      <c r="M216" t="s">
        <v>1967</v>
      </c>
    </row>
    <row r="217" spans="6:13" x14ac:dyDescent="0.25">
      <c r="F217" t="s">
        <v>5208</v>
      </c>
      <c r="G217" t="s">
        <v>4938</v>
      </c>
      <c r="I217" t="s">
        <v>15</v>
      </c>
      <c r="J217" t="s">
        <v>2934</v>
      </c>
      <c r="L217" t="s">
        <v>4154</v>
      </c>
      <c r="M217" t="s">
        <v>4234</v>
      </c>
    </row>
    <row r="218" spans="6:13" x14ac:dyDescent="0.25">
      <c r="F218" t="s">
        <v>37</v>
      </c>
      <c r="G218" t="s">
        <v>5078</v>
      </c>
      <c r="I218" t="s">
        <v>313</v>
      </c>
      <c r="J218" t="s">
        <v>987</v>
      </c>
      <c r="L218" t="s">
        <v>392</v>
      </c>
      <c r="M218" t="s">
        <v>1810</v>
      </c>
    </row>
    <row r="219" spans="6:13" x14ac:dyDescent="0.25">
      <c r="F219" t="s">
        <v>551</v>
      </c>
      <c r="G219" t="s">
        <v>617</v>
      </c>
      <c r="I219" t="s">
        <v>313</v>
      </c>
      <c r="J219" t="s">
        <v>1411</v>
      </c>
      <c r="L219" t="s">
        <v>551</v>
      </c>
      <c r="M219" t="s">
        <v>2248</v>
      </c>
    </row>
    <row r="220" spans="6:13" x14ac:dyDescent="0.25">
      <c r="F220" t="s">
        <v>2681</v>
      </c>
      <c r="G220" t="s">
        <v>5187</v>
      </c>
      <c r="I220" t="s">
        <v>6470</v>
      </c>
      <c r="J220" t="s">
        <v>6471</v>
      </c>
      <c r="L220" t="s">
        <v>392</v>
      </c>
      <c r="M220" t="s">
        <v>3162</v>
      </c>
    </row>
    <row r="221" spans="6:13" x14ac:dyDescent="0.25">
      <c r="F221" t="s">
        <v>3861</v>
      </c>
      <c r="G221" t="s">
        <v>4346</v>
      </c>
      <c r="I221" t="s">
        <v>5509</v>
      </c>
      <c r="J221" t="s">
        <v>907</v>
      </c>
      <c r="L221" t="s">
        <v>445</v>
      </c>
      <c r="M221" t="s">
        <v>7555</v>
      </c>
    </row>
    <row r="222" spans="6:13" x14ac:dyDescent="0.25">
      <c r="F222" t="s">
        <v>4697</v>
      </c>
      <c r="G222" t="s">
        <v>4698</v>
      </c>
      <c r="I222" t="s">
        <v>5807</v>
      </c>
      <c r="J222" t="s">
        <v>907</v>
      </c>
      <c r="L222" t="s">
        <v>311</v>
      </c>
      <c r="M222" t="s">
        <v>2108</v>
      </c>
    </row>
    <row r="223" spans="6:13" x14ac:dyDescent="0.25">
      <c r="F223" t="s">
        <v>551</v>
      </c>
      <c r="G223" t="s">
        <v>733</v>
      </c>
      <c r="I223" t="s">
        <v>6157</v>
      </c>
      <c r="J223" t="s">
        <v>6158</v>
      </c>
      <c r="L223" t="s">
        <v>289</v>
      </c>
      <c r="M223" t="s">
        <v>2622</v>
      </c>
    </row>
    <row r="224" spans="6:13" x14ac:dyDescent="0.25">
      <c r="F224" t="s">
        <v>399</v>
      </c>
      <c r="G224" t="s">
        <v>760</v>
      </c>
      <c r="I224" t="s">
        <v>313</v>
      </c>
      <c r="J224" t="s">
        <v>6043</v>
      </c>
      <c r="L224" t="s">
        <v>313</v>
      </c>
      <c r="M224" t="s">
        <v>7857</v>
      </c>
    </row>
    <row r="225" spans="6:13" x14ac:dyDescent="0.25">
      <c r="F225" t="s">
        <v>551</v>
      </c>
      <c r="G225" t="s">
        <v>651</v>
      </c>
      <c r="I225" t="s">
        <v>313</v>
      </c>
      <c r="J225" t="s">
        <v>1472</v>
      </c>
      <c r="L225" t="s">
        <v>392</v>
      </c>
      <c r="M225" t="s">
        <v>3265</v>
      </c>
    </row>
    <row r="226" spans="6:13" x14ac:dyDescent="0.25">
      <c r="F226" t="s">
        <v>2674</v>
      </c>
      <c r="G226" t="s">
        <v>3356</v>
      </c>
      <c r="I226" t="s">
        <v>548</v>
      </c>
      <c r="J226" t="s">
        <v>6339</v>
      </c>
      <c r="L226" t="s">
        <v>7832</v>
      </c>
      <c r="M226" t="s">
        <v>7833</v>
      </c>
    </row>
    <row r="227" spans="6:13" x14ac:dyDescent="0.25">
      <c r="F227" t="s">
        <v>4856</v>
      </c>
      <c r="G227" t="s">
        <v>4857</v>
      </c>
      <c r="I227" t="s">
        <v>311</v>
      </c>
      <c r="J227" t="s">
        <v>1403</v>
      </c>
      <c r="L227" t="s">
        <v>313</v>
      </c>
      <c r="M227" t="s">
        <v>7875</v>
      </c>
    </row>
    <row r="228" spans="6:13" x14ac:dyDescent="0.25">
      <c r="F228" t="s">
        <v>484</v>
      </c>
      <c r="G228" t="s">
        <v>4783</v>
      </c>
      <c r="I228" t="s">
        <v>5386</v>
      </c>
      <c r="J228" t="s">
        <v>857</v>
      </c>
      <c r="L228" t="s">
        <v>356</v>
      </c>
      <c r="M228" t="s">
        <v>7062</v>
      </c>
    </row>
    <row r="229" spans="6:13" x14ac:dyDescent="0.25">
      <c r="F229" t="s">
        <v>4523</v>
      </c>
      <c r="G229" t="s">
        <v>4928</v>
      </c>
      <c r="I229" t="s">
        <v>548</v>
      </c>
      <c r="J229" t="s">
        <v>6236</v>
      </c>
      <c r="L229" t="s">
        <v>445</v>
      </c>
      <c r="M229" t="s">
        <v>1971</v>
      </c>
    </row>
    <row r="230" spans="6:13" x14ac:dyDescent="0.25">
      <c r="F230" t="s">
        <v>548</v>
      </c>
      <c r="G230" t="s">
        <v>4687</v>
      </c>
      <c r="I230" t="s">
        <v>5469</v>
      </c>
      <c r="J230" t="s">
        <v>5470</v>
      </c>
      <c r="L230" t="s">
        <v>7093</v>
      </c>
      <c r="M230" t="s">
        <v>2034</v>
      </c>
    </row>
    <row r="231" spans="6:13" x14ac:dyDescent="0.25">
      <c r="F231" t="s">
        <v>548</v>
      </c>
      <c r="G231" t="s">
        <v>4952</v>
      </c>
      <c r="I231" t="s">
        <v>5498</v>
      </c>
      <c r="J231" t="s">
        <v>5499</v>
      </c>
      <c r="L231" t="s">
        <v>95</v>
      </c>
      <c r="M231" t="s">
        <v>1896</v>
      </c>
    </row>
    <row r="232" spans="6:13" x14ac:dyDescent="0.25">
      <c r="F232" t="s">
        <v>5200</v>
      </c>
      <c r="G232" t="s">
        <v>3700</v>
      </c>
      <c r="I232" t="s">
        <v>3861</v>
      </c>
      <c r="J232" t="s">
        <v>3909</v>
      </c>
      <c r="L232" t="s">
        <v>289</v>
      </c>
      <c r="M232" t="s">
        <v>2143</v>
      </c>
    </row>
    <row r="233" spans="6:13" x14ac:dyDescent="0.25">
      <c r="F233" t="s">
        <v>3861</v>
      </c>
      <c r="G233" t="s">
        <v>4393</v>
      </c>
      <c r="I233" t="s">
        <v>4562</v>
      </c>
      <c r="J233" t="s">
        <v>6315</v>
      </c>
      <c r="L233" t="s">
        <v>551</v>
      </c>
      <c r="M233" t="s">
        <v>2313</v>
      </c>
    </row>
    <row r="234" spans="6:13" x14ac:dyDescent="0.25">
      <c r="F234" t="s">
        <v>2774</v>
      </c>
      <c r="G234" t="s">
        <v>3673</v>
      </c>
      <c r="I234" t="s">
        <v>253</v>
      </c>
      <c r="J234" t="s">
        <v>897</v>
      </c>
      <c r="L234" t="s">
        <v>289</v>
      </c>
      <c r="M234" t="s">
        <v>7917</v>
      </c>
    </row>
    <row r="235" spans="6:13" x14ac:dyDescent="0.25">
      <c r="F235" t="s">
        <v>2774</v>
      </c>
      <c r="G235" t="s">
        <v>3459</v>
      </c>
      <c r="I235" t="s">
        <v>6080</v>
      </c>
      <c r="J235" t="s">
        <v>2942</v>
      </c>
      <c r="L235" t="s">
        <v>37</v>
      </c>
      <c r="M235" t="s">
        <v>2121</v>
      </c>
    </row>
    <row r="236" spans="6:13" x14ac:dyDescent="0.25">
      <c r="F236" t="s">
        <v>2774</v>
      </c>
      <c r="G236" t="s">
        <v>3484</v>
      </c>
      <c r="I236" t="s">
        <v>548</v>
      </c>
      <c r="J236" t="s">
        <v>2935</v>
      </c>
      <c r="L236" t="s">
        <v>401</v>
      </c>
      <c r="M236" t="s">
        <v>2300</v>
      </c>
    </row>
    <row r="237" spans="6:13" x14ac:dyDescent="0.25">
      <c r="F237" t="s">
        <v>4611</v>
      </c>
      <c r="G237" t="s">
        <v>741</v>
      </c>
      <c r="I237" t="s">
        <v>551</v>
      </c>
      <c r="J237" t="s">
        <v>5704</v>
      </c>
      <c r="L237" t="s">
        <v>7814</v>
      </c>
      <c r="M237" t="s">
        <v>2253</v>
      </c>
    </row>
    <row r="238" spans="6:13" x14ac:dyDescent="0.25">
      <c r="F238" t="s">
        <v>4523</v>
      </c>
      <c r="G238" t="s">
        <v>4819</v>
      </c>
      <c r="I238" t="s">
        <v>313</v>
      </c>
      <c r="J238" t="s">
        <v>1529</v>
      </c>
      <c r="L238" t="s">
        <v>392</v>
      </c>
      <c r="M238" t="s">
        <v>2123</v>
      </c>
    </row>
    <row r="239" spans="6:13" x14ac:dyDescent="0.25">
      <c r="F239" t="s">
        <v>4955</v>
      </c>
      <c r="G239" t="s">
        <v>753</v>
      </c>
      <c r="I239" t="s">
        <v>5706</v>
      </c>
      <c r="J239" t="s">
        <v>6246</v>
      </c>
      <c r="L239" t="s">
        <v>313</v>
      </c>
      <c r="M239" t="s">
        <v>7293</v>
      </c>
    </row>
    <row r="240" spans="6:13" x14ac:dyDescent="0.25">
      <c r="F240" t="s">
        <v>3861</v>
      </c>
      <c r="G240" t="s">
        <v>4416</v>
      </c>
      <c r="I240" t="s">
        <v>3908</v>
      </c>
      <c r="J240" t="s">
        <v>6751</v>
      </c>
      <c r="L240" t="s">
        <v>7645</v>
      </c>
      <c r="M240" t="s">
        <v>3213</v>
      </c>
    </row>
    <row r="241" spans="6:13" x14ac:dyDescent="0.25">
      <c r="F241" t="s">
        <v>37</v>
      </c>
      <c r="G241" t="s">
        <v>5123</v>
      </c>
      <c r="I241" t="s">
        <v>6639</v>
      </c>
      <c r="J241" t="s">
        <v>6640</v>
      </c>
      <c r="L241" t="s">
        <v>452</v>
      </c>
      <c r="M241" t="s">
        <v>3148</v>
      </c>
    </row>
    <row r="242" spans="6:13" x14ac:dyDescent="0.25">
      <c r="F242" t="s">
        <v>2774</v>
      </c>
      <c r="G242" t="s">
        <v>3384</v>
      </c>
      <c r="I242" t="s">
        <v>313</v>
      </c>
      <c r="J242" t="s">
        <v>6655</v>
      </c>
      <c r="L242" t="s">
        <v>6583</v>
      </c>
      <c r="M242" t="s">
        <v>7558</v>
      </c>
    </row>
    <row r="243" spans="6:13" x14ac:dyDescent="0.25">
      <c r="F243" t="s">
        <v>484</v>
      </c>
      <c r="G243" t="s">
        <v>5149</v>
      </c>
      <c r="I243" t="s">
        <v>2739</v>
      </c>
      <c r="J243" t="s">
        <v>4048</v>
      </c>
      <c r="L243" t="s">
        <v>392</v>
      </c>
      <c r="M243" t="s">
        <v>3091</v>
      </c>
    </row>
    <row r="244" spans="6:13" x14ac:dyDescent="0.25">
      <c r="F244" t="s">
        <v>484</v>
      </c>
      <c r="G244" t="s">
        <v>3512</v>
      </c>
      <c r="I244" t="s">
        <v>2748</v>
      </c>
      <c r="J244" t="s">
        <v>4106</v>
      </c>
      <c r="L244" t="s">
        <v>459</v>
      </c>
      <c r="M244" t="s">
        <v>7179</v>
      </c>
    </row>
    <row r="245" spans="6:13" x14ac:dyDescent="0.25">
      <c r="F245" t="s">
        <v>4523</v>
      </c>
      <c r="G245" t="s">
        <v>4793</v>
      </c>
      <c r="I245" t="s">
        <v>2748</v>
      </c>
      <c r="J245" t="s">
        <v>3956</v>
      </c>
      <c r="L245" t="s">
        <v>46</v>
      </c>
      <c r="M245" t="s">
        <v>2032</v>
      </c>
    </row>
    <row r="246" spans="6:13" x14ac:dyDescent="0.25">
      <c r="F246" t="s">
        <v>2674</v>
      </c>
      <c r="G246" t="s">
        <v>3751</v>
      </c>
      <c r="I246" t="s">
        <v>2748</v>
      </c>
      <c r="J246" t="s">
        <v>4103</v>
      </c>
      <c r="L246" t="s">
        <v>7839</v>
      </c>
      <c r="M246" t="s">
        <v>2266</v>
      </c>
    </row>
    <row r="247" spans="6:13" x14ac:dyDescent="0.25">
      <c r="F247" t="s">
        <v>2733</v>
      </c>
      <c r="G247" t="s">
        <v>3579</v>
      </c>
      <c r="I247" t="s">
        <v>2748</v>
      </c>
      <c r="J247" t="s">
        <v>3954</v>
      </c>
      <c r="L247" t="s">
        <v>4154</v>
      </c>
      <c r="M247" t="s">
        <v>4285</v>
      </c>
    </row>
    <row r="248" spans="6:13" x14ac:dyDescent="0.25">
      <c r="F248" t="s">
        <v>4523</v>
      </c>
      <c r="G248" t="s">
        <v>4858</v>
      </c>
      <c r="I248" t="s">
        <v>313</v>
      </c>
      <c r="J248" t="s">
        <v>942</v>
      </c>
      <c r="L248" t="s">
        <v>462</v>
      </c>
      <c r="M248" t="s">
        <v>2151</v>
      </c>
    </row>
    <row r="249" spans="6:13" x14ac:dyDescent="0.25">
      <c r="F249" t="s">
        <v>95</v>
      </c>
      <c r="G249" t="s">
        <v>5060</v>
      </c>
      <c r="I249" t="s">
        <v>11</v>
      </c>
      <c r="J249" t="s">
        <v>6607</v>
      </c>
      <c r="L249" t="s">
        <v>313</v>
      </c>
      <c r="M249" t="s">
        <v>4284</v>
      </c>
    </row>
    <row r="250" spans="6:13" x14ac:dyDescent="0.25">
      <c r="F250" t="s">
        <v>4673</v>
      </c>
      <c r="G250" t="s">
        <v>4674</v>
      </c>
      <c r="I250" t="s">
        <v>5651</v>
      </c>
      <c r="J250" t="s">
        <v>983</v>
      </c>
      <c r="L250" t="s">
        <v>37</v>
      </c>
      <c r="M250" t="s">
        <v>1739</v>
      </c>
    </row>
    <row r="251" spans="6:13" x14ac:dyDescent="0.25">
      <c r="F251" t="s">
        <v>484</v>
      </c>
      <c r="G251" t="s">
        <v>3644</v>
      </c>
      <c r="I251" t="s">
        <v>5908</v>
      </c>
      <c r="J251" t="s">
        <v>2841</v>
      </c>
      <c r="L251" t="s">
        <v>2727</v>
      </c>
      <c r="M251" t="s">
        <v>7969</v>
      </c>
    </row>
    <row r="252" spans="6:13" x14ac:dyDescent="0.25">
      <c r="F252" t="s">
        <v>46</v>
      </c>
      <c r="G252" t="s">
        <v>3721</v>
      </c>
      <c r="I252" t="s">
        <v>63</v>
      </c>
      <c r="J252" t="s">
        <v>2457</v>
      </c>
      <c r="L252" t="s">
        <v>37</v>
      </c>
      <c r="M252" t="s">
        <v>7765</v>
      </c>
    </row>
    <row r="253" spans="6:13" x14ac:dyDescent="0.25">
      <c r="F253" t="s">
        <v>37</v>
      </c>
      <c r="G253" t="s">
        <v>4977</v>
      </c>
      <c r="I253" t="s">
        <v>5926</v>
      </c>
      <c r="J253" t="s">
        <v>6277</v>
      </c>
      <c r="L253" t="s">
        <v>7883</v>
      </c>
      <c r="M253" t="s">
        <v>2293</v>
      </c>
    </row>
    <row r="254" spans="6:13" x14ac:dyDescent="0.25">
      <c r="F254" t="s">
        <v>2774</v>
      </c>
      <c r="G254" t="s">
        <v>3550</v>
      </c>
      <c r="I254" t="s">
        <v>340</v>
      </c>
      <c r="J254" t="s">
        <v>5874</v>
      </c>
      <c r="L254" t="s">
        <v>551</v>
      </c>
      <c r="M254" t="s">
        <v>2289</v>
      </c>
    </row>
    <row r="255" spans="6:13" x14ac:dyDescent="0.25">
      <c r="F255" t="s">
        <v>551</v>
      </c>
      <c r="G255" t="s">
        <v>3626</v>
      </c>
      <c r="I255" t="s">
        <v>257</v>
      </c>
      <c r="J255" t="s">
        <v>6224</v>
      </c>
      <c r="L255" t="s">
        <v>7389</v>
      </c>
      <c r="M255" t="s">
        <v>3171</v>
      </c>
    </row>
    <row r="256" spans="6:13" x14ac:dyDescent="0.25">
      <c r="F256" t="s">
        <v>4809</v>
      </c>
      <c r="G256" t="s">
        <v>3597</v>
      </c>
      <c r="I256" t="s">
        <v>5491</v>
      </c>
      <c r="J256" t="s">
        <v>1254</v>
      </c>
      <c r="L256" t="s">
        <v>4154</v>
      </c>
      <c r="M256" t="s">
        <v>4273</v>
      </c>
    </row>
    <row r="257" spans="6:13" x14ac:dyDescent="0.25">
      <c r="F257" t="s">
        <v>4913</v>
      </c>
      <c r="G257" t="s">
        <v>4914</v>
      </c>
      <c r="I257" t="s">
        <v>256</v>
      </c>
      <c r="J257" t="s">
        <v>6738</v>
      </c>
      <c r="L257" t="s">
        <v>3861</v>
      </c>
      <c r="M257" t="s">
        <v>4227</v>
      </c>
    </row>
    <row r="258" spans="6:13" x14ac:dyDescent="0.25">
      <c r="F258" t="s">
        <v>4523</v>
      </c>
      <c r="G258" t="s">
        <v>4950</v>
      </c>
      <c r="I258" t="s">
        <v>5343</v>
      </c>
      <c r="J258" t="s">
        <v>5344</v>
      </c>
      <c r="L258" t="s">
        <v>39</v>
      </c>
      <c r="M258" t="s">
        <v>3185</v>
      </c>
    </row>
    <row r="259" spans="6:13" x14ac:dyDescent="0.25">
      <c r="F259" t="s">
        <v>37</v>
      </c>
      <c r="G259" t="s">
        <v>5097</v>
      </c>
      <c r="I259" t="s">
        <v>3861</v>
      </c>
      <c r="J259" t="s">
        <v>3974</v>
      </c>
      <c r="L259" t="s">
        <v>4154</v>
      </c>
      <c r="M259" t="s">
        <v>7511</v>
      </c>
    </row>
    <row r="260" spans="6:13" x14ac:dyDescent="0.25">
      <c r="F260" t="s">
        <v>4585</v>
      </c>
      <c r="G260" t="s">
        <v>4976</v>
      </c>
      <c r="I260" t="s">
        <v>4342</v>
      </c>
      <c r="J260" t="s">
        <v>5316</v>
      </c>
      <c r="L260" t="s">
        <v>452</v>
      </c>
      <c r="M260" t="s">
        <v>7302</v>
      </c>
    </row>
    <row r="261" spans="6:13" x14ac:dyDescent="0.25">
      <c r="F261" t="s">
        <v>37</v>
      </c>
      <c r="G261" t="s">
        <v>5216</v>
      </c>
      <c r="I261" t="s">
        <v>2748</v>
      </c>
      <c r="J261" t="s">
        <v>4017</v>
      </c>
      <c r="L261" t="s">
        <v>37</v>
      </c>
      <c r="M261" t="s">
        <v>7043</v>
      </c>
    </row>
    <row r="262" spans="6:13" x14ac:dyDescent="0.25">
      <c r="F262" t="s">
        <v>4576</v>
      </c>
      <c r="G262" t="s">
        <v>4577</v>
      </c>
      <c r="I262" t="s">
        <v>548</v>
      </c>
      <c r="J262" t="s">
        <v>6519</v>
      </c>
      <c r="L262" t="s">
        <v>6904</v>
      </c>
      <c r="M262" t="s">
        <v>6905</v>
      </c>
    </row>
    <row r="263" spans="6:13" x14ac:dyDescent="0.25">
      <c r="F263" t="s">
        <v>122</v>
      </c>
      <c r="G263" t="s">
        <v>751</v>
      </c>
      <c r="I263" t="s">
        <v>3945</v>
      </c>
      <c r="J263" t="s">
        <v>4096</v>
      </c>
      <c r="L263" t="s">
        <v>551</v>
      </c>
      <c r="M263" t="s">
        <v>7195</v>
      </c>
    </row>
    <row r="264" spans="6:13" x14ac:dyDescent="0.25">
      <c r="F264" t="s">
        <v>4585</v>
      </c>
      <c r="G264" t="s">
        <v>4655</v>
      </c>
      <c r="I264" t="s">
        <v>3861</v>
      </c>
      <c r="J264" t="s">
        <v>4067</v>
      </c>
      <c r="L264" t="s">
        <v>3861</v>
      </c>
      <c r="M264" t="s">
        <v>4204</v>
      </c>
    </row>
    <row r="265" spans="6:13" x14ac:dyDescent="0.25">
      <c r="F265" t="s">
        <v>37</v>
      </c>
      <c r="G265" t="s">
        <v>4778</v>
      </c>
      <c r="I265" t="s">
        <v>548</v>
      </c>
      <c r="J265" t="s">
        <v>6796</v>
      </c>
      <c r="L265" t="s">
        <v>356</v>
      </c>
      <c r="M265" t="s">
        <v>7190</v>
      </c>
    </row>
    <row r="266" spans="6:13" x14ac:dyDescent="0.25">
      <c r="F266" t="s">
        <v>4845</v>
      </c>
      <c r="G266" t="s">
        <v>4846</v>
      </c>
      <c r="I266" t="s">
        <v>253</v>
      </c>
      <c r="J266" t="s">
        <v>1613</v>
      </c>
      <c r="L266" t="s">
        <v>7118</v>
      </c>
      <c r="M266" t="s">
        <v>4176</v>
      </c>
    </row>
    <row r="267" spans="6:13" x14ac:dyDescent="0.25">
      <c r="F267" t="s">
        <v>46</v>
      </c>
      <c r="G267" t="s">
        <v>3447</v>
      </c>
      <c r="I267" t="s">
        <v>5409</v>
      </c>
      <c r="J267" t="s">
        <v>5410</v>
      </c>
      <c r="L267" t="s">
        <v>401</v>
      </c>
      <c r="M267" t="s">
        <v>1935</v>
      </c>
    </row>
    <row r="268" spans="6:13" x14ac:dyDescent="0.25">
      <c r="F268" t="s">
        <v>4548</v>
      </c>
      <c r="G268" t="s">
        <v>4549</v>
      </c>
      <c r="I268" t="s">
        <v>318</v>
      </c>
      <c r="J268" t="s">
        <v>6044</v>
      </c>
      <c r="L268" t="s">
        <v>36</v>
      </c>
      <c r="M268" t="s">
        <v>1778</v>
      </c>
    </row>
    <row r="269" spans="6:13" x14ac:dyDescent="0.25">
      <c r="F269" t="s">
        <v>122</v>
      </c>
      <c r="G269" t="s">
        <v>3522</v>
      </c>
      <c r="I269" t="s">
        <v>551</v>
      </c>
      <c r="J269" t="s">
        <v>2951</v>
      </c>
      <c r="L269" t="s">
        <v>4154</v>
      </c>
      <c r="M269" t="s">
        <v>4239</v>
      </c>
    </row>
    <row r="270" spans="6:13" x14ac:dyDescent="0.25">
      <c r="F270" t="s">
        <v>4523</v>
      </c>
      <c r="G270" t="s">
        <v>4588</v>
      </c>
      <c r="I270" t="s">
        <v>2748</v>
      </c>
      <c r="J270" t="s">
        <v>4027</v>
      </c>
      <c r="L270" t="s">
        <v>37</v>
      </c>
      <c r="M270" t="s">
        <v>3205</v>
      </c>
    </row>
    <row r="271" spans="6:13" x14ac:dyDescent="0.25">
      <c r="F271" t="s">
        <v>4523</v>
      </c>
      <c r="G271" t="s">
        <v>4723</v>
      </c>
      <c r="I271" t="s">
        <v>11</v>
      </c>
      <c r="J271" t="s">
        <v>5836</v>
      </c>
      <c r="L271" t="s">
        <v>4154</v>
      </c>
      <c r="M271" t="s">
        <v>4221</v>
      </c>
    </row>
    <row r="272" spans="6:13" x14ac:dyDescent="0.25">
      <c r="F272" t="s">
        <v>5116</v>
      </c>
      <c r="G272" t="s">
        <v>4706</v>
      </c>
      <c r="I272" t="s">
        <v>2748</v>
      </c>
      <c r="J272" t="s">
        <v>3055</v>
      </c>
      <c r="L272" t="s">
        <v>7529</v>
      </c>
      <c r="M272" t="s">
        <v>3192</v>
      </c>
    </row>
    <row r="273" spans="6:13" x14ac:dyDescent="0.25">
      <c r="F273" t="s">
        <v>5205</v>
      </c>
      <c r="G273" t="s">
        <v>4706</v>
      </c>
      <c r="I273" t="s">
        <v>2748</v>
      </c>
      <c r="J273" t="s">
        <v>3047</v>
      </c>
      <c r="L273" t="s">
        <v>95</v>
      </c>
      <c r="M273" t="s">
        <v>3264</v>
      </c>
    </row>
    <row r="274" spans="6:13" x14ac:dyDescent="0.25">
      <c r="F274" t="s">
        <v>4929</v>
      </c>
      <c r="G274" t="s">
        <v>5195</v>
      </c>
      <c r="I274" t="s">
        <v>2748</v>
      </c>
      <c r="J274" t="s">
        <v>3063</v>
      </c>
      <c r="L274" t="s">
        <v>392</v>
      </c>
      <c r="M274" t="s">
        <v>2626</v>
      </c>
    </row>
    <row r="275" spans="6:13" x14ac:dyDescent="0.25">
      <c r="F275" t="s">
        <v>2681</v>
      </c>
      <c r="G275" t="s">
        <v>3789</v>
      </c>
      <c r="I275" t="s">
        <v>2748</v>
      </c>
      <c r="J275" t="s">
        <v>3070</v>
      </c>
      <c r="L275" t="s">
        <v>289</v>
      </c>
      <c r="M275" t="s">
        <v>7146</v>
      </c>
    </row>
    <row r="276" spans="6:13" x14ac:dyDescent="0.25">
      <c r="F276" t="s">
        <v>37</v>
      </c>
      <c r="G276" t="s">
        <v>4997</v>
      </c>
      <c r="I276" t="s">
        <v>6394</v>
      </c>
      <c r="J276" t="s">
        <v>1391</v>
      </c>
      <c r="L276" t="s">
        <v>392</v>
      </c>
      <c r="M276" t="s">
        <v>3095</v>
      </c>
    </row>
    <row r="277" spans="6:13" x14ac:dyDescent="0.25">
      <c r="F277" t="s">
        <v>2774</v>
      </c>
      <c r="G277" t="s">
        <v>3376</v>
      </c>
      <c r="I277" t="s">
        <v>6460</v>
      </c>
      <c r="J277" t="s">
        <v>1420</v>
      </c>
      <c r="L277" t="s">
        <v>392</v>
      </c>
      <c r="M277" t="s">
        <v>2585</v>
      </c>
    </row>
    <row r="278" spans="6:13" x14ac:dyDescent="0.25">
      <c r="F278" t="s">
        <v>4523</v>
      </c>
      <c r="G278" t="s">
        <v>4840</v>
      </c>
      <c r="I278" t="s">
        <v>1</v>
      </c>
      <c r="J278" t="s">
        <v>6579</v>
      </c>
      <c r="L278" t="s">
        <v>4578</v>
      </c>
      <c r="M278" t="s">
        <v>2028</v>
      </c>
    </row>
    <row r="279" spans="6:13" x14ac:dyDescent="0.25">
      <c r="F279" t="s">
        <v>256</v>
      </c>
      <c r="G279" t="s">
        <v>5179</v>
      </c>
      <c r="I279" t="s">
        <v>5507</v>
      </c>
      <c r="J279" t="s">
        <v>5508</v>
      </c>
      <c r="L279" t="s">
        <v>7637</v>
      </c>
      <c r="M279" t="s">
        <v>2126</v>
      </c>
    </row>
    <row r="280" spans="6:13" x14ac:dyDescent="0.25">
      <c r="F280" t="s">
        <v>2743</v>
      </c>
      <c r="G280" t="s">
        <v>3339</v>
      </c>
      <c r="I280" t="s">
        <v>3861</v>
      </c>
      <c r="J280" t="s">
        <v>4107</v>
      </c>
      <c r="L280" t="s">
        <v>7970</v>
      </c>
      <c r="M280" t="s">
        <v>2346</v>
      </c>
    </row>
    <row r="281" spans="6:13" x14ac:dyDescent="0.25">
      <c r="F281" t="s">
        <v>2745</v>
      </c>
      <c r="G281" t="s">
        <v>3592</v>
      </c>
      <c r="I281" t="s">
        <v>63</v>
      </c>
      <c r="J281" t="s">
        <v>2482</v>
      </c>
      <c r="L281" t="s">
        <v>4154</v>
      </c>
      <c r="M281" t="s">
        <v>4270</v>
      </c>
    </row>
    <row r="282" spans="6:13" x14ac:dyDescent="0.25">
      <c r="F282" t="s">
        <v>2743</v>
      </c>
      <c r="G282" t="s">
        <v>3514</v>
      </c>
      <c r="I282" t="s">
        <v>5596</v>
      </c>
      <c r="J282" t="s">
        <v>6549</v>
      </c>
      <c r="L282" t="s">
        <v>7714</v>
      </c>
      <c r="M282" t="s">
        <v>2177</v>
      </c>
    </row>
    <row r="283" spans="6:13" x14ac:dyDescent="0.25">
      <c r="F283" t="s">
        <v>2743</v>
      </c>
      <c r="G283" t="s">
        <v>3400</v>
      </c>
      <c r="I283" t="s">
        <v>254</v>
      </c>
      <c r="J283" t="s">
        <v>6726</v>
      </c>
      <c r="L283" t="s">
        <v>36</v>
      </c>
      <c r="M283" t="s">
        <v>1933</v>
      </c>
    </row>
    <row r="284" spans="6:13" x14ac:dyDescent="0.25">
      <c r="F284" t="s">
        <v>2741</v>
      </c>
      <c r="G284" t="s">
        <v>3695</v>
      </c>
      <c r="I284" t="s">
        <v>254</v>
      </c>
      <c r="J284" t="s">
        <v>1299</v>
      </c>
      <c r="L284" t="s">
        <v>6954</v>
      </c>
      <c r="M284" t="s">
        <v>1696</v>
      </c>
    </row>
    <row r="285" spans="6:13" x14ac:dyDescent="0.25">
      <c r="F285" t="s">
        <v>2745</v>
      </c>
      <c r="G285" t="s">
        <v>3300</v>
      </c>
      <c r="I285" t="s">
        <v>40</v>
      </c>
      <c r="J285" t="s">
        <v>6349</v>
      </c>
      <c r="L285" t="s">
        <v>5674</v>
      </c>
      <c r="M285" t="s">
        <v>3112</v>
      </c>
    </row>
    <row r="286" spans="6:13" x14ac:dyDescent="0.25">
      <c r="F286" t="s">
        <v>2743</v>
      </c>
      <c r="G286" t="s">
        <v>3276</v>
      </c>
      <c r="I286" t="s">
        <v>5345</v>
      </c>
      <c r="J286" t="s">
        <v>831</v>
      </c>
      <c r="L286" t="s">
        <v>459</v>
      </c>
      <c r="M286" t="s">
        <v>7690</v>
      </c>
    </row>
    <row r="287" spans="6:13" x14ac:dyDescent="0.25">
      <c r="F287" t="s">
        <v>4523</v>
      </c>
      <c r="G287" t="s">
        <v>4729</v>
      </c>
      <c r="I287" t="s">
        <v>254</v>
      </c>
      <c r="J287" t="s">
        <v>6289</v>
      </c>
      <c r="L287" t="s">
        <v>37</v>
      </c>
      <c r="M287" t="s">
        <v>7860</v>
      </c>
    </row>
    <row r="288" spans="6:13" x14ac:dyDescent="0.25">
      <c r="F288" t="s">
        <v>3861</v>
      </c>
      <c r="G288" t="s">
        <v>4382</v>
      </c>
      <c r="I288" t="s">
        <v>2748</v>
      </c>
      <c r="J288" t="s">
        <v>3980</v>
      </c>
      <c r="L288" t="s">
        <v>7237</v>
      </c>
      <c r="M288" t="s">
        <v>3143</v>
      </c>
    </row>
    <row r="289" spans="6:13" x14ac:dyDescent="0.25">
      <c r="F289" t="s">
        <v>540</v>
      </c>
      <c r="G289" t="s">
        <v>3559</v>
      </c>
      <c r="I289" t="s">
        <v>2748</v>
      </c>
      <c r="J289" t="s">
        <v>4140</v>
      </c>
      <c r="L289" t="s">
        <v>7161</v>
      </c>
      <c r="M289" t="s">
        <v>3137</v>
      </c>
    </row>
    <row r="290" spans="6:13" x14ac:dyDescent="0.25">
      <c r="F290" t="s">
        <v>5066</v>
      </c>
      <c r="G290" t="s">
        <v>4885</v>
      </c>
      <c r="I290" t="s">
        <v>2748</v>
      </c>
      <c r="J290" t="s">
        <v>3895</v>
      </c>
      <c r="L290" t="s">
        <v>7081</v>
      </c>
      <c r="M290" t="s">
        <v>1773</v>
      </c>
    </row>
    <row r="291" spans="6:13" x14ac:dyDescent="0.25">
      <c r="F291" t="s">
        <v>5188</v>
      </c>
      <c r="G291" t="s">
        <v>4885</v>
      </c>
      <c r="I291" t="s">
        <v>2748</v>
      </c>
      <c r="J291" t="s">
        <v>3997</v>
      </c>
      <c r="L291" t="s">
        <v>392</v>
      </c>
      <c r="M291" t="s">
        <v>2591</v>
      </c>
    </row>
    <row r="292" spans="6:13" x14ac:dyDescent="0.25">
      <c r="F292" t="s">
        <v>4523</v>
      </c>
      <c r="G292" t="s">
        <v>4993</v>
      </c>
      <c r="I292" t="s">
        <v>40</v>
      </c>
      <c r="J292" t="s">
        <v>6425</v>
      </c>
      <c r="L292" t="s">
        <v>289</v>
      </c>
      <c r="M292" t="s">
        <v>7512</v>
      </c>
    </row>
    <row r="293" spans="6:13" x14ac:dyDescent="0.25">
      <c r="F293" t="s">
        <v>37</v>
      </c>
      <c r="G293" t="s">
        <v>4823</v>
      </c>
      <c r="I293" t="s">
        <v>254</v>
      </c>
      <c r="J293" t="s">
        <v>5292</v>
      </c>
      <c r="L293" t="s">
        <v>459</v>
      </c>
      <c r="M293" t="s">
        <v>1758</v>
      </c>
    </row>
    <row r="294" spans="6:13" x14ac:dyDescent="0.25">
      <c r="F294" t="s">
        <v>256</v>
      </c>
      <c r="G294" t="s">
        <v>5062</v>
      </c>
      <c r="I294" t="s">
        <v>2748</v>
      </c>
      <c r="J294" t="s">
        <v>3064</v>
      </c>
      <c r="L294" t="s">
        <v>21</v>
      </c>
      <c r="M294" t="s">
        <v>2087</v>
      </c>
    </row>
    <row r="295" spans="6:13" x14ac:dyDescent="0.25">
      <c r="F295" t="s">
        <v>4561</v>
      </c>
      <c r="G295" t="s">
        <v>4767</v>
      </c>
      <c r="I295" t="s">
        <v>2748</v>
      </c>
      <c r="J295" t="s">
        <v>3013</v>
      </c>
      <c r="L295" t="s">
        <v>37</v>
      </c>
      <c r="M295" t="s">
        <v>6950</v>
      </c>
    </row>
    <row r="296" spans="6:13" x14ac:dyDescent="0.25">
      <c r="F296" t="s">
        <v>46</v>
      </c>
      <c r="G296" t="s">
        <v>643</v>
      </c>
      <c r="I296" t="s">
        <v>2745</v>
      </c>
      <c r="J296" t="s">
        <v>2930</v>
      </c>
      <c r="L296" t="s">
        <v>7093</v>
      </c>
      <c r="M296" t="s">
        <v>1779</v>
      </c>
    </row>
    <row r="297" spans="6:13" x14ac:dyDescent="0.25">
      <c r="F297" t="s">
        <v>95</v>
      </c>
      <c r="G297" t="s">
        <v>5063</v>
      </c>
      <c r="I297" t="s">
        <v>313</v>
      </c>
      <c r="J297" t="s">
        <v>7991</v>
      </c>
      <c r="L297" t="s">
        <v>283</v>
      </c>
      <c r="M297" t="s">
        <v>1826</v>
      </c>
    </row>
    <row r="298" spans="6:13" x14ac:dyDescent="0.25">
      <c r="F298" t="s">
        <v>37</v>
      </c>
      <c r="G298" t="s">
        <v>4990</v>
      </c>
      <c r="I298" t="s">
        <v>5533</v>
      </c>
      <c r="J298" t="s">
        <v>924</v>
      </c>
      <c r="L298" t="s">
        <v>4826</v>
      </c>
      <c r="M298" t="s">
        <v>7675</v>
      </c>
    </row>
    <row r="299" spans="6:13" x14ac:dyDescent="0.25">
      <c r="F299" t="s">
        <v>4523</v>
      </c>
      <c r="G299" t="s">
        <v>4816</v>
      </c>
      <c r="I299" t="s">
        <v>3887</v>
      </c>
      <c r="J299" t="s">
        <v>6330</v>
      </c>
      <c r="L299" t="s">
        <v>4154</v>
      </c>
      <c r="M299" t="s">
        <v>4173</v>
      </c>
    </row>
    <row r="300" spans="6:13" x14ac:dyDescent="0.25">
      <c r="F300" t="s">
        <v>2774</v>
      </c>
      <c r="G300" t="s">
        <v>3770</v>
      </c>
      <c r="I300" t="s">
        <v>283</v>
      </c>
      <c r="J300" t="s">
        <v>2532</v>
      </c>
      <c r="L300" t="s">
        <v>7166</v>
      </c>
      <c r="M300" t="s">
        <v>3129</v>
      </c>
    </row>
    <row r="301" spans="6:13" x14ac:dyDescent="0.25">
      <c r="F301" t="s">
        <v>2674</v>
      </c>
      <c r="G301" t="s">
        <v>3594</v>
      </c>
      <c r="I301" t="s">
        <v>95</v>
      </c>
      <c r="J301" t="s">
        <v>5629</v>
      </c>
      <c r="L301" t="s">
        <v>459</v>
      </c>
      <c r="M301" t="s">
        <v>7975</v>
      </c>
    </row>
    <row r="302" spans="6:13" x14ac:dyDescent="0.25">
      <c r="F302" t="s">
        <v>399</v>
      </c>
      <c r="G302" t="s">
        <v>735</v>
      </c>
      <c r="I302" t="s">
        <v>5702</v>
      </c>
      <c r="J302" t="s">
        <v>1015</v>
      </c>
      <c r="L302" t="s">
        <v>37</v>
      </c>
      <c r="M302" t="s">
        <v>7734</v>
      </c>
    </row>
    <row r="303" spans="6:13" x14ac:dyDescent="0.25">
      <c r="F303" t="s">
        <v>4438</v>
      </c>
      <c r="G303" t="s">
        <v>4745</v>
      </c>
      <c r="I303" t="s">
        <v>254</v>
      </c>
      <c r="J303" t="s">
        <v>5768</v>
      </c>
      <c r="L303" t="s">
        <v>7979</v>
      </c>
      <c r="M303" t="s">
        <v>2352</v>
      </c>
    </row>
    <row r="304" spans="6:13" x14ac:dyDescent="0.25">
      <c r="F304" t="s">
        <v>46</v>
      </c>
      <c r="G304" t="s">
        <v>3466</v>
      </c>
      <c r="I304" t="s">
        <v>5936</v>
      </c>
      <c r="J304" t="s">
        <v>5937</v>
      </c>
      <c r="L304" t="s">
        <v>7619</v>
      </c>
      <c r="M304" t="s">
        <v>3207</v>
      </c>
    </row>
    <row r="305" spans="6:13" x14ac:dyDescent="0.25">
      <c r="F305" t="s">
        <v>2674</v>
      </c>
      <c r="G305" t="s">
        <v>3561</v>
      </c>
      <c r="I305" t="s">
        <v>280</v>
      </c>
      <c r="J305" t="s">
        <v>8011</v>
      </c>
      <c r="L305" t="s">
        <v>7237</v>
      </c>
      <c r="M305" t="s">
        <v>3261</v>
      </c>
    </row>
    <row r="306" spans="6:13" x14ac:dyDescent="0.25">
      <c r="F306" t="s">
        <v>315</v>
      </c>
      <c r="G306" t="s">
        <v>5008</v>
      </c>
      <c r="I306" t="s">
        <v>404</v>
      </c>
      <c r="J306" t="s">
        <v>1471</v>
      </c>
      <c r="L306" t="s">
        <v>7161</v>
      </c>
      <c r="M306" t="s">
        <v>3127</v>
      </c>
    </row>
    <row r="307" spans="6:13" x14ac:dyDescent="0.25">
      <c r="F307" t="s">
        <v>356</v>
      </c>
      <c r="G307" t="s">
        <v>4404</v>
      </c>
      <c r="I307" t="s">
        <v>2748</v>
      </c>
      <c r="J307" t="s">
        <v>3012</v>
      </c>
      <c r="L307" t="s">
        <v>551</v>
      </c>
      <c r="M307" t="s">
        <v>2288</v>
      </c>
    </row>
    <row r="308" spans="6:13" x14ac:dyDescent="0.25">
      <c r="F308" t="s">
        <v>2682</v>
      </c>
      <c r="G308" t="s">
        <v>3383</v>
      </c>
      <c r="I308" t="s">
        <v>2748</v>
      </c>
      <c r="J308" t="s">
        <v>3062</v>
      </c>
      <c r="L308" t="s">
        <v>4826</v>
      </c>
      <c r="M308" t="s">
        <v>7679</v>
      </c>
    </row>
    <row r="309" spans="6:13" x14ac:dyDescent="0.25">
      <c r="F309" t="s">
        <v>4154</v>
      </c>
      <c r="G309" t="s">
        <v>4408</v>
      </c>
      <c r="I309" t="s">
        <v>286</v>
      </c>
      <c r="J309" t="s">
        <v>1117</v>
      </c>
      <c r="L309" t="s">
        <v>551</v>
      </c>
      <c r="M309" t="s">
        <v>7232</v>
      </c>
    </row>
    <row r="310" spans="6:13" x14ac:dyDescent="0.25">
      <c r="F310" t="s">
        <v>2774</v>
      </c>
      <c r="G310" t="s">
        <v>3372</v>
      </c>
      <c r="I310" t="s">
        <v>2743</v>
      </c>
      <c r="J310" t="s">
        <v>4029</v>
      </c>
      <c r="L310" t="s">
        <v>4154</v>
      </c>
      <c r="M310" t="s">
        <v>4207</v>
      </c>
    </row>
    <row r="311" spans="6:13" x14ac:dyDescent="0.25">
      <c r="F311" t="s">
        <v>37</v>
      </c>
      <c r="G311" t="s">
        <v>4657</v>
      </c>
      <c r="I311" t="s">
        <v>313</v>
      </c>
      <c r="J311" t="s">
        <v>1056</v>
      </c>
      <c r="L311" t="s">
        <v>7414</v>
      </c>
      <c r="M311" t="s">
        <v>1961</v>
      </c>
    </row>
    <row r="312" spans="6:13" x14ac:dyDescent="0.25">
      <c r="F312" t="s">
        <v>37</v>
      </c>
      <c r="G312" t="s">
        <v>4667</v>
      </c>
      <c r="I312" t="s">
        <v>5459</v>
      </c>
      <c r="J312" t="s">
        <v>895</v>
      </c>
      <c r="L312" t="s">
        <v>551</v>
      </c>
      <c r="M312" t="s">
        <v>1706</v>
      </c>
    </row>
    <row r="313" spans="6:13" x14ac:dyDescent="0.25">
      <c r="F313" t="s">
        <v>4523</v>
      </c>
      <c r="G313" t="s">
        <v>4630</v>
      </c>
      <c r="I313" t="s">
        <v>254</v>
      </c>
      <c r="J313" t="s">
        <v>1019</v>
      </c>
      <c r="L313" t="s">
        <v>7027</v>
      </c>
      <c r="M313" t="s">
        <v>1735</v>
      </c>
    </row>
    <row r="314" spans="6:13" x14ac:dyDescent="0.25">
      <c r="F314" t="s">
        <v>4523</v>
      </c>
      <c r="G314" t="s">
        <v>4882</v>
      </c>
      <c r="I314" t="s">
        <v>5509</v>
      </c>
      <c r="J314" t="s">
        <v>1059</v>
      </c>
      <c r="L314" t="s">
        <v>4438</v>
      </c>
      <c r="M314" t="s">
        <v>7855</v>
      </c>
    </row>
    <row r="315" spans="6:13" x14ac:dyDescent="0.25">
      <c r="F315" t="s">
        <v>4438</v>
      </c>
      <c r="G315" t="s">
        <v>4994</v>
      </c>
      <c r="I315" t="s">
        <v>5852</v>
      </c>
      <c r="J315" t="s">
        <v>1059</v>
      </c>
      <c r="L315" t="s">
        <v>6922</v>
      </c>
      <c r="M315" t="s">
        <v>3090</v>
      </c>
    </row>
    <row r="316" spans="6:13" x14ac:dyDescent="0.25">
      <c r="F316" t="s">
        <v>399</v>
      </c>
      <c r="G316" t="s">
        <v>3732</v>
      </c>
      <c r="I316" t="s">
        <v>5397</v>
      </c>
      <c r="J316" t="s">
        <v>5398</v>
      </c>
      <c r="L316" t="s">
        <v>392</v>
      </c>
      <c r="M316" t="s">
        <v>3153</v>
      </c>
    </row>
    <row r="317" spans="6:13" x14ac:dyDescent="0.25">
      <c r="F317" t="s">
        <v>551</v>
      </c>
      <c r="G317" t="s">
        <v>3494</v>
      </c>
      <c r="I317" t="s">
        <v>399</v>
      </c>
      <c r="J317" t="s">
        <v>1020</v>
      </c>
      <c r="L317" t="s">
        <v>313</v>
      </c>
      <c r="M317" t="s">
        <v>7717</v>
      </c>
    </row>
    <row r="318" spans="6:13" x14ac:dyDescent="0.25">
      <c r="F318" t="s">
        <v>4727</v>
      </c>
      <c r="G318" t="s">
        <v>681</v>
      </c>
      <c r="I318" t="s">
        <v>6116</v>
      </c>
      <c r="J318" t="s">
        <v>6117</v>
      </c>
      <c r="L318" t="s">
        <v>6894</v>
      </c>
      <c r="M318" t="s">
        <v>6895</v>
      </c>
    </row>
    <row r="319" spans="6:13" x14ac:dyDescent="0.25">
      <c r="F319" t="s">
        <v>2670</v>
      </c>
      <c r="G319" t="s">
        <v>4707</v>
      </c>
      <c r="I319" t="s">
        <v>254</v>
      </c>
      <c r="J319" t="s">
        <v>1023</v>
      </c>
      <c r="L319" t="s">
        <v>4826</v>
      </c>
      <c r="M319" t="s">
        <v>4232</v>
      </c>
    </row>
    <row r="320" spans="6:13" x14ac:dyDescent="0.25">
      <c r="F320" t="s">
        <v>2674</v>
      </c>
      <c r="G320" t="s">
        <v>5064</v>
      </c>
      <c r="I320" t="s">
        <v>5391</v>
      </c>
      <c r="J320" t="s">
        <v>3941</v>
      </c>
      <c r="L320" t="s">
        <v>3861</v>
      </c>
      <c r="M320" t="s">
        <v>4205</v>
      </c>
    </row>
    <row r="321" spans="6:13" x14ac:dyDescent="0.25">
      <c r="F321" t="s">
        <v>5138</v>
      </c>
      <c r="G321" t="s">
        <v>4768</v>
      </c>
      <c r="I321" t="s">
        <v>95</v>
      </c>
      <c r="J321" t="s">
        <v>6235</v>
      </c>
      <c r="L321" t="s">
        <v>39</v>
      </c>
      <c r="M321" t="s">
        <v>3260</v>
      </c>
    </row>
    <row r="322" spans="6:13" x14ac:dyDescent="0.25">
      <c r="F322" t="s">
        <v>122</v>
      </c>
      <c r="G322" t="s">
        <v>673</v>
      </c>
      <c r="I322" t="s">
        <v>6217</v>
      </c>
      <c r="J322" t="s">
        <v>6218</v>
      </c>
      <c r="L322" t="s">
        <v>313</v>
      </c>
      <c r="M322" t="s">
        <v>2036</v>
      </c>
    </row>
    <row r="323" spans="6:13" x14ac:dyDescent="0.25">
      <c r="F323" t="s">
        <v>2774</v>
      </c>
      <c r="G323" t="s">
        <v>3342</v>
      </c>
      <c r="I323" t="s">
        <v>5469</v>
      </c>
      <c r="J323" t="s">
        <v>5709</v>
      </c>
      <c r="L323" t="s">
        <v>7615</v>
      </c>
      <c r="M323" t="s">
        <v>7616</v>
      </c>
    </row>
    <row r="324" spans="6:13" x14ac:dyDescent="0.25">
      <c r="F324" t="s">
        <v>3861</v>
      </c>
      <c r="G324" t="s">
        <v>4389</v>
      </c>
      <c r="I324" t="s">
        <v>2748</v>
      </c>
      <c r="J324" t="s">
        <v>3037</v>
      </c>
      <c r="L324" t="s">
        <v>356</v>
      </c>
      <c r="M324" t="s">
        <v>4215</v>
      </c>
    </row>
    <row r="325" spans="6:13" x14ac:dyDescent="0.25">
      <c r="F325" t="s">
        <v>41</v>
      </c>
      <c r="G325" t="s">
        <v>4750</v>
      </c>
      <c r="I325" t="s">
        <v>2748</v>
      </c>
      <c r="J325" t="s">
        <v>3026</v>
      </c>
      <c r="L325" t="s">
        <v>283</v>
      </c>
      <c r="M325" t="s">
        <v>3193</v>
      </c>
    </row>
    <row r="326" spans="6:13" x14ac:dyDescent="0.25">
      <c r="F326" t="s">
        <v>2774</v>
      </c>
      <c r="G326" t="s">
        <v>3656</v>
      </c>
      <c r="I326" t="s">
        <v>2748</v>
      </c>
      <c r="J326" t="s">
        <v>3065</v>
      </c>
      <c r="L326" t="s">
        <v>551</v>
      </c>
      <c r="M326" t="s">
        <v>7953</v>
      </c>
    </row>
    <row r="327" spans="6:13" x14ac:dyDescent="0.25">
      <c r="F327" t="s">
        <v>39</v>
      </c>
      <c r="G327" t="s">
        <v>4766</v>
      </c>
      <c r="I327" t="s">
        <v>2748</v>
      </c>
      <c r="J327" t="s">
        <v>3075</v>
      </c>
      <c r="L327" t="s">
        <v>289</v>
      </c>
      <c r="M327" t="s">
        <v>7659</v>
      </c>
    </row>
    <row r="328" spans="6:13" x14ac:dyDescent="0.25">
      <c r="F328" t="s">
        <v>95</v>
      </c>
      <c r="G328" t="s">
        <v>3739</v>
      </c>
      <c r="I328" t="s">
        <v>92</v>
      </c>
      <c r="J328" t="s">
        <v>6567</v>
      </c>
      <c r="L328" t="s">
        <v>7210</v>
      </c>
      <c r="M328" t="s">
        <v>7211</v>
      </c>
    </row>
    <row r="329" spans="6:13" x14ac:dyDescent="0.25">
      <c r="F329" t="s">
        <v>556</v>
      </c>
      <c r="G329" t="s">
        <v>606</v>
      </c>
      <c r="I329" t="s">
        <v>5767</v>
      </c>
      <c r="J329" t="s">
        <v>1306</v>
      </c>
      <c r="L329" t="s">
        <v>397</v>
      </c>
      <c r="M329" t="s">
        <v>2595</v>
      </c>
    </row>
    <row r="330" spans="6:13" x14ac:dyDescent="0.25">
      <c r="F330" t="s">
        <v>39</v>
      </c>
      <c r="G330" t="s">
        <v>4653</v>
      </c>
      <c r="I330" t="s">
        <v>392</v>
      </c>
      <c r="J330" t="s">
        <v>2509</v>
      </c>
      <c r="L330" t="s">
        <v>315</v>
      </c>
      <c r="M330" t="s">
        <v>6966</v>
      </c>
    </row>
    <row r="331" spans="6:13" x14ac:dyDescent="0.25">
      <c r="F331" t="s">
        <v>2774</v>
      </c>
      <c r="G331" t="s">
        <v>3787</v>
      </c>
      <c r="I331" t="s">
        <v>46</v>
      </c>
      <c r="J331" t="s">
        <v>822</v>
      </c>
      <c r="L331" t="s">
        <v>7619</v>
      </c>
      <c r="M331" t="s">
        <v>2244</v>
      </c>
    </row>
    <row r="332" spans="6:13" x14ac:dyDescent="0.25">
      <c r="F332" t="s">
        <v>4670</v>
      </c>
      <c r="G332" t="s">
        <v>663</v>
      </c>
      <c r="I332" t="s">
        <v>548</v>
      </c>
      <c r="J332" t="s">
        <v>6076</v>
      </c>
      <c r="L332" t="s">
        <v>122</v>
      </c>
      <c r="M332" t="s">
        <v>1741</v>
      </c>
    </row>
    <row r="333" spans="6:13" x14ac:dyDescent="0.25">
      <c r="F333" t="s">
        <v>5111</v>
      </c>
      <c r="G333" t="s">
        <v>4696</v>
      </c>
      <c r="I333" t="s">
        <v>392</v>
      </c>
      <c r="J333" t="s">
        <v>2506</v>
      </c>
      <c r="L333" t="s">
        <v>7161</v>
      </c>
      <c r="M333" t="s">
        <v>3187</v>
      </c>
    </row>
    <row r="334" spans="6:13" x14ac:dyDescent="0.25">
      <c r="F334" t="s">
        <v>4929</v>
      </c>
      <c r="G334" t="s">
        <v>5203</v>
      </c>
      <c r="I334" t="s">
        <v>311</v>
      </c>
      <c r="J334" t="s">
        <v>1002</v>
      </c>
      <c r="L334" t="s">
        <v>283</v>
      </c>
      <c r="M334" t="s">
        <v>3170</v>
      </c>
    </row>
    <row r="335" spans="6:13" x14ac:dyDescent="0.25">
      <c r="F335" t="s">
        <v>4585</v>
      </c>
      <c r="G335" t="s">
        <v>4586</v>
      </c>
      <c r="I335" t="s">
        <v>5641</v>
      </c>
      <c r="J335" t="s">
        <v>1633</v>
      </c>
      <c r="L335" t="s">
        <v>7943</v>
      </c>
      <c r="M335" t="s">
        <v>7944</v>
      </c>
    </row>
    <row r="336" spans="6:13" x14ac:dyDescent="0.25">
      <c r="F336" t="s">
        <v>543</v>
      </c>
      <c r="G336" t="s">
        <v>634</v>
      </c>
      <c r="I336" t="s">
        <v>5598</v>
      </c>
      <c r="J336" t="s">
        <v>1526</v>
      </c>
      <c r="L336" t="s">
        <v>392</v>
      </c>
      <c r="M336" t="s">
        <v>3223</v>
      </c>
    </row>
    <row r="337" spans="6:13" x14ac:dyDescent="0.25">
      <c r="F337" t="s">
        <v>2774</v>
      </c>
      <c r="G337" t="s">
        <v>3765</v>
      </c>
      <c r="I337" t="s">
        <v>2733</v>
      </c>
      <c r="J337" t="s">
        <v>5438</v>
      </c>
      <c r="L337" t="s">
        <v>311</v>
      </c>
      <c r="M337" t="s">
        <v>3204</v>
      </c>
    </row>
    <row r="338" spans="6:13" x14ac:dyDescent="0.25">
      <c r="F338" t="s">
        <v>2739</v>
      </c>
      <c r="G338" t="s">
        <v>3446</v>
      </c>
      <c r="I338" t="s">
        <v>257</v>
      </c>
      <c r="J338" t="s">
        <v>6308</v>
      </c>
      <c r="L338" t="s">
        <v>315</v>
      </c>
      <c r="M338" t="s">
        <v>3096</v>
      </c>
    </row>
    <row r="339" spans="6:13" x14ac:dyDescent="0.25">
      <c r="F339" t="s">
        <v>4523</v>
      </c>
      <c r="G339" t="s">
        <v>4702</v>
      </c>
      <c r="I339" t="s">
        <v>4438</v>
      </c>
      <c r="J339" t="s">
        <v>6190</v>
      </c>
      <c r="L339" t="s">
        <v>4154</v>
      </c>
      <c r="M339" t="s">
        <v>6927</v>
      </c>
    </row>
    <row r="340" spans="6:13" x14ac:dyDescent="0.25">
      <c r="F340" t="s">
        <v>5065</v>
      </c>
      <c r="G340" t="s">
        <v>4685</v>
      </c>
      <c r="I340" t="s">
        <v>254</v>
      </c>
      <c r="J340" t="s">
        <v>5611</v>
      </c>
      <c r="L340" t="s">
        <v>7320</v>
      </c>
      <c r="M340" t="s">
        <v>3154</v>
      </c>
    </row>
    <row r="341" spans="6:13" x14ac:dyDescent="0.25">
      <c r="F341" t="s">
        <v>5107</v>
      </c>
      <c r="G341" t="s">
        <v>4685</v>
      </c>
      <c r="I341" t="s">
        <v>401</v>
      </c>
      <c r="J341" t="s">
        <v>6060</v>
      </c>
      <c r="L341" t="s">
        <v>315</v>
      </c>
      <c r="M341" t="s">
        <v>3241</v>
      </c>
    </row>
    <row r="342" spans="6:13" x14ac:dyDescent="0.25">
      <c r="F342" t="s">
        <v>2774</v>
      </c>
      <c r="G342" t="s">
        <v>3623</v>
      </c>
      <c r="I342" t="s">
        <v>276</v>
      </c>
      <c r="J342" t="s">
        <v>1201</v>
      </c>
      <c r="L342" t="s">
        <v>315</v>
      </c>
      <c r="M342" t="s">
        <v>7137</v>
      </c>
    </row>
    <row r="343" spans="6:13" x14ac:dyDescent="0.25">
      <c r="F343" t="s">
        <v>540</v>
      </c>
      <c r="G343" t="s">
        <v>5170</v>
      </c>
      <c r="I343" t="s">
        <v>6661</v>
      </c>
      <c r="J343" t="s">
        <v>6662</v>
      </c>
      <c r="L343" t="s">
        <v>7809</v>
      </c>
      <c r="M343" t="s">
        <v>3246</v>
      </c>
    </row>
    <row r="344" spans="6:13" x14ac:dyDescent="0.25">
      <c r="F344" t="s">
        <v>4597</v>
      </c>
      <c r="G344" t="s">
        <v>624</v>
      </c>
      <c r="I344" t="s">
        <v>45</v>
      </c>
      <c r="J344" t="s">
        <v>5832</v>
      </c>
      <c r="L344" t="s">
        <v>315</v>
      </c>
      <c r="M344" t="s">
        <v>7016</v>
      </c>
    </row>
    <row r="345" spans="6:13" x14ac:dyDescent="0.25">
      <c r="F345" t="s">
        <v>2774</v>
      </c>
      <c r="G345" t="s">
        <v>3511</v>
      </c>
      <c r="I345" t="s">
        <v>254</v>
      </c>
      <c r="J345" t="s">
        <v>1577</v>
      </c>
      <c r="L345" t="s">
        <v>7858</v>
      </c>
      <c r="M345" t="s">
        <v>7859</v>
      </c>
    </row>
    <row r="346" spans="6:13" x14ac:dyDescent="0.25">
      <c r="F346" t="s">
        <v>4991</v>
      </c>
      <c r="G346" t="s">
        <v>4992</v>
      </c>
      <c r="I346" t="s">
        <v>313</v>
      </c>
      <c r="J346" t="s">
        <v>1189</v>
      </c>
      <c r="L346" t="s">
        <v>37</v>
      </c>
      <c r="M346" t="s">
        <v>7446</v>
      </c>
    </row>
    <row r="347" spans="6:13" x14ac:dyDescent="0.25">
      <c r="F347" t="s">
        <v>484</v>
      </c>
      <c r="G347" t="s">
        <v>4542</v>
      </c>
      <c r="I347" t="s">
        <v>313</v>
      </c>
      <c r="J347" t="s">
        <v>1003</v>
      </c>
      <c r="L347" t="s">
        <v>7411</v>
      </c>
      <c r="M347" t="s">
        <v>3177</v>
      </c>
    </row>
    <row r="348" spans="6:13" x14ac:dyDescent="0.25">
      <c r="F348" t="s">
        <v>401</v>
      </c>
      <c r="G348" t="s">
        <v>647</v>
      </c>
      <c r="I348" t="s">
        <v>313</v>
      </c>
      <c r="J348" t="s">
        <v>2510</v>
      </c>
      <c r="L348" t="s">
        <v>309</v>
      </c>
      <c r="M348" t="s">
        <v>3257</v>
      </c>
    </row>
    <row r="349" spans="6:13" x14ac:dyDescent="0.25">
      <c r="F349" t="s">
        <v>4637</v>
      </c>
      <c r="G349" t="s">
        <v>4638</v>
      </c>
      <c r="I349" t="s">
        <v>409</v>
      </c>
      <c r="J349" t="s">
        <v>5896</v>
      </c>
      <c r="L349" t="s">
        <v>313</v>
      </c>
      <c r="M349" t="s">
        <v>1861</v>
      </c>
    </row>
    <row r="350" spans="6:13" x14ac:dyDescent="0.25">
      <c r="F350" t="s">
        <v>137</v>
      </c>
      <c r="G350" t="s">
        <v>637</v>
      </c>
      <c r="I350" t="s">
        <v>5340</v>
      </c>
      <c r="J350" t="s">
        <v>5671</v>
      </c>
      <c r="L350" t="s">
        <v>313</v>
      </c>
      <c r="M350" t="s">
        <v>3206</v>
      </c>
    </row>
    <row r="351" spans="6:13" x14ac:dyDescent="0.25">
      <c r="F351" t="s">
        <v>4318</v>
      </c>
      <c r="G351" t="s">
        <v>4420</v>
      </c>
      <c r="I351" t="s">
        <v>2748</v>
      </c>
      <c r="J351" t="s">
        <v>4008</v>
      </c>
      <c r="L351" t="s">
        <v>392</v>
      </c>
      <c r="M351" t="s">
        <v>2337</v>
      </c>
    </row>
    <row r="352" spans="6:13" x14ac:dyDescent="0.25">
      <c r="F352" t="s">
        <v>4523</v>
      </c>
      <c r="G352" t="s">
        <v>4652</v>
      </c>
      <c r="I352" t="s">
        <v>2748</v>
      </c>
      <c r="J352" t="s">
        <v>4104</v>
      </c>
      <c r="L352" t="s">
        <v>37</v>
      </c>
      <c r="M352" t="s">
        <v>7918</v>
      </c>
    </row>
    <row r="353" spans="6:13" x14ac:dyDescent="0.25">
      <c r="F353" t="s">
        <v>2674</v>
      </c>
      <c r="G353" t="s">
        <v>3480</v>
      </c>
      <c r="I353" t="s">
        <v>2748</v>
      </c>
      <c r="J353" t="s">
        <v>4064</v>
      </c>
      <c r="L353" t="s">
        <v>315</v>
      </c>
      <c r="M353" t="s">
        <v>7107</v>
      </c>
    </row>
    <row r="354" spans="6:13" x14ac:dyDescent="0.25">
      <c r="F354" t="s">
        <v>4318</v>
      </c>
      <c r="G354" t="s">
        <v>4425</v>
      </c>
      <c r="I354" t="s">
        <v>2748</v>
      </c>
      <c r="J354" t="s">
        <v>4110</v>
      </c>
      <c r="L354" t="s">
        <v>315</v>
      </c>
      <c r="M354" t="s">
        <v>7115</v>
      </c>
    </row>
    <row r="355" spans="6:13" x14ac:dyDescent="0.25">
      <c r="F355" t="s">
        <v>543</v>
      </c>
      <c r="G355" t="s">
        <v>752</v>
      </c>
      <c r="I355" t="s">
        <v>5722</v>
      </c>
      <c r="J355" t="s">
        <v>1251</v>
      </c>
      <c r="L355" t="s">
        <v>3861</v>
      </c>
      <c r="M355" t="s">
        <v>7315</v>
      </c>
    </row>
    <row r="356" spans="6:13" x14ac:dyDescent="0.25">
      <c r="F356" t="s">
        <v>2774</v>
      </c>
      <c r="G356" t="s">
        <v>3292</v>
      </c>
      <c r="I356" t="s">
        <v>2773</v>
      </c>
      <c r="J356" t="s">
        <v>2997</v>
      </c>
      <c r="L356" t="s">
        <v>7680</v>
      </c>
      <c r="M356" t="s">
        <v>3221</v>
      </c>
    </row>
    <row r="357" spans="6:13" x14ac:dyDescent="0.25">
      <c r="F357" t="s">
        <v>2670</v>
      </c>
      <c r="G357" t="s">
        <v>3399</v>
      </c>
      <c r="I357" t="s">
        <v>2773</v>
      </c>
      <c r="J357" t="s">
        <v>2893</v>
      </c>
      <c r="L357" t="s">
        <v>392</v>
      </c>
      <c r="M357" t="s">
        <v>3244</v>
      </c>
    </row>
    <row r="358" spans="6:13" x14ac:dyDescent="0.25">
      <c r="F358" t="s">
        <v>2774</v>
      </c>
      <c r="G358" t="s">
        <v>3736</v>
      </c>
      <c r="I358" t="s">
        <v>123</v>
      </c>
      <c r="J358" t="s">
        <v>814</v>
      </c>
      <c r="L358" t="s">
        <v>6970</v>
      </c>
      <c r="M358" t="s">
        <v>2565</v>
      </c>
    </row>
    <row r="359" spans="6:13" x14ac:dyDescent="0.25">
      <c r="F359" t="s">
        <v>122</v>
      </c>
      <c r="G359" t="s">
        <v>3429</v>
      </c>
      <c r="I359" t="s">
        <v>5507</v>
      </c>
      <c r="J359" t="s">
        <v>6756</v>
      </c>
      <c r="L359" t="s">
        <v>315</v>
      </c>
      <c r="M359" t="s">
        <v>4292</v>
      </c>
    </row>
    <row r="360" spans="6:13" x14ac:dyDescent="0.25">
      <c r="F360" t="s">
        <v>357</v>
      </c>
      <c r="G360" t="s">
        <v>4328</v>
      </c>
      <c r="I360" t="s">
        <v>286</v>
      </c>
      <c r="J360" t="s">
        <v>1037</v>
      </c>
      <c r="L360" t="s">
        <v>313</v>
      </c>
      <c r="M360" t="s">
        <v>4175</v>
      </c>
    </row>
    <row r="361" spans="6:13" x14ac:dyDescent="0.25">
      <c r="F361" t="s">
        <v>3861</v>
      </c>
      <c r="G361" t="s">
        <v>4334</v>
      </c>
      <c r="I361" t="s">
        <v>257</v>
      </c>
      <c r="J361" t="s">
        <v>6550</v>
      </c>
      <c r="L361" t="s">
        <v>462</v>
      </c>
      <c r="M361" t="s">
        <v>7582</v>
      </c>
    </row>
    <row r="362" spans="6:13" x14ac:dyDescent="0.25">
      <c r="F362" t="s">
        <v>413</v>
      </c>
      <c r="G362" t="s">
        <v>635</v>
      </c>
      <c r="I362" t="s">
        <v>5500</v>
      </c>
      <c r="J362" t="s">
        <v>904</v>
      </c>
      <c r="L362" t="s">
        <v>7632</v>
      </c>
      <c r="M362" t="s">
        <v>3210</v>
      </c>
    </row>
    <row r="363" spans="6:13" x14ac:dyDescent="0.25">
      <c r="F363" t="s">
        <v>543</v>
      </c>
      <c r="G363" t="s">
        <v>3413</v>
      </c>
      <c r="I363" t="s">
        <v>6705</v>
      </c>
      <c r="J363" t="s">
        <v>6706</v>
      </c>
      <c r="L363" t="s">
        <v>4826</v>
      </c>
      <c r="M363" t="s">
        <v>7767</v>
      </c>
    </row>
    <row r="364" spans="6:13" x14ac:dyDescent="0.25">
      <c r="F364" t="s">
        <v>37</v>
      </c>
      <c r="G364" t="s">
        <v>5224</v>
      </c>
      <c r="I364" t="s">
        <v>313</v>
      </c>
      <c r="J364" t="s">
        <v>1533</v>
      </c>
      <c r="L364" t="s">
        <v>21</v>
      </c>
      <c r="M364" t="s">
        <v>7070</v>
      </c>
    </row>
    <row r="365" spans="6:13" x14ac:dyDescent="0.25">
      <c r="F365" t="s">
        <v>4318</v>
      </c>
      <c r="G365" t="s">
        <v>4401</v>
      </c>
      <c r="I365" t="s">
        <v>122</v>
      </c>
      <c r="J365" t="s">
        <v>6009</v>
      </c>
      <c r="L365" t="s">
        <v>122</v>
      </c>
      <c r="M365" t="s">
        <v>3081</v>
      </c>
    </row>
    <row r="366" spans="6:13" x14ac:dyDescent="0.25">
      <c r="F366" t="s">
        <v>4322</v>
      </c>
      <c r="G366" t="s">
        <v>4323</v>
      </c>
      <c r="I366" t="s">
        <v>392</v>
      </c>
      <c r="J366" t="s">
        <v>2533</v>
      </c>
      <c r="L366" t="s">
        <v>315</v>
      </c>
      <c r="M366" t="s">
        <v>3202</v>
      </c>
    </row>
    <row r="367" spans="6:13" x14ac:dyDescent="0.25">
      <c r="F367" t="s">
        <v>37</v>
      </c>
      <c r="G367" t="s">
        <v>653</v>
      </c>
      <c r="I367" t="s">
        <v>2748</v>
      </c>
      <c r="J367" t="s">
        <v>3901</v>
      </c>
      <c r="L367" t="s">
        <v>289</v>
      </c>
      <c r="M367" t="s">
        <v>7036</v>
      </c>
    </row>
    <row r="368" spans="6:13" x14ac:dyDescent="0.25">
      <c r="F368" t="s">
        <v>37</v>
      </c>
      <c r="G368" t="s">
        <v>5095</v>
      </c>
      <c r="I368" t="s">
        <v>311</v>
      </c>
      <c r="J368" t="s">
        <v>5992</v>
      </c>
      <c r="L368" t="s">
        <v>392</v>
      </c>
      <c r="M368" t="s">
        <v>2616</v>
      </c>
    </row>
    <row r="369" spans="6:13" x14ac:dyDescent="0.25">
      <c r="F369" t="s">
        <v>4599</v>
      </c>
      <c r="G369" t="s">
        <v>625</v>
      </c>
      <c r="I369" t="s">
        <v>123</v>
      </c>
      <c r="J369" t="s">
        <v>916</v>
      </c>
      <c r="L369" t="s">
        <v>4826</v>
      </c>
      <c r="M369" t="s">
        <v>7744</v>
      </c>
    </row>
    <row r="370" spans="6:13" x14ac:dyDescent="0.25">
      <c r="F370" t="s">
        <v>5172</v>
      </c>
      <c r="G370" t="s">
        <v>4889</v>
      </c>
      <c r="I370" t="s">
        <v>5454</v>
      </c>
      <c r="J370" t="s">
        <v>2814</v>
      </c>
      <c r="L370" t="s">
        <v>5005</v>
      </c>
      <c r="M370" t="s">
        <v>3138</v>
      </c>
    </row>
    <row r="371" spans="6:13" x14ac:dyDescent="0.25">
      <c r="F371" t="s">
        <v>5190</v>
      </c>
      <c r="G371" t="s">
        <v>4889</v>
      </c>
      <c r="I371" t="s">
        <v>7995</v>
      </c>
      <c r="J371" t="s">
        <v>5953</v>
      </c>
      <c r="L371" t="s">
        <v>315</v>
      </c>
      <c r="M371" t="s">
        <v>7591</v>
      </c>
    </row>
    <row r="372" spans="6:13" x14ac:dyDescent="0.25">
      <c r="F372" t="s">
        <v>2686</v>
      </c>
      <c r="G372" t="s">
        <v>3642</v>
      </c>
      <c r="I372" t="s">
        <v>404</v>
      </c>
      <c r="J372" t="s">
        <v>1371</v>
      </c>
      <c r="L372" t="s">
        <v>313</v>
      </c>
      <c r="M372" t="s">
        <v>2018</v>
      </c>
    </row>
    <row r="373" spans="6:13" x14ac:dyDescent="0.25">
      <c r="F373" t="s">
        <v>256</v>
      </c>
      <c r="G373" t="s">
        <v>5054</v>
      </c>
      <c r="I373" t="s">
        <v>313</v>
      </c>
      <c r="J373" t="s">
        <v>1114</v>
      </c>
      <c r="L373" t="s">
        <v>551</v>
      </c>
      <c r="M373" t="s">
        <v>1817</v>
      </c>
    </row>
    <row r="374" spans="6:13" x14ac:dyDescent="0.25">
      <c r="F374" t="s">
        <v>95</v>
      </c>
      <c r="G374" t="s">
        <v>693</v>
      </c>
      <c r="I374" t="s">
        <v>2739</v>
      </c>
      <c r="J374" t="s">
        <v>3973</v>
      </c>
      <c r="L374" t="s">
        <v>122</v>
      </c>
      <c r="M374" t="s">
        <v>1841</v>
      </c>
    </row>
    <row r="375" spans="6:13" x14ac:dyDescent="0.25">
      <c r="F375" t="s">
        <v>5158</v>
      </c>
      <c r="G375" t="s">
        <v>4883</v>
      </c>
      <c r="I375" t="s">
        <v>6472</v>
      </c>
      <c r="J375" t="s">
        <v>1427</v>
      </c>
      <c r="L375" t="s">
        <v>37</v>
      </c>
      <c r="M375" t="s">
        <v>7724</v>
      </c>
    </row>
    <row r="376" spans="6:13" x14ac:dyDescent="0.25">
      <c r="F376" t="s">
        <v>5183</v>
      </c>
      <c r="G376" t="s">
        <v>4883</v>
      </c>
      <c r="I376" t="s">
        <v>5454</v>
      </c>
      <c r="J376" t="s">
        <v>1344</v>
      </c>
      <c r="L376" t="s">
        <v>315</v>
      </c>
      <c r="M376" t="s">
        <v>7451</v>
      </c>
    </row>
    <row r="377" spans="6:13" x14ac:dyDescent="0.25">
      <c r="F377" t="s">
        <v>2754</v>
      </c>
      <c r="G377" t="s">
        <v>3538</v>
      </c>
      <c r="I377" t="s">
        <v>5722</v>
      </c>
      <c r="J377" t="s">
        <v>1032</v>
      </c>
      <c r="L377" t="s">
        <v>7125</v>
      </c>
      <c r="M377" t="s">
        <v>7126</v>
      </c>
    </row>
    <row r="378" spans="6:13" x14ac:dyDescent="0.25">
      <c r="F378" t="s">
        <v>346</v>
      </c>
      <c r="G378" t="s">
        <v>715</v>
      </c>
      <c r="I378" t="s">
        <v>46</v>
      </c>
      <c r="J378" t="s">
        <v>1615</v>
      </c>
      <c r="L378" t="s">
        <v>445</v>
      </c>
      <c r="M378" t="s">
        <v>7369</v>
      </c>
    </row>
    <row r="379" spans="6:13" x14ac:dyDescent="0.25">
      <c r="F379" t="s">
        <v>2774</v>
      </c>
      <c r="G379" t="s">
        <v>3652</v>
      </c>
      <c r="I379" t="s">
        <v>3861</v>
      </c>
      <c r="J379" t="s">
        <v>4034</v>
      </c>
      <c r="L379" t="s">
        <v>6896</v>
      </c>
      <c r="M379" t="s">
        <v>6897</v>
      </c>
    </row>
    <row r="380" spans="6:13" x14ac:dyDescent="0.25">
      <c r="F380" t="s">
        <v>417</v>
      </c>
      <c r="G380" t="s">
        <v>758</v>
      </c>
      <c r="I380" t="s">
        <v>46</v>
      </c>
      <c r="J380" t="s">
        <v>6770</v>
      </c>
      <c r="L380" t="s">
        <v>313</v>
      </c>
      <c r="M380" t="s">
        <v>2326</v>
      </c>
    </row>
    <row r="381" spans="6:13" x14ac:dyDescent="0.25">
      <c r="F381" t="s">
        <v>4962</v>
      </c>
      <c r="G381" t="s">
        <v>761</v>
      </c>
      <c r="I381" t="s">
        <v>5754</v>
      </c>
      <c r="J381" t="s">
        <v>1046</v>
      </c>
      <c r="L381" t="s">
        <v>122</v>
      </c>
      <c r="M381" t="s">
        <v>2052</v>
      </c>
    </row>
    <row r="382" spans="6:13" x14ac:dyDescent="0.25">
      <c r="F382" t="s">
        <v>4522</v>
      </c>
      <c r="G382" t="s">
        <v>5030</v>
      </c>
      <c r="I382" t="s">
        <v>5236</v>
      </c>
      <c r="J382" t="s">
        <v>1250</v>
      </c>
      <c r="L382" t="s">
        <v>315</v>
      </c>
      <c r="M382" t="s">
        <v>7202</v>
      </c>
    </row>
    <row r="383" spans="6:13" x14ac:dyDescent="0.25">
      <c r="F383" t="s">
        <v>356</v>
      </c>
      <c r="G383" t="s">
        <v>4411</v>
      </c>
      <c r="I383" t="s">
        <v>5353</v>
      </c>
      <c r="J383" t="s">
        <v>5549</v>
      </c>
      <c r="L383" t="s">
        <v>7527</v>
      </c>
      <c r="M383" t="s">
        <v>7528</v>
      </c>
    </row>
    <row r="384" spans="6:13" x14ac:dyDescent="0.25">
      <c r="F384" t="s">
        <v>4842</v>
      </c>
      <c r="G384" t="s">
        <v>714</v>
      </c>
      <c r="I384" t="s">
        <v>2748</v>
      </c>
      <c r="J384" t="s">
        <v>4144</v>
      </c>
      <c r="L384" t="s">
        <v>313</v>
      </c>
      <c r="M384" t="s">
        <v>1904</v>
      </c>
    </row>
    <row r="385" spans="6:13" x14ac:dyDescent="0.25">
      <c r="F385" t="s">
        <v>37</v>
      </c>
      <c r="G385" t="s">
        <v>4646</v>
      </c>
      <c r="I385" t="s">
        <v>404</v>
      </c>
      <c r="J385" t="s">
        <v>1305</v>
      </c>
      <c r="L385" t="s">
        <v>315</v>
      </c>
      <c r="M385" t="s">
        <v>7763</v>
      </c>
    </row>
    <row r="386" spans="6:13" x14ac:dyDescent="0.25">
      <c r="F386" t="s">
        <v>2670</v>
      </c>
      <c r="G386" t="s">
        <v>3813</v>
      </c>
      <c r="I386" t="s">
        <v>5298</v>
      </c>
      <c r="J386" t="s">
        <v>6075</v>
      </c>
      <c r="L386" t="s">
        <v>3916</v>
      </c>
      <c r="M386" t="s">
        <v>4192</v>
      </c>
    </row>
    <row r="387" spans="6:13" x14ac:dyDescent="0.25">
      <c r="F387" t="s">
        <v>2743</v>
      </c>
      <c r="G387" t="s">
        <v>3498</v>
      </c>
      <c r="I387" t="s">
        <v>92</v>
      </c>
      <c r="J387" t="s">
        <v>1069</v>
      </c>
      <c r="L387" t="s">
        <v>7762</v>
      </c>
      <c r="M387" t="s">
        <v>2212</v>
      </c>
    </row>
    <row r="388" spans="6:13" x14ac:dyDescent="0.25">
      <c r="F388" t="s">
        <v>2743</v>
      </c>
      <c r="G388" t="s">
        <v>3555</v>
      </c>
      <c r="I388" t="s">
        <v>90</v>
      </c>
      <c r="J388" t="s">
        <v>5369</v>
      </c>
      <c r="L388" t="s">
        <v>459</v>
      </c>
      <c r="M388" t="s">
        <v>7775</v>
      </c>
    </row>
    <row r="389" spans="6:13" x14ac:dyDescent="0.25">
      <c r="F389" t="s">
        <v>2745</v>
      </c>
      <c r="G389" t="s">
        <v>3761</v>
      </c>
      <c r="I389" t="s">
        <v>6095</v>
      </c>
      <c r="J389" t="s">
        <v>1218</v>
      </c>
      <c r="L389" t="s">
        <v>392</v>
      </c>
      <c r="M389" t="s">
        <v>2012</v>
      </c>
    </row>
    <row r="390" spans="6:13" x14ac:dyDescent="0.25">
      <c r="F390" t="s">
        <v>2743</v>
      </c>
      <c r="G390" t="s">
        <v>3486</v>
      </c>
      <c r="I390" t="s">
        <v>5767</v>
      </c>
      <c r="J390" t="s">
        <v>6611</v>
      </c>
      <c r="L390" t="s">
        <v>313</v>
      </c>
      <c r="M390" t="s">
        <v>1869</v>
      </c>
    </row>
    <row r="391" spans="6:13" x14ac:dyDescent="0.25">
      <c r="F391" t="s">
        <v>2743</v>
      </c>
      <c r="G391" t="s">
        <v>3436</v>
      </c>
      <c r="I391" t="s">
        <v>5377</v>
      </c>
      <c r="J391" t="s">
        <v>5378</v>
      </c>
      <c r="L391" t="s">
        <v>3861</v>
      </c>
      <c r="M391" t="s">
        <v>4272</v>
      </c>
    </row>
    <row r="392" spans="6:13" x14ac:dyDescent="0.25">
      <c r="F392" t="s">
        <v>2745</v>
      </c>
      <c r="G392" t="s">
        <v>3293</v>
      </c>
      <c r="I392" t="s">
        <v>2748</v>
      </c>
      <c r="J392" t="s">
        <v>3071</v>
      </c>
      <c r="L392" t="s">
        <v>7012</v>
      </c>
      <c r="M392" t="s">
        <v>7013</v>
      </c>
    </row>
    <row r="393" spans="6:13" x14ac:dyDescent="0.25">
      <c r="F393" t="s">
        <v>2743</v>
      </c>
      <c r="G393" t="s">
        <v>3562</v>
      </c>
      <c r="I393" t="s">
        <v>2748</v>
      </c>
      <c r="J393" t="s">
        <v>3050</v>
      </c>
      <c r="L393" t="s">
        <v>37</v>
      </c>
      <c r="M393" t="s">
        <v>6967</v>
      </c>
    </row>
    <row r="394" spans="6:13" x14ac:dyDescent="0.25">
      <c r="F394" t="s">
        <v>2743</v>
      </c>
      <c r="G394" t="s">
        <v>3727</v>
      </c>
      <c r="I394" t="s">
        <v>2748</v>
      </c>
      <c r="J394" t="s">
        <v>3074</v>
      </c>
      <c r="L394" t="s">
        <v>392</v>
      </c>
      <c r="M394" t="s">
        <v>3203</v>
      </c>
    </row>
    <row r="395" spans="6:13" x14ac:dyDescent="0.25">
      <c r="F395" t="s">
        <v>4322</v>
      </c>
      <c r="G395" t="s">
        <v>4373</v>
      </c>
      <c r="I395" t="s">
        <v>2748</v>
      </c>
      <c r="J395" t="s">
        <v>3045</v>
      </c>
      <c r="L395" t="s">
        <v>7340</v>
      </c>
      <c r="M395" t="s">
        <v>7341</v>
      </c>
    </row>
    <row r="396" spans="6:13" x14ac:dyDescent="0.25">
      <c r="F396" t="s">
        <v>4436</v>
      </c>
      <c r="G396" t="s">
        <v>4617</v>
      </c>
      <c r="I396" t="s">
        <v>311</v>
      </c>
      <c r="J396" t="s">
        <v>875</v>
      </c>
      <c r="L396" t="s">
        <v>313</v>
      </c>
      <c r="M396" t="s">
        <v>2113</v>
      </c>
    </row>
    <row r="397" spans="6:13" x14ac:dyDescent="0.25">
      <c r="F397" t="s">
        <v>4436</v>
      </c>
      <c r="G397" t="s">
        <v>4594</v>
      </c>
      <c r="I397" t="s">
        <v>90</v>
      </c>
      <c r="J397" t="s">
        <v>6629</v>
      </c>
      <c r="L397" t="s">
        <v>122</v>
      </c>
      <c r="M397" t="s">
        <v>1802</v>
      </c>
    </row>
    <row r="398" spans="6:13" x14ac:dyDescent="0.25">
      <c r="F398" t="s">
        <v>37</v>
      </c>
      <c r="G398" t="s">
        <v>5199</v>
      </c>
      <c r="I398" t="s">
        <v>63</v>
      </c>
      <c r="J398" t="s">
        <v>2517</v>
      </c>
      <c r="L398" t="s">
        <v>313</v>
      </c>
      <c r="M398" t="s">
        <v>2278</v>
      </c>
    </row>
    <row r="399" spans="6:13" x14ac:dyDescent="0.25">
      <c r="F399" t="s">
        <v>4523</v>
      </c>
      <c r="G399" t="s">
        <v>4930</v>
      </c>
      <c r="I399" t="s">
        <v>92</v>
      </c>
      <c r="J399" t="s">
        <v>1282</v>
      </c>
      <c r="L399" t="s">
        <v>392</v>
      </c>
      <c r="M399" t="s">
        <v>2060</v>
      </c>
    </row>
    <row r="400" spans="6:13" x14ac:dyDescent="0.25">
      <c r="F400" t="s">
        <v>2774</v>
      </c>
      <c r="G400" t="s">
        <v>3712</v>
      </c>
      <c r="I400" t="s">
        <v>254</v>
      </c>
      <c r="J400" t="s">
        <v>1330</v>
      </c>
      <c r="L400" t="s">
        <v>313</v>
      </c>
      <c r="M400" t="s">
        <v>1700</v>
      </c>
    </row>
    <row r="401" spans="6:13" x14ac:dyDescent="0.25">
      <c r="F401" t="s">
        <v>3861</v>
      </c>
      <c r="G401" t="s">
        <v>4391</v>
      </c>
      <c r="I401" t="s">
        <v>5738</v>
      </c>
      <c r="J401" t="s">
        <v>1038</v>
      </c>
      <c r="L401" t="s">
        <v>122</v>
      </c>
      <c r="M401" t="s">
        <v>1672</v>
      </c>
    </row>
    <row r="402" spans="6:13" x14ac:dyDescent="0.25">
      <c r="F402" t="s">
        <v>5004</v>
      </c>
      <c r="G402" t="s">
        <v>3811</v>
      </c>
      <c r="I402" t="s">
        <v>5461</v>
      </c>
      <c r="J402" t="s">
        <v>5462</v>
      </c>
      <c r="L402" t="s">
        <v>392</v>
      </c>
      <c r="M402" t="s">
        <v>3178</v>
      </c>
    </row>
    <row r="403" spans="6:13" x14ac:dyDescent="0.25">
      <c r="F403" t="s">
        <v>356</v>
      </c>
      <c r="G403" t="s">
        <v>4340</v>
      </c>
      <c r="I403" t="s">
        <v>313</v>
      </c>
      <c r="J403" t="s">
        <v>1540</v>
      </c>
      <c r="L403" t="s">
        <v>313</v>
      </c>
      <c r="M403" t="s">
        <v>2071</v>
      </c>
    </row>
    <row r="404" spans="6:13" x14ac:dyDescent="0.25">
      <c r="F404" t="s">
        <v>4523</v>
      </c>
      <c r="G404" t="s">
        <v>4881</v>
      </c>
      <c r="I404" t="s">
        <v>5340</v>
      </c>
      <c r="J404" t="s">
        <v>5341</v>
      </c>
      <c r="L404" t="s">
        <v>122</v>
      </c>
      <c r="M404" t="s">
        <v>2220</v>
      </c>
    </row>
    <row r="405" spans="6:13" x14ac:dyDescent="0.25">
      <c r="F405" t="s">
        <v>313</v>
      </c>
      <c r="G405" t="s">
        <v>4922</v>
      </c>
      <c r="I405" t="s">
        <v>6128</v>
      </c>
      <c r="J405" t="s">
        <v>1534</v>
      </c>
      <c r="L405" t="s">
        <v>313</v>
      </c>
      <c r="M405" t="s">
        <v>2234</v>
      </c>
    </row>
    <row r="406" spans="6:13" x14ac:dyDescent="0.25">
      <c r="F406" t="s">
        <v>4523</v>
      </c>
      <c r="G406" t="s">
        <v>4606</v>
      </c>
      <c r="I406" t="s">
        <v>2748</v>
      </c>
      <c r="J406" t="s">
        <v>3970</v>
      </c>
      <c r="L406" t="s">
        <v>21</v>
      </c>
      <c r="M406" t="s">
        <v>1704</v>
      </c>
    </row>
    <row r="407" spans="6:13" x14ac:dyDescent="0.25">
      <c r="F407" t="s">
        <v>37</v>
      </c>
      <c r="G407" t="s">
        <v>5092</v>
      </c>
      <c r="I407" t="s">
        <v>2748</v>
      </c>
      <c r="J407" t="s">
        <v>3912</v>
      </c>
      <c r="L407" t="s">
        <v>289</v>
      </c>
      <c r="M407" t="s">
        <v>7792</v>
      </c>
    </row>
    <row r="408" spans="6:13" x14ac:dyDescent="0.25">
      <c r="F408" t="s">
        <v>137</v>
      </c>
      <c r="G408" t="s">
        <v>749</v>
      </c>
      <c r="I408" t="s">
        <v>2748</v>
      </c>
      <c r="J408" t="s">
        <v>3888</v>
      </c>
      <c r="L408" t="s">
        <v>4941</v>
      </c>
      <c r="M408" t="s">
        <v>7335</v>
      </c>
    </row>
    <row r="409" spans="6:13" x14ac:dyDescent="0.25">
      <c r="F409" t="s">
        <v>49</v>
      </c>
      <c r="G409" t="s">
        <v>4920</v>
      </c>
      <c r="I409" t="s">
        <v>2748</v>
      </c>
      <c r="J409" t="s">
        <v>4137</v>
      </c>
      <c r="L409" t="s">
        <v>313</v>
      </c>
      <c r="M409" t="s">
        <v>1991</v>
      </c>
    </row>
    <row r="410" spans="6:13" x14ac:dyDescent="0.25">
      <c r="F410" t="s">
        <v>4322</v>
      </c>
      <c r="G410" t="s">
        <v>4407</v>
      </c>
      <c r="I410" t="s">
        <v>311</v>
      </c>
      <c r="J410" t="s">
        <v>6590</v>
      </c>
      <c r="L410" t="s">
        <v>313</v>
      </c>
      <c r="M410" t="s">
        <v>1923</v>
      </c>
    </row>
    <row r="411" spans="6:13" x14ac:dyDescent="0.25">
      <c r="F411" t="s">
        <v>4680</v>
      </c>
      <c r="G411" t="s">
        <v>664</v>
      </c>
      <c r="I411" t="s">
        <v>6281</v>
      </c>
      <c r="J411" t="s">
        <v>1329</v>
      </c>
      <c r="L411" t="s">
        <v>7974</v>
      </c>
      <c r="M411" t="s">
        <v>2347</v>
      </c>
    </row>
    <row r="412" spans="6:13" x14ac:dyDescent="0.25">
      <c r="F412" t="s">
        <v>2677</v>
      </c>
      <c r="G412" t="s">
        <v>3687</v>
      </c>
      <c r="I412" t="s">
        <v>6458</v>
      </c>
      <c r="J412" t="s">
        <v>1329</v>
      </c>
      <c r="L412" t="s">
        <v>313</v>
      </c>
      <c r="M412" t="s">
        <v>2019</v>
      </c>
    </row>
    <row r="413" spans="6:13" x14ac:dyDescent="0.25">
      <c r="F413" t="s">
        <v>4318</v>
      </c>
      <c r="G413" t="s">
        <v>4368</v>
      </c>
      <c r="I413" t="s">
        <v>548</v>
      </c>
      <c r="J413" t="s">
        <v>5976</v>
      </c>
      <c r="L413" t="s">
        <v>4826</v>
      </c>
      <c r="M413" t="s">
        <v>4264</v>
      </c>
    </row>
    <row r="414" spans="6:13" x14ac:dyDescent="0.25">
      <c r="F414" t="s">
        <v>2774</v>
      </c>
      <c r="G414" t="s">
        <v>3558</v>
      </c>
      <c r="I414" t="s">
        <v>2748</v>
      </c>
      <c r="J414" t="s">
        <v>3023</v>
      </c>
      <c r="L414" t="s">
        <v>311</v>
      </c>
      <c r="M414" t="s">
        <v>1725</v>
      </c>
    </row>
    <row r="415" spans="6:13" x14ac:dyDescent="0.25">
      <c r="F415" t="s">
        <v>5210</v>
      </c>
      <c r="G415" t="s">
        <v>3759</v>
      </c>
      <c r="I415" t="s">
        <v>2748</v>
      </c>
      <c r="J415" t="s">
        <v>3021</v>
      </c>
      <c r="L415" t="s">
        <v>7442</v>
      </c>
      <c r="M415" t="s">
        <v>7443</v>
      </c>
    </row>
    <row r="416" spans="6:13" x14ac:dyDescent="0.25">
      <c r="F416" t="s">
        <v>356</v>
      </c>
      <c r="G416" t="s">
        <v>4422</v>
      </c>
      <c r="I416" t="s">
        <v>5584</v>
      </c>
      <c r="J416" t="s">
        <v>950</v>
      </c>
      <c r="L416" t="s">
        <v>37</v>
      </c>
      <c r="M416" t="s">
        <v>2277</v>
      </c>
    </row>
    <row r="417" spans="6:13" x14ac:dyDescent="0.25">
      <c r="F417" t="s">
        <v>2674</v>
      </c>
      <c r="G417" t="s">
        <v>3277</v>
      </c>
      <c r="I417" t="s">
        <v>7995</v>
      </c>
      <c r="J417" t="s">
        <v>5735</v>
      </c>
      <c r="L417" t="s">
        <v>392</v>
      </c>
      <c r="M417" t="s">
        <v>3271</v>
      </c>
    </row>
    <row r="418" spans="6:13" x14ac:dyDescent="0.25">
      <c r="F418" t="s">
        <v>2687</v>
      </c>
      <c r="G418" t="s">
        <v>3636</v>
      </c>
      <c r="I418" t="s">
        <v>5659</v>
      </c>
      <c r="J418" t="s">
        <v>1014</v>
      </c>
      <c r="L418" t="s">
        <v>4826</v>
      </c>
      <c r="M418" t="s">
        <v>7700</v>
      </c>
    </row>
    <row r="419" spans="6:13" x14ac:dyDescent="0.25">
      <c r="F419" t="s">
        <v>37</v>
      </c>
      <c r="G419" t="s">
        <v>5029</v>
      </c>
      <c r="I419" t="s">
        <v>5367</v>
      </c>
      <c r="J419" t="s">
        <v>2375</v>
      </c>
      <c r="L419" t="s">
        <v>61</v>
      </c>
      <c r="M419" t="s">
        <v>2053</v>
      </c>
    </row>
    <row r="420" spans="6:13" x14ac:dyDescent="0.25">
      <c r="F420" t="s">
        <v>2669</v>
      </c>
      <c r="G420" t="s">
        <v>3771</v>
      </c>
      <c r="I420" t="s">
        <v>5837</v>
      </c>
      <c r="J420" t="s">
        <v>2486</v>
      </c>
      <c r="L420" t="s">
        <v>7205</v>
      </c>
      <c r="M420" t="s">
        <v>7206</v>
      </c>
    </row>
    <row r="421" spans="6:13" x14ac:dyDescent="0.25">
      <c r="F421" t="s">
        <v>4531</v>
      </c>
      <c r="G421" t="s">
        <v>602</v>
      </c>
      <c r="I421" t="s">
        <v>313</v>
      </c>
      <c r="J421" t="s">
        <v>784</v>
      </c>
      <c r="L421" t="s">
        <v>313</v>
      </c>
      <c r="M421" t="s">
        <v>1805</v>
      </c>
    </row>
    <row r="422" spans="6:13" x14ac:dyDescent="0.25">
      <c r="F422" t="s">
        <v>3861</v>
      </c>
      <c r="G422" t="s">
        <v>4363</v>
      </c>
      <c r="I422" t="s">
        <v>2730</v>
      </c>
      <c r="J422" t="s">
        <v>6787</v>
      </c>
      <c r="L422" t="s">
        <v>397</v>
      </c>
      <c r="M422" t="s">
        <v>7870</v>
      </c>
    </row>
    <row r="423" spans="6:13" x14ac:dyDescent="0.25">
      <c r="F423" t="s">
        <v>313</v>
      </c>
      <c r="G423" t="s">
        <v>4774</v>
      </c>
      <c r="I423" t="s">
        <v>253</v>
      </c>
      <c r="J423" t="s">
        <v>881</v>
      </c>
      <c r="L423" t="s">
        <v>283</v>
      </c>
      <c r="M423" t="s">
        <v>2614</v>
      </c>
    </row>
    <row r="424" spans="6:13" x14ac:dyDescent="0.25">
      <c r="F424" t="s">
        <v>2669</v>
      </c>
      <c r="G424" t="s">
        <v>4859</v>
      </c>
      <c r="I424" t="s">
        <v>3861</v>
      </c>
      <c r="J424" t="s">
        <v>3976</v>
      </c>
      <c r="L424" t="s">
        <v>38</v>
      </c>
      <c r="M424" t="s">
        <v>1984</v>
      </c>
    </row>
    <row r="425" spans="6:13" x14ac:dyDescent="0.25">
      <c r="F425" t="s">
        <v>2670</v>
      </c>
      <c r="G425" t="s">
        <v>3798</v>
      </c>
      <c r="I425" t="s">
        <v>5340</v>
      </c>
      <c r="J425" t="s">
        <v>5842</v>
      </c>
      <c r="L425" t="s">
        <v>38</v>
      </c>
      <c r="M425" t="s">
        <v>2077</v>
      </c>
    </row>
    <row r="426" spans="6:13" x14ac:dyDescent="0.25">
      <c r="F426" t="s">
        <v>4523</v>
      </c>
      <c r="G426" t="s">
        <v>4985</v>
      </c>
      <c r="I426" t="s">
        <v>6061</v>
      </c>
      <c r="J426" t="s">
        <v>1195</v>
      </c>
      <c r="L426" t="s">
        <v>392</v>
      </c>
      <c r="M426" t="s">
        <v>1746</v>
      </c>
    </row>
    <row r="427" spans="6:13" x14ac:dyDescent="0.25">
      <c r="F427" t="s">
        <v>4322</v>
      </c>
      <c r="G427" t="s">
        <v>4390</v>
      </c>
      <c r="I427" t="s">
        <v>6506</v>
      </c>
      <c r="J427" t="s">
        <v>6570</v>
      </c>
      <c r="L427" t="s">
        <v>315</v>
      </c>
      <c r="M427" t="s">
        <v>7339</v>
      </c>
    </row>
    <row r="428" spans="6:13" x14ac:dyDescent="0.25">
      <c r="F428" t="s">
        <v>4575</v>
      </c>
      <c r="G428" t="s">
        <v>5178</v>
      </c>
      <c r="I428" t="s">
        <v>254</v>
      </c>
      <c r="J428" t="s">
        <v>2386</v>
      </c>
      <c r="L428" t="s">
        <v>122</v>
      </c>
      <c r="M428" t="s">
        <v>2356</v>
      </c>
    </row>
    <row r="429" spans="6:13" x14ac:dyDescent="0.25">
      <c r="F429" t="s">
        <v>4318</v>
      </c>
      <c r="G429" t="s">
        <v>4410</v>
      </c>
      <c r="I429" t="s">
        <v>392</v>
      </c>
      <c r="J429" t="s">
        <v>2557</v>
      </c>
      <c r="L429" t="s">
        <v>38</v>
      </c>
      <c r="M429" t="s">
        <v>2342</v>
      </c>
    </row>
    <row r="430" spans="6:13" x14ac:dyDescent="0.25">
      <c r="F430" t="s">
        <v>37</v>
      </c>
      <c r="G430" t="s">
        <v>5146</v>
      </c>
      <c r="I430" t="s">
        <v>2748</v>
      </c>
      <c r="J430" t="s">
        <v>3004</v>
      </c>
      <c r="L430" t="s">
        <v>315</v>
      </c>
      <c r="M430" t="s">
        <v>7207</v>
      </c>
    </row>
    <row r="431" spans="6:13" x14ac:dyDescent="0.25">
      <c r="F431" t="s">
        <v>3861</v>
      </c>
      <c r="G431" t="s">
        <v>4360</v>
      </c>
      <c r="I431" t="s">
        <v>2748</v>
      </c>
      <c r="J431" t="s">
        <v>3040</v>
      </c>
      <c r="L431" t="s">
        <v>123</v>
      </c>
      <c r="M431" t="s">
        <v>7382</v>
      </c>
    </row>
    <row r="432" spans="6:13" x14ac:dyDescent="0.25">
      <c r="F432" t="s">
        <v>2774</v>
      </c>
      <c r="G432" t="s">
        <v>3769</v>
      </c>
      <c r="I432" t="s">
        <v>3887</v>
      </c>
      <c r="J432" t="s">
        <v>6317</v>
      </c>
      <c r="L432" t="s">
        <v>3861</v>
      </c>
      <c r="M432" t="s">
        <v>7219</v>
      </c>
    </row>
    <row r="433" spans="6:13" x14ac:dyDescent="0.25">
      <c r="F433" t="s">
        <v>2774</v>
      </c>
      <c r="G433" t="s">
        <v>3619</v>
      </c>
      <c r="I433" t="s">
        <v>3861</v>
      </c>
      <c r="J433" t="s">
        <v>3981</v>
      </c>
      <c r="L433" t="s">
        <v>38</v>
      </c>
      <c r="M433" t="s">
        <v>1776</v>
      </c>
    </row>
    <row r="434" spans="6:13" x14ac:dyDescent="0.25">
      <c r="F434" t="s">
        <v>3861</v>
      </c>
      <c r="G434" t="s">
        <v>4417</v>
      </c>
      <c r="I434" t="s">
        <v>313</v>
      </c>
      <c r="J434" t="s">
        <v>991</v>
      </c>
      <c r="L434" t="s">
        <v>306</v>
      </c>
      <c r="M434" t="s">
        <v>1677</v>
      </c>
    </row>
    <row r="435" spans="6:13" x14ac:dyDescent="0.25">
      <c r="F435" t="s">
        <v>2669</v>
      </c>
      <c r="G435" t="s">
        <v>4983</v>
      </c>
      <c r="I435" t="s">
        <v>551</v>
      </c>
      <c r="J435" t="s">
        <v>2975</v>
      </c>
      <c r="L435" t="s">
        <v>4575</v>
      </c>
      <c r="M435" t="s">
        <v>2227</v>
      </c>
    </row>
    <row r="436" spans="6:13" x14ac:dyDescent="0.25">
      <c r="F436" t="s">
        <v>122</v>
      </c>
      <c r="G436" t="s">
        <v>3675</v>
      </c>
      <c r="I436" t="s">
        <v>311</v>
      </c>
      <c r="J436" t="s">
        <v>6104</v>
      </c>
      <c r="L436" t="s">
        <v>38</v>
      </c>
      <c r="M436" t="s">
        <v>2155</v>
      </c>
    </row>
    <row r="437" spans="6:13" x14ac:dyDescent="0.25">
      <c r="F437" t="s">
        <v>95</v>
      </c>
      <c r="G437" t="s">
        <v>4899</v>
      </c>
      <c r="I437" t="s">
        <v>6835</v>
      </c>
      <c r="J437" t="s">
        <v>6836</v>
      </c>
      <c r="L437" t="s">
        <v>313</v>
      </c>
      <c r="M437" t="s">
        <v>1661</v>
      </c>
    </row>
    <row r="438" spans="6:13" x14ac:dyDescent="0.25">
      <c r="F438" t="s">
        <v>4523</v>
      </c>
      <c r="G438" t="s">
        <v>4773</v>
      </c>
      <c r="I438" t="s">
        <v>551</v>
      </c>
      <c r="J438" t="s">
        <v>1432</v>
      </c>
      <c r="L438" t="s">
        <v>392</v>
      </c>
      <c r="M438" t="s">
        <v>2560</v>
      </c>
    </row>
    <row r="439" spans="6:13" x14ac:dyDescent="0.25">
      <c r="F439" t="s">
        <v>4318</v>
      </c>
      <c r="G439" t="s">
        <v>4384</v>
      </c>
      <c r="I439" t="s">
        <v>338</v>
      </c>
      <c r="J439" t="s">
        <v>1487</v>
      </c>
      <c r="L439" t="s">
        <v>289</v>
      </c>
      <c r="M439" t="s">
        <v>7837</v>
      </c>
    </row>
    <row r="440" spans="6:13" x14ac:dyDescent="0.25">
      <c r="F440" t="s">
        <v>37</v>
      </c>
      <c r="G440" t="s">
        <v>4784</v>
      </c>
      <c r="I440" t="s">
        <v>313</v>
      </c>
      <c r="J440" t="s">
        <v>1096</v>
      </c>
      <c r="L440" t="s">
        <v>37</v>
      </c>
      <c r="M440" t="s">
        <v>7265</v>
      </c>
    </row>
    <row r="441" spans="6:13" x14ac:dyDescent="0.25">
      <c r="F441" t="s">
        <v>2670</v>
      </c>
      <c r="G441" t="s">
        <v>3748</v>
      </c>
      <c r="I441" t="s">
        <v>5675</v>
      </c>
      <c r="J441" t="s">
        <v>6149</v>
      </c>
      <c r="L441" t="s">
        <v>37</v>
      </c>
      <c r="M441" t="s">
        <v>7803</v>
      </c>
    </row>
    <row r="442" spans="6:13" x14ac:dyDescent="0.25">
      <c r="F442" t="s">
        <v>4318</v>
      </c>
      <c r="G442" t="s">
        <v>4319</v>
      </c>
      <c r="I442" t="s">
        <v>404</v>
      </c>
      <c r="J442" t="s">
        <v>5823</v>
      </c>
      <c r="L442" t="s">
        <v>37</v>
      </c>
      <c r="M442" t="s">
        <v>7890</v>
      </c>
    </row>
    <row r="443" spans="6:13" x14ac:dyDescent="0.25">
      <c r="F443" t="s">
        <v>37</v>
      </c>
      <c r="G443" t="s">
        <v>705</v>
      </c>
      <c r="I443" t="s">
        <v>5414</v>
      </c>
      <c r="J443" t="s">
        <v>6066</v>
      </c>
      <c r="L443" t="s">
        <v>313</v>
      </c>
      <c r="M443" t="s">
        <v>1714</v>
      </c>
    </row>
    <row r="444" spans="6:13" x14ac:dyDescent="0.25">
      <c r="F444" t="s">
        <v>4694</v>
      </c>
      <c r="G444" t="s">
        <v>3458</v>
      </c>
      <c r="I444" t="s">
        <v>5799</v>
      </c>
      <c r="J444" t="s">
        <v>1068</v>
      </c>
      <c r="L444" t="s">
        <v>289</v>
      </c>
      <c r="M444" t="s">
        <v>7546</v>
      </c>
    </row>
    <row r="445" spans="6:13" x14ac:dyDescent="0.25">
      <c r="F445" t="s">
        <v>2774</v>
      </c>
      <c r="G445" t="s">
        <v>3629</v>
      </c>
      <c r="I445" t="s">
        <v>253</v>
      </c>
      <c r="J445" t="s">
        <v>4087</v>
      </c>
      <c r="L445" t="s">
        <v>37</v>
      </c>
      <c r="M445" t="s">
        <v>7608</v>
      </c>
    </row>
    <row r="446" spans="6:13" x14ac:dyDescent="0.25">
      <c r="F446" t="s">
        <v>4523</v>
      </c>
      <c r="G446" t="s">
        <v>4570</v>
      </c>
      <c r="I446" t="s">
        <v>548</v>
      </c>
      <c r="J446" t="s">
        <v>6108</v>
      </c>
      <c r="L446" t="s">
        <v>7916</v>
      </c>
      <c r="M446" t="s">
        <v>2310</v>
      </c>
    </row>
    <row r="447" spans="6:13" x14ac:dyDescent="0.25">
      <c r="F447" t="s">
        <v>4738</v>
      </c>
      <c r="G447" t="s">
        <v>3557</v>
      </c>
      <c r="I447" t="s">
        <v>5881</v>
      </c>
      <c r="J447" t="s">
        <v>5882</v>
      </c>
      <c r="L447" t="s">
        <v>399</v>
      </c>
      <c r="M447" t="s">
        <v>7766</v>
      </c>
    </row>
    <row r="448" spans="6:13" x14ac:dyDescent="0.25">
      <c r="F448" t="s">
        <v>4318</v>
      </c>
      <c r="G448" t="s">
        <v>4434</v>
      </c>
      <c r="I448" t="s">
        <v>6687</v>
      </c>
      <c r="J448" t="s">
        <v>6688</v>
      </c>
      <c r="L448" t="s">
        <v>401</v>
      </c>
      <c r="M448" t="s">
        <v>7054</v>
      </c>
    </row>
    <row r="449" spans="6:13" x14ac:dyDescent="0.25">
      <c r="F449" t="s">
        <v>2774</v>
      </c>
      <c r="G449" t="s">
        <v>3731</v>
      </c>
      <c r="I449" t="s">
        <v>311</v>
      </c>
      <c r="J449" t="s">
        <v>1242</v>
      </c>
      <c r="L449" t="s">
        <v>7414</v>
      </c>
      <c r="M449" t="s">
        <v>1958</v>
      </c>
    </row>
    <row r="450" spans="6:13" x14ac:dyDescent="0.25">
      <c r="F450" t="s">
        <v>2681</v>
      </c>
      <c r="G450" t="s">
        <v>5012</v>
      </c>
      <c r="I450" t="s">
        <v>3945</v>
      </c>
      <c r="J450" t="s">
        <v>5515</v>
      </c>
      <c r="L450" t="s">
        <v>37</v>
      </c>
      <c r="M450" t="s">
        <v>3247</v>
      </c>
    </row>
    <row r="451" spans="6:13" x14ac:dyDescent="0.25">
      <c r="F451" t="s">
        <v>95</v>
      </c>
      <c r="G451" t="s">
        <v>4640</v>
      </c>
      <c r="I451" t="s">
        <v>6105</v>
      </c>
      <c r="J451" t="s">
        <v>6106</v>
      </c>
      <c r="L451" t="s">
        <v>7410</v>
      </c>
      <c r="M451" t="s">
        <v>1954</v>
      </c>
    </row>
    <row r="452" spans="6:13" x14ac:dyDescent="0.25">
      <c r="F452" t="s">
        <v>37</v>
      </c>
      <c r="G452" t="s">
        <v>601</v>
      </c>
      <c r="I452" t="s">
        <v>2748</v>
      </c>
      <c r="J452" t="s">
        <v>3036</v>
      </c>
      <c r="L452" t="s">
        <v>289</v>
      </c>
      <c r="M452" t="s">
        <v>6989</v>
      </c>
    </row>
    <row r="453" spans="6:13" x14ac:dyDescent="0.25">
      <c r="F453" t="s">
        <v>122</v>
      </c>
      <c r="G453" t="s">
        <v>598</v>
      </c>
      <c r="I453" t="s">
        <v>2748</v>
      </c>
      <c r="J453" t="s">
        <v>3039</v>
      </c>
      <c r="L453" t="s">
        <v>313</v>
      </c>
      <c r="M453" t="s">
        <v>2252</v>
      </c>
    </row>
    <row r="454" spans="6:13" x14ac:dyDescent="0.25">
      <c r="F454" t="s">
        <v>95</v>
      </c>
      <c r="G454" t="s">
        <v>5136</v>
      </c>
      <c r="I454" t="s">
        <v>6418</v>
      </c>
      <c r="J454" t="s">
        <v>1404</v>
      </c>
      <c r="L454" t="s">
        <v>461</v>
      </c>
      <c r="M454" t="s">
        <v>1655</v>
      </c>
    </row>
    <row r="455" spans="6:13" x14ac:dyDescent="0.25">
      <c r="F455" t="s">
        <v>4523</v>
      </c>
      <c r="G455" t="s">
        <v>4981</v>
      </c>
      <c r="I455" t="s">
        <v>5491</v>
      </c>
      <c r="J455" t="s">
        <v>902</v>
      </c>
      <c r="L455" t="s">
        <v>311</v>
      </c>
      <c r="M455" t="s">
        <v>4305</v>
      </c>
    </row>
    <row r="456" spans="6:13" x14ac:dyDescent="0.25">
      <c r="F456" t="s">
        <v>2677</v>
      </c>
      <c r="G456" t="s">
        <v>3635</v>
      </c>
      <c r="I456" t="s">
        <v>5423</v>
      </c>
      <c r="J456" t="s">
        <v>2462</v>
      </c>
      <c r="L456" t="s">
        <v>21</v>
      </c>
      <c r="M456" t="s">
        <v>2574</v>
      </c>
    </row>
    <row r="457" spans="6:13" x14ac:dyDescent="0.25">
      <c r="F457" t="s">
        <v>95</v>
      </c>
      <c r="G457" t="s">
        <v>739</v>
      </c>
      <c r="I457" t="s">
        <v>37</v>
      </c>
      <c r="J457" t="s">
        <v>966</v>
      </c>
      <c r="L457" t="s">
        <v>7542</v>
      </c>
      <c r="M457" t="s">
        <v>4240</v>
      </c>
    </row>
    <row r="458" spans="6:13" x14ac:dyDescent="0.25">
      <c r="F458" t="s">
        <v>95</v>
      </c>
      <c r="G458" t="s">
        <v>4690</v>
      </c>
      <c r="I458" t="s">
        <v>392</v>
      </c>
      <c r="J458" t="s">
        <v>4098</v>
      </c>
      <c r="L458" t="s">
        <v>50</v>
      </c>
      <c r="M458" t="s">
        <v>2328</v>
      </c>
    </row>
    <row r="459" spans="6:13" x14ac:dyDescent="0.25">
      <c r="F459" t="s">
        <v>4575</v>
      </c>
      <c r="G459" t="s">
        <v>5051</v>
      </c>
      <c r="I459" t="s">
        <v>254</v>
      </c>
      <c r="J459" t="s">
        <v>6780</v>
      </c>
      <c r="L459" t="s">
        <v>61</v>
      </c>
      <c r="M459" t="s">
        <v>1774</v>
      </c>
    </row>
    <row r="460" spans="6:13" x14ac:dyDescent="0.25">
      <c r="F460" t="s">
        <v>4781</v>
      </c>
      <c r="G460" t="s">
        <v>3556</v>
      </c>
      <c r="I460" t="s">
        <v>8004</v>
      </c>
      <c r="J460" t="s">
        <v>4041</v>
      </c>
      <c r="L460" t="s">
        <v>289</v>
      </c>
      <c r="M460" t="s">
        <v>6986</v>
      </c>
    </row>
    <row r="461" spans="6:13" x14ac:dyDescent="0.25">
      <c r="F461" t="s">
        <v>551</v>
      </c>
      <c r="G461" t="s">
        <v>3753</v>
      </c>
      <c r="I461" t="s">
        <v>286</v>
      </c>
      <c r="J461" t="s">
        <v>1433</v>
      </c>
      <c r="L461" t="s">
        <v>123</v>
      </c>
      <c r="M461" t="s">
        <v>7243</v>
      </c>
    </row>
    <row r="462" spans="6:13" x14ac:dyDescent="0.25">
      <c r="F462" t="s">
        <v>49</v>
      </c>
      <c r="G462" t="s">
        <v>716</v>
      </c>
      <c r="I462" t="s">
        <v>5409</v>
      </c>
      <c r="J462" t="s">
        <v>5717</v>
      </c>
      <c r="L462" t="s">
        <v>392</v>
      </c>
      <c r="M462" t="s">
        <v>2613</v>
      </c>
    </row>
    <row r="463" spans="6:13" x14ac:dyDescent="0.25">
      <c r="F463" t="s">
        <v>2669</v>
      </c>
      <c r="G463" t="s">
        <v>3455</v>
      </c>
      <c r="I463" t="s">
        <v>551</v>
      </c>
      <c r="J463" t="s">
        <v>7998</v>
      </c>
      <c r="L463" t="s">
        <v>392</v>
      </c>
      <c r="M463" t="s">
        <v>1757</v>
      </c>
    </row>
    <row r="464" spans="6:13" x14ac:dyDescent="0.25">
      <c r="F464" t="s">
        <v>2683</v>
      </c>
      <c r="G464" t="s">
        <v>4916</v>
      </c>
      <c r="I464" t="s">
        <v>551</v>
      </c>
      <c r="J464" t="s">
        <v>5814</v>
      </c>
      <c r="L464" t="s">
        <v>397</v>
      </c>
      <c r="M464" t="s">
        <v>7017</v>
      </c>
    </row>
    <row r="465" spans="6:13" x14ac:dyDescent="0.25">
      <c r="F465" t="s">
        <v>2774</v>
      </c>
      <c r="G465" t="s">
        <v>3492</v>
      </c>
      <c r="I465" t="s">
        <v>37</v>
      </c>
      <c r="J465" t="s">
        <v>1345</v>
      </c>
      <c r="L465" t="s">
        <v>7442</v>
      </c>
      <c r="M465" t="s">
        <v>7583</v>
      </c>
    </row>
    <row r="466" spans="6:13" x14ac:dyDescent="0.25">
      <c r="F466" t="s">
        <v>548</v>
      </c>
      <c r="G466" t="s">
        <v>3475</v>
      </c>
      <c r="I466" t="s">
        <v>5801</v>
      </c>
      <c r="J466" t="s">
        <v>6555</v>
      </c>
      <c r="L466" t="s">
        <v>289</v>
      </c>
      <c r="M466" t="s">
        <v>6985</v>
      </c>
    </row>
    <row r="467" spans="6:13" x14ac:dyDescent="0.25">
      <c r="F467" t="s">
        <v>2687</v>
      </c>
      <c r="G467" t="s">
        <v>3746</v>
      </c>
      <c r="I467" t="s">
        <v>122</v>
      </c>
      <c r="J467" t="s">
        <v>6558</v>
      </c>
      <c r="L467" t="s">
        <v>311</v>
      </c>
      <c r="M467" t="s">
        <v>2222</v>
      </c>
    </row>
    <row r="468" spans="6:13" x14ac:dyDescent="0.25">
      <c r="F468" t="s">
        <v>37</v>
      </c>
      <c r="G468" t="s">
        <v>644</v>
      </c>
      <c r="I468" t="s">
        <v>3887</v>
      </c>
      <c r="J468" t="s">
        <v>6747</v>
      </c>
      <c r="L468" t="s">
        <v>7372</v>
      </c>
      <c r="M468" t="s">
        <v>1929</v>
      </c>
    </row>
    <row r="469" spans="6:13" x14ac:dyDescent="0.25">
      <c r="F469" t="s">
        <v>2774</v>
      </c>
      <c r="G469" t="s">
        <v>3801</v>
      </c>
      <c r="I469" t="s">
        <v>548</v>
      </c>
      <c r="J469" t="s">
        <v>2784</v>
      </c>
      <c r="L469" t="s">
        <v>3861</v>
      </c>
      <c r="M469" t="s">
        <v>4162</v>
      </c>
    </row>
    <row r="470" spans="6:13" x14ac:dyDescent="0.25">
      <c r="F470" t="s">
        <v>2674</v>
      </c>
      <c r="G470" t="s">
        <v>5093</v>
      </c>
      <c r="I470" t="s">
        <v>338</v>
      </c>
      <c r="J470" t="s">
        <v>2540</v>
      </c>
      <c r="L470" t="s">
        <v>306</v>
      </c>
      <c r="M470" t="s">
        <v>2577</v>
      </c>
    </row>
    <row r="471" spans="6:13" x14ac:dyDescent="0.25">
      <c r="F471" t="s">
        <v>4658</v>
      </c>
      <c r="G471" t="s">
        <v>4659</v>
      </c>
      <c r="I471" t="s">
        <v>6622</v>
      </c>
      <c r="J471" t="s">
        <v>2383</v>
      </c>
      <c r="L471" t="s">
        <v>64</v>
      </c>
      <c r="M471" t="s">
        <v>2566</v>
      </c>
    </row>
    <row r="472" spans="6:13" x14ac:dyDescent="0.25">
      <c r="F472" t="s">
        <v>2774</v>
      </c>
      <c r="G472" t="s">
        <v>3676</v>
      </c>
      <c r="I472" t="s">
        <v>286</v>
      </c>
      <c r="J472" t="s">
        <v>1070</v>
      </c>
      <c r="L472" t="s">
        <v>313</v>
      </c>
      <c r="M472" t="s">
        <v>2109</v>
      </c>
    </row>
    <row r="473" spans="6:13" x14ac:dyDescent="0.25">
      <c r="F473" t="s">
        <v>5130</v>
      </c>
      <c r="G473" t="s">
        <v>3604</v>
      </c>
      <c r="I473" t="s">
        <v>551</v>
      </c>
      <c r="J473" t="s">
        <v>995</v>
      </c>
      <c r="L473" t="s">
        <v>313</v>
      </c>
      <c r="M473" t="s">
        <v>2283</v>
      </c>
    </row>
    <row r="474" spans="6:13" x14ac:dyDescent="0.25">
      <c r="F474" t="s">
        <v>5166</v>
      </c>
      <c r="G474" t="s">
        <v>3604</v>
      </c>
      <c r="I474" t="s">
        <v>3945</v>
      </c>
      <c r="J474" t="s">
        <v>6073</v>
      </c>
      <c r="L474" t="s">
        <v>289</v>
      </c>
      <c r="M474" t="s">
        <v>7490</v>
      </c>
    </row>
    <row r="475" spans="6:13" x14ac:dyDescent="0.25">
      <c r="F475" t="s">
        <v>543</v>
      </c>
      <c r="G475" t="s">
        <v>759</v>
      </c>
      <c r="I475" t="s">
        <v>6071</v>
      </c>
      <c r="J475" t="s">
        <v>6072</v>
      </c>
      <c r="L475" t="s">
        <v>37</v>
      </c>
      <c r="M475" t="s">
        <v>7663</v>
      </c>
    </row>
    <row r="476" spans="6:13" x14ac:dyDescent="0.25">
      <c r="F476" t="s">
        <v>4573</v>
      </c>
      <c r="G476" t="s">
        <v>4574</v>
      </c>
      <c r="I476" t="s">
        <v>2748</v>
      </c>
      <c r="J476" t="s">
        <v>4015</v>
      </c>
      <c r="L476" t="s">
        <v>3861</v>
      </c>
      <c r="M476" t="s">
        <v>7144</v>
      </c>
    </row>
    <row r="477" spans="6:13" x14ac:dyDescent="0.25">
      <c r="F477" t="s">
        <v>95</v>
      </c>
      <c r="G477" t="s">
        <v>4835</v>
      </c>
      <c r="I477" t="s">
        <v>2748</v>
      </c>
      <c r="J477" t="s">
        <v>4120</v>
      </c>
      <c r="L477" t="s">
        <v>7720</v>
      </c>
      <c r="M477" t="s">
        <v>2181</v>
      </c>
    </row>
    <row r="478" spans="6:13" x14ac:dyDescent="0.25">
      <c r="F478" t="s">
        <v>2676</v>
      </c>
      <c r="G478" t="s">
        <v>3794</v>
      </c>
      <c r="I478" t="s">
        <v>2748</v>
      </c>
      <c r="J478" t="s">
        <v>4054</v>
      </c>
      <c r="L478" t="s">
        <v>459</v>
      </c>
      <c r="M478" t="s">
        <v>7120</v>
      </c>
    </row>
    <row r="479" spans="6:13" x14ac:dyDescent="0.25">
      <c r="F479" t="s">
        <v>2773</v>
      </c>
      <c r="G479" t="s">
        <v>3713</v>
      </c>
      <c r="I479" t="s">
        <v>2748</v>
      </c>
      <c r="J479" t="s">
        <v>4036</v>
      </c>
      <c r="L479" t="s">
        <v>356</v>
      </c>
      <c r="M479" t="s">
        <v>6891</v>
      </c>
    </row>
    <row r="480" spans="6:13" x14ac:dyDescent="0.25">
      <c r="F480" t="s">
        <v>4960</v>
      </c>
      <c r="G480" t="s">
        <v>2368</v>
      </c>
      <c r="I480" t="s">
        <v>5463</v>
      </c>
      <c r="J480" t="s">
        <v>5464</v>
      </c>
      <c r="L480" t="s">
        <v>459</v>
      </c>
      <c r="M480" t="s">
        <v>7500</v>
      </c>
    </row>
    <row r="481" spans="6:13" x14ac:dyDescent="0.25">
      <c r="F481" t="s">
        <v>2677</v>
      </c>
      <c r="G481" t="s">
        <v>3648</v>
      </c>
      <c r="I481" t="s">
        <v>5391</v>
      </c>
      <c r="J481" t="s">
        <v>2983</v>
      </c>
      <c r="L481" t="s">
        <v>122</v>
      </c>
      <c r="M481" t="s">
        <v>1883</v>
      </c>
    </row>
    <row r="482" spans="6:13" x14ac:dyDescent="0.25">
      <c r="F482" t="s">
        <v>4318</v>
      </c>
      <c r="G482" t="s">
        <v>4380</v>
      </c>
      <c r="I482" t="s">
        <v>5868</v>
      </c>
      <c r="J482" t="s">
        <v>2490</v>
      </c>
      <c r="L482" t="s">
        <v>461</v>
      </c>
      <c r="M482" t="s">
        <v>7110</v>
      </c>
    </row>
    <row r="483" spans="6:13" x14ac:dyDescent="0.25">
      <c r="F483" t="s">
        <v>3861</v>
      </c>
      <c r="G483" t="s">
        <v>4333</v>
      </c>
      <c r="I483" t="s">
        <v>254</v>
      </c>
      <c r="J483" t="s">
        <v>6600</v>
      </c>
      <c r="L483" t="s">
        <v>461</v>
      </c>
      <c r="M483" t="s">
        <v>1872</v>
      </c>
    </row>
    <row r="484" spans="6:13" x14ac:dyDescent="0.25">
      <c r="F484" t="s">
        <v>543</v>
      </c>
      <c r="G484" t="s">
        <v>622</v>
      </c>
      <c r="I484" t="s">
        <v>6862</v>
      </c>
      <c r="J484" t="s">
        <v>1639</v>
      </c>
      <c r="L484" t="s">
        <v>311</v>
      </c>
      <c r="M484" t="s">
        <v>2002</v>
      </c>
    </row>
    <row r="485" spans="6:13" x14ac:dyDescent="0.25">
      <c r="F485" t="s">
        <v>5052</v>
      </c>
      <c r="G485" t="s">
        <v>3336</v>
      </c>
      <c r="I485" t="s">
        <v>5454</v>
      </c>
      <c r="J485" t="s">
        <v>892</v>
      </c>
      <c r="L485" t="s">
        <v>37</v>
      </c>
      <c r="M485" t="s">
        <v>1699</v>
      </c>
    </row>
    <row r="486" spans="6:13" x14ac:dyDescent="0.25">
      <c r="F486" t="s">
        <v>356</v>
      </c>
      <c r="G486" t="s">
        <v>4370</v>
      </c>
      <c r="I486" t="s">
        <v>6352</v>
      </c>
      <c r="J486" t="s">
        <v>6353</v>
      </c>
      <c r="L486" t="s">
        <v>37</v>
      </c>
      <c r="M486" t="s">
        <v>7655</v>
      </c>
    </row>
    <row r="487" spans="6:13" x14ac:dyDescent="0.25">
      <c r="F487" t="s">
        <v>585</v>
      </c>
      <c r="G487" t="s">
        <v>3668</v>
      </c>
      <c r="I487" t="s">
        <v>404</v>
      </c>
      <c r="J487" t="s">
        <v>6085</v>
      </c>
      <c r="L487" t="s">
        <v>313</v>
      </c>
      <c r="M487" t="s">
        <v>2132</v>
      </c>
    </row>
    <row r="488" spans="6:13" x14ac:dyDescent="0.25">
      <c r="F488" t="s">
        <v>95</v>
      </c>
      <c r="G488" t="s">
        <v>630</v>
      </c>
      <c r="I488" t="s">
        <v>5675</v>
      </c>
      <c r="J488" t="s">
        <v>5864</v>
      </c>
      <c r="L488" t="s">
        <v>313</v>
      </c>
      <c r="M488" t="s">
        <v>1675</v>
      </c>
    </row>
    <row r="489" spans="6:13" x14ac:dyDescent="0.25">
      <c r="F489" t="s">
        <v>46</v>
      </c>
      <c r="G489" t="s">
        <v>667</v>
      </c>
      <c r="I489" t="s">
        <v>3908</v>
      </c>
      <c r="J489" t="s">
        <v>5478</v>
      </c>
      <c r="L489" t="s">
        <v>3861</v>
      </c>
      <c r="M489" t="s">
        <v>4288</v>
      </c>
    </row>
    <row r="490" spans="6:13" x14ac:dyDescent="0.25">
      <c r="F490" t="s">
        <v>4782</v>
      </c>
      <c r="G490" t="s">
        <v>700</v>
      </c>
      <c r="I490" t="s">
        <v>5602</v>
      </c>
      <c r="J490" t="s">
        <v>5603</v>
      </c>
      <c r="L490" t="s">
        <v>392</v>
      </c>
      <c r="M490" t="s">
        <v>2634</v>
      </c>
    </row>
    <row r="491" spans="6:13" x14ac:dyDescent="0.25">
      <c r="F491" t="s">
        <v>484</v>
      </c>
      <c r="G491" t="s">
        <v>659</v>
      </c>
      <c r="I491" t="s">
        <v>5587</v>
      </c>
      <c r="J491" t="s">
        <v>951</v>
      </c>
      <c r="L491" t="s">
        <v>7076</v>
      </c>
      <c r="M491" t="s">
        <v>1767</v>
      </c>
    </row>
    <row r="492" spans="6:13" x14ac:dyDescent="0.25">
      <c r="F492" t="s">
        <v>5145</v>
      </c>
      <c r="G492" t="s">
        <v>3563</v>
      </c>
      <c r="I492" t="s">
        <v>5312</v>
      </c>
      <c r="J492" t="s">
        <v>6099</v>
      </c>
      <c r="L492" t="s">
        <v>37</v>
      </c>
      <c r="M492" t="s">
        <v>7458</v>
      </c>
    </row>
    <row r="493" spans="6:13" x14ac:dyDescent="0.25">
      <c r="F493" t="s">
        <v>3861</v>
      </c>
      <c r="G493" t="s">
        <v>4423</v>
      </c>
      <c r="I493" t="s">
        <v>5243</v>
      </c>
      <c r="J493" t="s">
        <v>5760</v>
      </c>
      <c r="L493" t="s">
        <v>313</v>
      </c>
      <c r="M493" t="s">
        <v>2135</v>
      </c>
    </row>
    <row r="494" spans="6:13" x14ac:dyDescent="0.25">
      <c r="F494" t="s">
        <v>3861</v>
      </c>
      <c r="G494" t="s">
        <v>4335</v>
      </c>
      <c r="I494" t="s">
        <v>5469</v>
      </c>
      <c r="J494" t="s">
        <v>6486</v>
      </c>
      <c r="L494" t="s">
        <v>4625</v>
      </c>
      <c r="M494" t="s">
        <v>2233</v>
      </c>
    </row>
    <row r="495" spans="6:13" x14ac:dyDescent="0.25">
      <c r="F495" t="s">
        <v>4551</v>
      </c>
      <c r="G495" t="s">
        <v>3299</v>
      </c>
      <c r="I495" t="s">
        <v>5564</v>
      </c>
      <c r="J495" t="s">
        <v>5565</v>
      </c>
      <c r="L495" t="s">
        <v>37</v>
      </c>
      <c r="M495" t="s">
        <v>2246</v>
      </c>
    </row>
    <row r="496" spans="6:13" x14ac:dyDescent="0.25">
      <c r="F496" t="s">
        <v>581</v>
      </c>
      <c r="G496" t="s">
        <v>3737</v>
      </c>
      <c r="I496" t="s">
        <v>5566</v>
      </c>
      <c r="J496" t="s">
        <v>936</v>
      </c>
      <c r="L496" t="s">
        <v>313</v>
      </c>
      <c r="M496" t="s">
        <v>1799</v>
      </c>
    </row>
    <row r="497" spans="6:13" x14ac:dyDescent="0.25">
      <c r="F497" t="s">
        <v>2669</v>
      </c>
      <c r="G497" t="s">
        <v>3333</v>
      </c>
      <c r="I497" t="s">
        <v>2748</v>
      </c>
      <c r="J497" t="s">
        <v>4056</v>
      </c>
      <c r="L497" t="s">
        <v>392</v>
      </c>
      <c r="M497" t="s">
        <v>3100</v>
      </c>
    </row>
    <row r="498" spans="6:13" x14ac:dyDescent="0.25">
      <c r="F498" t="s">
        <v>2683</v>
      </c>
      <c r="G498" t="s">
        <v>3537</v>
      </c>
      <c r="I498" t="s">
        <v>253</v>
      </c>
      <c r="J498" t="s">
        <v>3922</v>
      </c>
      <c r="L498" t="s">
        <v>37</v>
      </c>
      <c r="M498" t="s">
        <v>6925</v>
      </c>
    </row>
    <row r="499" spans="6:13" x14ac:dyDescent="0.25">
      <c r="F499" t="s">
        <v>4322</v>
      </c>
      <c r="G499" t="s">
        <v>4412</v>
      </c>
      <c r="I499" t="s">
        <v>313</v>
      </c>
      <c r="J499" t="s">
        <v>1562</v>
      </c>
      <c r="L499" t="s">
        <v>313</v>
      </c>
      <c r="M499" t="s">
        <v>1913</v>
      </c>
    </row>
    <row r="500" spans="6:13" x14ac:dyDescent="0.25">
      <c r="F500" t="s">
        <v>4318</v>
      </c>
      <c r="G500" t="s">
        <v>4413</v>
      </c>
      <c r="I500" t="s">
        <v>394</v>
      </c>
      <c r="J500" t="s">
        <v>6159</v>
      </c>
      <c r="L500" t="s">
        <v>289</v>
      </c>
      <c r="M500" t="s">
        <v>4193</v>
      </c>
    </row>
    <row r="501" spans="6:13" x14ac:dyDescent="0.25">
      <c r="F501" t="s">
        <v>37</v>
      </c>
      <c r="G501" t="s">
        <v>765</v>
      </c>
      <c r="I501" t="s">
        <v>5713</v>
      </c>
      <c r="J501" t="s">
        <v>6462</v>
      </c>
      <c r="L501" t="s">
        <v>459</v>
      </c>
      <c r="M501" t="s">
        <v>1846</v>
      </c>
    </row>
    <row r="502" spans="6:13" x14ac:dyDescent="0.25">
      <c r="F502" t="s">
        <v>2774</v>
      </c>
      <c r="G502" t="s">
        <v>3519</v>
      </c>
      <c r="I502" t="s">
        <v>3861</v>
      </c>
      <c r="J502" t="s">
        <v>4009</v>
      </c>
      <c r="L502" t="s">
        <v>3916</v>
      </c>
      <c r="M502" t="s">
        <v>4293</v>
      </c>
    </row>
    <row r="503" spans="6:13" x14ac:dyDescent="0.25">
      <c r="F503" t="s">
        <v>401</v>
      </c>
      <c r="G503" t="s">
        <v>688</v>
      </c>
      <c r="I503" t="s">
        <v>90</v>
      </c>
      <c r="J503" t="s">
        <v>1079</v>
      </c>
      <c r="L503" t="s">
        <v>46</v>
      </c>
      <c r="M503" t="s">
        <v>7194</v>
      </c>
    </row>
    <row r="504" spans="6:13" x14ac:dyDescent="0.25">
      <c r="F504" t="s">
        <v>2669</v>
      </c>
      <c r="G504" t="s">
        <v>4544</v>
      </c>
      <c r="I504" t="s">
        <v>311</v>
      </c>
      <c r="J504" t="s">
        <v>5849</v>
      </c>
      <c r="L504" t="s">
        <v>392</v>
      </c>
      <c r="M504" t="s">
        <v>2572</v>
      </c>
    </row>
    <row r="505" spans="6:13" x14ac:dyDescent="0.25">
      <c r="F505" t="s">
        <v>585</v>
      </c>
      <c r="G505" t="s">
        <v>3359</v>
      </c>
      <c r="I505" t="s">
        <v>6404</v>
      </c>
      <c r="J505" t="s">
        <v>1395</v>
      </c>
      <c r="L505" t="s">
        <v>404</v>
      </c>
      <c r="M505" t="s">
        <v>2635</v>
      </c>
    </row>
    <row r="506" spans="6:13" x14ac:dyDescent="0.25">
      <c r="F506" t="s">
        <v>5113</v>
      </c>
      <c r="G506" t="s">
        <v>3465</v>
      </c>
      <c r="I506" t="s">
        <v>3861</v>
      </c>
      <c r="J506" t="s">
        <v>3937</v>
      </c>
      <c r="L506" t="s">
        <v>392</v>
      </c>
      <c r="M506" t="s">
        <v>3122</v>
      </c>
    </row>
    <row r="507" spans="6:13" x14ac:dyDescent="0.25">
      <c r="F507" t="s">
        <v>546</v>
      </c>
      <c r="G507" t="s">
        <v>638</v>
      </c>
      <c r="I507" t="s">
        <v>6054</v>
      </c>
      <c r="J507" t="s">
        <v>6055</v>
      </c>
      <c r="L507" t="s">
        <v>37</v>
      </c>
      <c r="M507" t="s">
        <v>7802</v>
      </c>
    </row>
    <row r="508" spans="6:13" x14ac:dyDescent="0.25">
      <c r="F508" t="s">
        <v>401</v>
      </c>
      <c r="G508" t="s">
        <v>746</v>
      </c>
      <c r="I508" t="s">
        <v>254</v>
      </c>
      <c r="J508" t="s">
        <v>6800</v>
      </c>
      <c r="L508" t="s">
        <v>397</v>
      </c>
      <c r="M508" t="s">
        <v>7082</v>
      </c>
    </row>
    <row r="509" spans="6:13" x14ac:dyDescent="0.25">
      <c r="F509" t="s">
        <v>399</v>
      </c>
      <c r="G509" t="s">
        <v>3316</v>
      </c>
      <c r="I509" t="s">
        <v>2748</v>
      </c>
      <c r="J509" t="s">
        <v>3067</v>
      </c>
      <c r="L509" t="s">
        <v>311</v>
      </c>
      <c r="M509" t="s">
        <v>2160</v>
      </c>
    </row>
    <row r="510" spans="6:13" x14ac:dyDescent="0.25">
      <c r="F510" t="s">
        <v>4631</v>
      </c>
      <c r="G510" t="s">
        <v>3395</v>
      </c>
      <c r="I510" t="s">
        <v>2748</v>
      </c>
      <c r="J510" t="s">
        <v>3073</v>
      </c>
      <c r="L510" t="s">
        <v>39</v>
      </c>
      <c r="M510" t="s">
        <v>2186</v>
      </c>
    </row>
    <row r="511" spans="6:13" x14ac:dyDescent="0.25">
      <c r="F511" t="s">
        <v>37</v>
      </c>
      <c r="G511" t="s">
        <v>5160</v>
      </c>
      <c r="I511" t="s">
        <v>2748</v>
      </c>
      <c r="J511" t="s">
        <v>3058</v>
      </c>
      <c r="L511" t="s">
        <v>397</v>
      </c>
      <c r="M511" t="s">
        <v>6982</v>
      </c>
    </row>
    <row r="512" spans="6:13" x14ac:dyDescent="0.25">
      <c r="F512" t="s">
        <v>4746</v>
      </c>
      <c r="G512" t="s">
        <v>687</v>
      </c>
      <c r="I512" t="s">
        <v>2748</v>
      </c>
      <c r="J512" t="s">
        <v>3041</v>
      </c>
      <c r="L512" t="s">
        <v>459</v>
      </c>
      <c r="M512" t="s">
        <v>7317</v>
      </c>
    </row>
    <row r="513" spans="6:13" x14ac:dyDescent="0.25">
      <c r="F513" t="s">
        <v>4785</v>
      </c>
      <c r="G513" t="s">
        <v>702</v>
      </c>
      <c r="I513" t="s">
        <v>392</v>
      </c>
      <c r="J513" t="s">
        <v>3983</v>
      </c>
      <c r="L513" t="s">
        <v>123</v>
      </c>
      <c r="M513" t="s">
        <v>7123</v>
      </c>
    </row>
    <row r="514" spans="6:13" x14ac:dyDescent="0.25">
      <c r="F514" t="s">
        <v>2773</v>
      </c>
      <c r="G514" t="s">
        <v>3717</v>
      </c>
      <c r="I514" t="s">
        <v>311</v>
      </c>
      <c r="J514" t="s">
        <v>6586</v>
      </c>
      <c r="L514" t="s">
        <v>311</v>
      </c>
      <c r="M514" t="s">
        <v>1947</v>
      </c>
    </row>
    <row r="515" spans="6:13" x14ac:dyDescent="0.25">
      <c r="F515" t="s">
        <v>2774</v>
      </c>
      <c r="G515" t="s">
        <v>3743</v>
      </c>
      <c r="I515" t="s">
        <v>5567</v>
      </c>
      <c r="J515" t="s">
        <v>1393</v>
      </c>
      <c r="L515" t="s">
        <v>3861</v>
      </c>
      <c r="M515" t="s">
        <v>7516</v>
      </c>
    </row>
    <row r="516" spans="6:13" x14ac:dyDescent="0.25">
      <c r="F516" t="s">
        <v>4322</v>
      </c>
      <c r="G516" t="s">
        <v>4349</v>
      </c>
      <c r="I516" t="s">
        <v>5315</v>
      </c>
      <c r="J516" t="s">
        <v>2834</v>
      </c>
      <c r="L516" t="s">
        <v>37</v>
      </c>
      <c r="M516" t="s">
        <v>7215</v>
      </c>
    </row>
    <row r="517" spans="6:13" x14ac:dyDescent="0.25">
      <c r="F517" t="s">
        <v>5094</v>
      </c>
      <c r="G517" t="s">
        <v>3423</v>
      </c>
      <c r="I517" t="s">
        <v>6850</v>
      </c>
      <c r="J517" t="s">
        <v>6851</v>
      </c>
      <c r="L517" t="s">
        <v>392</v>
      </c>
      <c r="M517" t="s">
        <v>2589</v>
      </c>
    </row>
    <row r="518" spans="6:13" x14ac:dyDescent="0.25">
      <c r="F518" t="s">
        <v>2687</v>
      </c>
      <c r="G518" t="s">
        <v>3335</v>
      </c>
      <c r="I518" t="s">
        <v>5467</v>
      </c>
      <c r="J518" t="s">
        <v>5468</v>
      </c>
      <c r="L518" t="s">
        <v>392</v>
      </c>
      <c r="M518" t="s">
        <v>3160</v>
      </c>
    </row>
    <row r="519" spans="6:13" x14ac:dyDescent="0.25">
      <c r="F519" t="s">
        <v>543</v>
      </c>
      <c r="G519" t="s">
        <v>620</v>
      </c>
      <c r="I519" t="s">
        <v>5675</v>
      </c>
      <c r="J519" t="s">
        <v>6514</v>
      </c>
      <c r="L519" t="s">
        <v>401</v>
      </c>
      <c r="M519" t="s">
        <v>7298</v>
      </c>
    </row>
    <row r="520" spans="6:13" x14ac:dyDescent="0.25">
      <c r="F520" t="s">
        <v>4935</v>
      </c>
      <c r="G520" t="s">
        <v>3719</v>
      </c>
      <c r="I520" t="s">
        <v>6102</v>
      </c>
      <c r="J520" t="s">
        <v>6103</v>
      </c>
      <c r="L520" t="s">
        <v>392</v>
      </c>
      <c r="M520" t="s">
        <v>3201</v>
      </c>
    </row>
    <row r="521" spans="6:13" x14ac:dyDescent="0.25">
      <c r="F521" t="s">
        <v>46</v>
      </c>
      <c r="G521" t="s">
        <v>3720</v>
      </c>
      <c r="I521" t="s">
        <v>2748</v>
      </c>
      <c r="J521" t="s">
        <v>4119</v>
      </c>
      <c r="L521" t="s">
        <v>37</v>
      </c>
      <c r="M521" t="s">
        <v>4279</v>
      </c>
    </row>
    <row r="522" spans="6:13" x14ac:dyDescent="0.25">
      <c r="F522" t="s">
        <v>2674</v>
      </c>
      <c r="G522" t="s">
        <v>3464</v>
      </c>
      <c r="I522" t="s">
        <v>338</v>
      </c>
      <c r="J522" t="s">
        <v>6701</v>
      </c>
      <c r="L522" t="s">
        <v>37</v>
      </c>
      <c r="M522" t="s">
        <v>7370</v>
      </c>
    </row>
    <row r="523" spans="6:13" x14ac:dyDescent="0.25">
      <c r="F523" t="s">
        <v>2774</v>
      </c>
      <c r="G523" t="s">
        <v>3315</v>
      </c>
      <c r="I523" t="s">
        <v>6739</v>
      </c>
      <c r="J523" t="s">
        <v>6740</v>
      </c>
      <c r="L523" t="s">
        <v>37</v>
      </c>
      <c r="M523" t="s">
        <v>7568</v>
      </c>
    </row>
    <row r="524" spans="6:13" x14ac:dyDescent="0.25">
      <c r="F524" t="s">
        <v>556</v>
      </c>
      <c r="G524" t="s">
        <v>691</v>
      </c>
      <c r="I524" t="s">
        <v>6145</v>
      </c>
      <c r="J524" t="s">
        <v>2502</v>
      </c>
      <c r="L524" t="s">
        <v>392</v>
      </c>
      <c r="M524" t="s">
        <v>2596</v>
      </c>
    </row>
    <row r="525" spans="6:13" x14ac:dyDescent="0.25">
      <c r="F525" t="s">
        <v>2677</v>
      </c>
      <c r="G525" t="s">
        <v>3404</v>
      </c>
      <c r="I525" t="s">
        <v>253</v>
      </c>
      <c r="J525" t="s">
        <v>821</v>
      </c>
      <c r="L525" t="s">
        <v>123</v>
      </c>
      <c r="M525" t="s">
        <v>7069</v>
      </c>
    </row>
    <row r="526" spans="6:13" x14ac:dyDescent="0.25">
      <c r="F526" t="s">
        <v>313</v>
      </c>
      <c r="G526" t="s">
        <v>4560</v>
      </c>
      <c r="I526" t="s">
        <v>6306</v>
      </c>
      <c r="J526" t="s">
        <v>2902</v>
      </c>
      <c r="L526" t="s">
        <v>37</v>
      </c>
      <c r="M526" t="s">
        <v>7217</v>
      </c>
    </row>
    <row r="527" spans="6:13" x14ac:dyDescent="0.25">
      <c r="F527" t="s">
        <v>4668</v>
      </c>
      <c r="G527" t="s">
        <v>656</v>
      </c>
      <c r="I527" t="s">
        <v>47</v>
      </c>
      <c r="J527" t="s">
        <v>774</v>
      </c>
      <c r="L527" t="s">
        <v>123</v>
      </c>
      <c r="M527" t="s">
        <v>7266</v>
      </c>
    </row>
    <row r="528" spans="6:13" x14ac:dyDescent="0.25">
      <c r="F528" t="s">
        <v>313</v>
      </c>
      <c r="G528" t="s">
        <v>4608</v>
      </c>
      <c r="I528" t="s">
        <v>6395</v>
      </c>
      <c r="J528" t="s">
        <v>2527</v>
      </c>
      <c r="L528" t="s">
        <v>37</v>
      </c>
      <c r="M528" t="s">
        <v>7034</v>
      </c>
    </row>
    <row r="529" spans="6:13" x14ac:dyDescent="0.25">
      <c r="F529" t="s">
        <v>4664</v>
      </c>
      <c r="G529" t="s">
        <v>652</v>
      </c>
      <c r="I529" t="s">
        <v>1</v>
      </c>
      <c r="J529" t="s">
        <v>5482</v>
      </c>
      <c r="L529" t="s">
        <v>459</v>
      </c>
      <c r="M529" t="s">
        <v>2200</v>
      </c>
    </row>
    <row r="530" spans="6:13" x14ac:dyDescent="0.25">
      <c r="F530" t="s">
        <v>2674</v>
      </c>
      <c r="G530" t="s">
        <v>3371</v>
      </c>
      <c r="I530" t="s">
        <v>5675</v>
      </c>
      <c r="J530" t="s">
        <v>6527</v>
      </c>
      <c r="L530" t="s">
        <v>392</v>
      </c>
      <c r="M530" t="s">
        <v>2581</v>
      </c>
    </row>
    <row r="531" spans="6:13" x14ac:dyDescent="0.25">
      <c r="F531" t="s">
        <v>3861</v>
      </c>
      <c r="G531" t="s">
        <v>4395</v>
      </c>
      <c r="I531" t="s">
        <v>548</v>
      </c>
      <c r="J531" t="s">
        <v>2991</v>
      </c>
      <c r="L531" t="s">
        <v>7003</v>
      </c>
      <c r="M531" t="s">
        <v>1721</v>
      </c>
    </row>
    <row r="532" spans="6:13" x14ac:dyDescent="0.25">
      <c r="F532" t="s">
        <v>3861</v>
      </c>
      <c r="G532" t="s">
        <v>4430</v>
      </c>
      <c r="I532" t="s">
        <v>3945</v>
      </c>
      <c r="J532" t="s">
        <v>5901</v>
      </c>
      <c r="L532" t="s">
        <v>39</v>
      </c>
      <c r="M532" t="s">
        <v>2282</v>
      </c>
    </row>
    <row r="533" spans="6:13" x14ac:dyDescent="0.25">
      <c r="F533" t="s">
        <v>2670</v>
      </c>
      <c r="G533" t="s">
        <v>3755</v>
      </c>
      <c r="I533" t="s">
        <v>2743</v>
      </c>
      <c r="J533" t="s">
        <v>4130</v>
      </c>
      <c r="L533" t="s">
        <v>401</v>
      </c>
      <c r="M533" t="s">
        <v>7227</v>
      </c>
    </row>
    <row r="534" spans="6:13" x14ac:dyDescent="0.25">
      <c r="F534" t="s">
        <v>5094</v>
      </c>
      <c r="G534" t="s">
        <v>3612</v>
      </c>
      <c r="I534" t="s">
        <v>2359</v>
      </c>
      <c r="J534" t="s">
        <v>6797</v>
      </c>
      <c r="L534" t="s">
        <v>2359</v>
      </c>
      <c r="M534" t="s">
        <v>4146</v>
      </c>
    </row>
    <row r="535" spans="6:13" x14ac:dyDescent="0.25">
      <c r="F535" t="s">
        <v>356</v>
      </c>
      <c r="G535" t="s">
        <v>4354</v>
      </c>
      <c r="I535" t="s">
        <v>2748</v>
      </c>
      <c r="J535" t="s">
        <v>3017</v>
      </c>
      <c r="L535" t="s">
        <v>7633</v>
      </c>
      <c r="M535" t="s">
        <v>2122</v>
      </c>
    </row>
    <row r="536" spans="6:13" x14ac:dyDescent="0.25">
      <c r="F536" t="s">
        <v>5046</v>
      </c>
      <c r="G536" t="s">
        <v>4571</v>
      </c>
      <c r="I536" t="s">
        <v>2748</v>
      </c>
      <c r="J536" t="s">
        <v>3060</v>
      </c>
      <c r="L536" t="s">
        <v>37</v>
      </c>
      <c r="M536" t="s">
        <v>7514</v>
      </c>
    </row>
    <row r="537" spans="6:13" x14ac:dyDescent="0.25">
      <c r="F537" t="s">
        <v>4632</v>
      </c>
      <c r="G537" t="s">
        <v>641</v>
      </c>
      <c r="I537" t="s">
        <v>91</v>
      </c>
      <c r="J537" t="s">
        <v>883</v>
      </c>
      <c r="L537" t="s">
        <v>21</v>
      </c>
      <c r="M537" t="s">
        <v>2134</v>
      </c>
    </row>
    <row r="538" spans="6:13" x14ac:dyDescent="0.25">
      <c r="F538" t="s">
        <v>2669</v>
      </c>
      <c r="G538" t="s">
        <v>3340</v>
      </c>
      <c r="I538" t="s">
        <v>6442</v>
      </c>
      <c r="J538" t="s">
        <v>6443</v>
      </c>
      <c r="L538" t="s">
        <v>459</v>
      </c>
      <c r="M538" t="s">
        <v>6910</v>
      </c>
    </row>
    <row r="539" spans="6:13" x14ac:dyDescent="0.25">
      <c r="F539" t="s">
        <v>543</v>
      </c>
      <c r="G539" t="s">
        <v>719</v>
      </c>
      <c r="I539" t="s">
        <v>253</v>
      </c>
      <c r="J539" t="s">
        <v>1042</v>
      </c>
      <c r="L539" t="s">
        <v>39</v>
      </c>
      <c r="M539" t="s">
        <v>2046</v>
      </c>
    </row>
    <row r="540" spans="6:13" x14ac:dyDescent="0.25">
      <c r="F540" t="s">
        <v>2675</v>
      </c>
      <c r="G540" t="s">
        <v>3671</v>
      </c>
      <c r="I540" t="s">
        <v>5404</v>
      </c>
      <c r="J540" t="s">
        <v>5405</v>
      </c>
      <c r="L540" t="s">
        <v>397</v>
      </c>
      <c r="M540" t="s">
        <v>7462</v>
      </c>
    </row>
    <row r="541" spans="6:13" x14ac:dyDescent="0.25">
      <c r="F541" t="s">
        <v>122</v>
      </c>
      <c r="G541" t="s">
        <v>4595</v>
      </c>
      <c r="I541" t="s">
        <v>295</v>
      </c>
      <c r="J541" t="s">
        <v>2528</v>
      </c>
      <c r="L541" t="s">
        <v>37</v>
      </c>
      <c r="M541" t="s">
        <v>7853</v>
      </c>
    </row>
    <row r="542" spans="6:13" x14ac:dyDescent="0.25">
      <c r="F542" t="s">
        <v>401</v>
      </c>
      <c r="G542" t="s">
        <v>626</v>
      </c>
      <c r="I542" t="s">
        <v>3861</v>
      </c>
      <c r="J542" t="s">
        <v>4086</v>
      </c>
      <c r="L542" t="s">
        <v>392</v>
      </c>
      <c r="M542" t="s">
        <v>2567</v>
      </c>
    </row>
    <row r="543" spans="6:13" x14ac:dyDescent="0.25">
      <c r="F543" t="s">
        <v>581</v>
      </c>
      <c r="G543" t="s">
        <v>3774</v>
      </c>
      <c r="I543" t="s">
        <v>313</v>
      </c>
      <c r="J543" t="s">
        <v>2887</v>
      </c>
      <c r="L543" t="s">
        <v>397</v>
      </c>
      <c r="M543" t="s">
        <v>7601</v>
      </c>
    </row>
    <row r="544" spans="6:13" x14ac:dyDescent="0.25">
      <c r="F544" t="s">
        <v>137</v>
      </c>
      <c r="G544" t="s">
        <v>3796</v>
      </c>
      <c r="I544" t="s">
        <v>3887</v>
      </c>
      <c r="J544" t="s">
        <v>5501</v>
      </c>
      <c r="L544" t="s">
        <v>39</v>
      </c>
      <c r="M544" t="s">
        <v>1985</v>
      </c>
    </row>
    <row r="545" spans="6:13" x14ac:dyDescent="0.25">
      <c r="F545" t="s">
        <v>5156</v>
      </c>
      <c r="G545" t="s">
        <v>3585</v>
      </c>
      <c r="I545" t="s">
        <v>2748</v>
      </c>
      <c r="J545" t="s">
        <v>3882</v>
      </c>
      <c r="L545" t="s">
        <v>7075</v>
      </c>
      <c r="M545" t="s">
        <v>1766</v>
      </c>
    </row>
    <row r="546" spans="6:13" x14ac:dyDescent="0.25">
      <c r="F546" t="s">
        <v>546</v>
      </c>
      <c r="G546" t="s">
        <v>3627</v>
      </c>
      <c r="I546" t="s">
        <v>2748</v>
      </c>
      <c r="J546" t="s">
        <v>3965</v>
      </c>
      <c r="L546" t="s">
        <v>123</v>
      </c>
      <c r="M546" t="s">
        <v>6981</v>
      </c>
    </row>
    <row r="547" spans="6:13" x14ac:dyDescent="0.25">
      <c r="F547" t="s">
        <v>543</v>
      </c>
      <c r="G547" t="s">
        <v>680</v>
      </c>
      <c r="I547" t="s">
        <v>2748</v>
      </c>
      <c r="J547" t="s">
        <v>4032</v>
      </c>
      <c r="L547" t="s">
        <v>459</v>
      </c>
      <c r="M547" t="s">
        <v>7466</v>
      </c>
    </row>
    <row r="548" spans="6:13" x14ac:dyDescent="0.25">
      <c r="F548" t="s">
        <v>95</v>
      </c>
      <c r="G548" t="s">
        <v>4759</v>
      </c>
      <c r="I548" t="s">
        <v>2748</v>
      </c>
      <c r="J548" t="s">
        <v>3996</v>
      </c>
      <c r="L548" t="s">
        <v>459</v>
      </c>
      <c r="M548" t="s">
        <v>7481</v>
      </c>
    </row>
    <row r="549" spans="6:13" x14ac:dyDescent="0.25">
      <c r="F549" t="s">
        <v>122</v>
      </c>
      <c r="G549" t="s">
        <v>3565</v>
      </c>
      <c r="I549" t="s">
        <v>2748</v>
      </c>
      <c r="J549" t="s">
        <v>3054</v>
      </c>
      <c r="L549" t="s">
        <v>289</v>
      </c>
      <c r="M549" t="s">
        <v>7397</v>
      </c>
    </row>
    <row r="550" spans="6:13" x14ac:dyDescent="0.25">
      <c r="F550" t="s">
        <v>2674</v>
      </c>
      <c r="G550" t="s">
        <v>3418</v>
      </c>
      <c r="I550" t="s">
        <v>254</v>
      </c>
      <c r="J550" t="s">
        <v>2864</v>
      </c>
      <c r="L550" t="s">
        <v>7887</v>
      </c>
      <c r="M550" t="s">
        <v>7888</v>
      </c>
    </row>
    <row r="551" spans="6:13" x14ac:dyDescent="0.25">
      <c r="F551" t="s">
        <v>5119</v>
      </c>
      <c r="G551" t="s">
        <v>3481</v>
      </c>
      <c r="I551" t="s">
        <v>63</v>
      </c>
      <c r="J551" t="s">
        <v>2466</v>
      </c>
      <c r="L551" t="s">
        <v>64</v>
      </c>
      <c r="M551" t="s">
        <v>2611</v>
      </c>
    </row>
    <row r="552" spans="6:13" x14ac:dyDescent="0.25">
      <c r="F552" t="s">
        <v>585</v>
      </c>
      <c r="G552" t="s">
        <v>3575</v>
      </c>
      <c r="I552" t="s">
        <v>6301</v>
      </c>
      <c r="J552" t="s">
        <v>1341</v>
      </c>
      <c r="L552" t="s">
        <v>7001</v>
      </c>
      <c r="M552" t="s">
        <v>1716</v>
      </c>
    </row>
    <row r="553" spans="6:13" x14ac:dyDescent="0.25">
      <c r="F553" t="s">
        <v>2730</v>
      </c>
      <c r="G553" t="s">
        <v>3768</v>
      </c>
      <c r="I553" t="s">
        <v>2359</v>
      </c>
      <c r="J553" t="s">
        <v>3889</v>
      </c>
      <c r="L553" t="s">
        <v>6922</v>
      </c>
      <c r="M553" t="s">
        <v>1745</v>
      </c>
    </row>
    <row r="554" spans="6:13" x14ac:dyDescent="0.25">
      <c r="F554" t="s">
        <v>4893</v>
      </c>
      <c r="G554" t="s">
        <v>732</v>
      </c>
      <c r="I554" t="s">
        <v>5310</v>
      </c>
      <c r="J554" t="s">
        <v>5311</v>
      </c>
      <c r="L554" t="s">
        <v>37</v>
      </c>
      <c r="M554" t="s">
        <v>2318</v>
      </c>
    </row>
    <row r="555" spans="6:13" x14ac:dyDescent="0.25">
      <c r="F555" t="s">
        <v>5094</v>
      </c>
      <c r="G555" t="s">
        <v>3542</v>
      </c>
      <c r="I555" t="s">
        <v>2748</v>
      </c>
      <c r="J555" t="s">
        <v>3046</v>
      </c>
      <c r="L555" t="s">
        <v>392</v>
      </c>
      <c r="M555" t="s">
        <v>2633</v>
      </c>
    </row>
    <row r="556" spans="6:13" x14ac:dyDescent="0.25">
      <c r="F556" t="s">
        <v>356</v>
      </c>
      <c r="G556" t="s">
        <v>4366</v>
      </c>
      <c r="I556" t="s">
        <v>2748</v>
      </c>
      <c r="J556" t="s">
        <v>3032</v>
      </c>
      <c r="L556" t="s">
        <v>7479</v>
      </c>
      <c r="M556" t="s">
        <v>2159</v>
      </c>
    </row>
    <row r="557" spans="6:13" x14ac:dyDescent="0.25">
      <c r="F557" t="s">
        <v>4611</v>
      </c>
      <c r="G557" t="s">
        <v>711</v>
      </c>
      <c r="I557" t="s">
        <v>6777</v>
      </c>
      <c r="J557" t="s">
        <v>2550</v>
      </c>
      <c r="L557" t="s">
        <v>6968</v>
      </c>
      <c r="M557" t="s">
        <v>1980</v>
      </c>
    </row>
    <row r="558" spans="6:13" x14ac:dyDescent="0.25">
      <c r="F558" t="s">
        <v>2752</v>
      </c>
      <c r="G558" t="s">
        <v>744</v>
      </c>
      <c r="I558" t="s">
        <v>92</v>
      </c>
      <c r="J558" t="s">
        <v>1546</v>
      </c>
      <c r="L558" t="s">
        <v>392</v>
      </c>
      <c r="M558" t="s">
        <v>2583</v>
      </c>
    </row>
    <row r="559" spans="6:13" x14ac:dyDescent="0.25">
      <c r="F559" t="s">
        <v>585</v>
      </c>
      <c r="G559" t="s">
        <v>3544</v>
      </c>
      <c r="I559" t="s">
        <v>3945</v>
      </c>
      <c r="J559" t="s">
        <v>5328</v>
      </c>
      <c r="L559" t="s">
        <v>65</v>
      </c>
      <c r="M559" t="s">
        <v>2580</v>
      </c>
    </row>
    <row r="560" spans="6:13" x14ac:dyDescent="0.25">
      <c r="F560" t="s">
        <v>2733</v>
      </c>
      <c r="G560" t="s">
        <v>3738</v>
      </c>
      <c r="I560" t="s">
        <v>2748</v>
      </c>
      <c r="J560" t="s">
        <v>3010</v>
      </c>
      <c r="L560" t="s">
        <v>123</v>
      </c>
      <c r="M560" t="s">
        <v>7699</v>
      </c>
    </row>
    <row r="561" spans="6:13" x14ac:dyDescent="0.25">
      <c r="F561" t="s">
        <v>313</v>
      </c>
      <c r="G561" t="s">
        <v>4716</v>
      </c>
      <c r="I561" t="s">
        <v>2748</v>
      </c>
      <c r="J561" t="s">
        <v>3056</v>
      </c>
      <c r="L561" t="s">
        <v>36</v>
      </c>
      <c r="M561" t="s">
        <v>1682</v>
      </c>
    </row>
    <row r="562" spans="6:13" x14ac:dyDescent="0.25">
      <c r="F562" t="s">
        <v>5196</v>
      </c>
      <c r="G562" t="s">
        <v>3785</v>
      </c>
      <c r="I562" t="s">
        <v>6819</v>
      </c>
      <c r="J562" t="s">
        <v>6820</v>
      </c>
      <c r="L562" t="s">
        <v>37</v>
      </c>
      <c r="M562" t="s">
        <v>7585</v>
      </c>
    </row>
    <row r="563" spans="6:13" x14ac:dyDescent="0.25">
      <c r="F563" t="s">
        <v>5217</v>
      </c>
      <c r="G563" t="s">
        <v>3785</v>
      </c>
      <c r="I563" t="s">
        <v>2730</v>
      </c>
      <c r="J563" t="s">
        <v>2940</v>
      </c>
      <c r="L563" t="s">
        <v>459</v>
      </c>
      <c r="M563" t="s">
        <v>7624</v>
      </c>
    </row>
    <row r="564" spans="6:13" x14ac:dyDescent="0.25">
      <c r="F564" t="s">
        <v>4713</v>
      </c>
      <c r="G564" t="s">
        <v>4714</v>
      </c>
      <c r="I564" t="s">
        <v>6121</v>
      </c>
      <c r="J564" t="s">
        <v>1230</v>
      </c>
      <c r="L564" t="s">
        <v>4198</v>
      </c>
      <c r="M564" t="s">
        <v>4315</v>
      </c>
    </row>
    <row r="565" spans="6:13" x14ac:dyDescent="0.25">
      <c r="F565" t="s">
        <v>2677</v>
      </c>
      <c r="G565" t="s">
        <v>3779</v>
      </c>
      <c r="I565" t="s">
        <v>5786</v>
      </c>
      <c r="J565" t="s">
        <v>1065</v>
      </c>
      <c r="L565" t="s">
        <v>399</v>
      </c>
      <c r="M565" t="s">
        <v>7291</v>
      </c>
    </row>
    <row r="566" spans="6:13" x14ac:dyDescent="0.25">
      <c r="F566" t="s">
        <v>4318</v>
      </c>
      <c r="G566" t="s">
        <v>4406</v>
      </c>
      <c r="I566" t="s">
        <v>551</v>
      </c>
      <c r="J566" t="s">
        <v>2802</v>
      </c>
      <c r="L566" t="s">
        <v>3861</v>
      </c>
      <c r="M566" t="s">
        <v>4170</v>
      </c>
    </row>
    <row r="567" spans="6:13" x14ac:dyDescent="0.25">
      <c r="F567" t="s">
        <v>137</v>
      </c>
      <c r="G567" t="s">
        <v>755</v>
      </c>
      <c r="I567" t="s">
        <v>5414</v>
      </c>
      <c r="J567" t="s">
        <v>6601</v>
      </c>
      <c r="L567" t="s">
        <v>289</v>
      </c>
      <c r="M567" t="s">
        <v>4258</v>
      </c>
    </row>
    <row r="568" spans="6:13" x14ac:dyDescent="0.25">
      <c r="F568" t="s">
        <v>313</v>
      </c>
      <c r="G568" t="s">
        <v>4593</v>
      </c>
      <c r="I568" t="s">
        <v>315</v>
      </c>
      <c r="J568" t="s">
        <v>1524</v>
      </c>
      <c r="L568" t="s">
        <v>461</v>
      </c>
      <c r="M568" t="s">
        <v>1820</v>
      </c>
    </row>
    <row r="569" spans="6:13" x14ac:dyDescent="0.25">
      <c r="F569" t="s">
        <v>4318</v>
      </c>
      <c r="G569" t="s">
        <v>4392</v>
      </c>
      <c r="I569" t="s">
        <v>2743</v>
      </c>
      <c r="J569" t="s">
        <v>6242</v>
      </c>
      <c r="L569" t="s">
        <v>459</v>
      </c>
      <c r="M569" t="s">
        <v>7262</v>
      </c>
    </row>
    <row r="570" spans="6:13" x14ac:dyDescent="0.25">
      <c r="F570" t="s">
        <v>356</v>
      </c>
      <c r="G570" t="s">
        <v>4377</v>
      </c>
      <c r="I570" t="s">
        <v>2743</v>
      </c>
      <c r="J570" t="s">
        <v>6589</v>
      </c>
      <c r="L570" t="s">
        <v>459</v>
      </c>
      <c r="M570" t="s">
        <v>7109</v>
      </c>
    </row>
    <row r="571" spans="6:13" x14ac:dyDescent="0.25">
      <c r="F571" t="s">
        <v>4879</v>
      </c>
      <c r="G571" t="s">
        <v>4880</v>
      </c>
      <c r="I571" t="s">
        <v>2743</v>
      </c>
      <c r="J571" t="s">
        <v>5957</v>
      </c>
      <c r="L571" t="s">
        <v>6498</v>
      </c>
      <c r="M571" t="s">
        <v>7574</v>
      </c>
    </row>
    <row r="572" spans="6:13" x14ac:dyDescent="0.25">
      <c r="F572" t="s">
        <v>4436</v>
      </c>
      <c r="G572" t="s">
        <v>4843</v>
      </c>
      <c r="I572" t="s">
        <v>6717</v>
      </c>
      <c r="J572" t="s">
        <v>1572</v>
      </c>
      <c r="L572" t="s">
        <v>37</v>
      </c>
      <c r="M572" t="s">
        <v>3126</v>
      </c>
    </row>
    <row r="573" spans="6:13" x14ac:dyDescent="0.25">
      <c r="F573" t="s">
        <v>3861</v>
      </c>
      <c r="G573" t="s">
        <v>4341</v>
      </c>
      <c r="I573" t="s">
        <v>254</v>
      </c>
      <c r="J573" t="s">
        <v>4136</v>
      </c>
      <c r="L573" t="s">
        <v>37</v>
      </c>
      <c r="M573" t="s">
        <v>7362</v>
      </c>
    </row>
    <row r="574" spans="6:13" x14ac:dyDescent="0.25">
      <c r="F574" t="s">
        <v>356</v>
      </c>
      <c r="G574" t="s">
        <v>4369</v>
      </c>
      <c r="I574" t="s">
        <v>22</v>
      </c>
      <c r="J574" t="s">
        <v>6255</v>
      </c>
      <c r="L574" t="s">
        <v>7331</v>
      </c>
      <c r="M574" t="s">
        <v>1908</v>
      </c>
    </row>
    <row r="575" spans="6:13" x14ac:dyDescent="0.25">
      <c r="F575" t="s">
        <v>4826</v>
      </c>
      <c r="G575" t="s">
        <v>4827</v>
      </c>
      <c r="I575" t="s">
        <v>318</v>
      </c>
      <c r="J575" t="s">
        <v>5429</v>
      </c>
      <c r="L575" t="s">
        <v>399</v>
      </c>
      <c r="M575" t="s">
        <v>7828</v>
      </c>
    </row>
    <row r="576" spans="6:13" x14ac:dyDescent="0.25">
      <c r="F576" t="s">
        <v>2669</v>
      </c>
      <c r="G576" t="s">
        <v>4822</v>
      </c>
      <c r="I576" t="s">
        <v>394</v>
      </c>
      <c r="J576" t="s">
        <v>6829</v>
      </c>
      <c r="L576" t="s">
        <v>6498</v>
      </c>
      <c r="M576" t="s">
        <v>2196</v>
      </c>
    </row>
    <row r="577" spans="6:13" x14ac:dyDescent="0.25">
      <c r="F577" t="s">
        <v>2679</v>
      </c>
      <c r="G577" t="s">
        <v>3566</v>
      </c>
      <c r="I577" t="s">
        <v>5819</v>
      </c>
      <c r="J577" t="s">
        <v>3967</v>
      </c>
      <c r="L577" t="s">
        <v>3924</v>
      </c>
      <c r="M577" t="s">
        <v>4262</v>
      </c>
    </row>
    <row r="578" spans="6:13" x14ac:dyDescent="0.25">
      <c r="F578" t="s">
        <v>2670</v>
      </c>
      <c r="G578" t="s">
        <v>3430</v>
      </c>
      <c r="I578" t="s">
        <v>360</v>
      </c>
      <c r="J578" t="s">
        <v>4113</v>
      </c>
      <c r="L578" t="s">
        <v>122</v>
      </c>
      <c r="M578" t="s">
        <v>3114</v>
      </c>
    </row>
    <row r="579" spans="6:13" x14ac:dyDescent="0.25">
      <c r="F579" t="s">
        <v>95</v>
      </c>
      <c r="G579" t="s">
        <v>616</v>
      </c>
      <c r="I579" t="s">
        <v>45</v>
      </c>
      <c r="J579" t="s">
        <v>5968</v>
      </c>
      <c r="L579" t="s">
        <v>37</v>
      </c>
      <c r="M579" t="s">
        <v>3152</v>
      </c>
    </row>
    <row r="580" spans="6:13" x14ac:dyDescent="0.25">
      <c r="F580" t="s">
        <v>2677</v>
      </c>
      <c r="G580" t="s">
        <v>3443</v>
      </c>
      <c r="I580" t="s">
        <v>5803</v>
      </c>
      <c r="J580" t="s">
        <v>1071</v>
      </c>
      <c r="L580" t="s">
        <v>3924</v>
      </c>
      <c r="M580" t="s">
        <v>4216</v>
      </c>
    </row>
    <row r="581" spans="6:13" x14ac:dyDescent="0.25">
      <c r="F581" t="s">
        <v>5189</v>
      </c>
      <c r="G581" t="s">
        <v>3674</v>
      </c>
      <c r="I581" t="s">
        <v>3887</v>
      </c>
      <c r="J581" t="s">
        <v>5350</v>
      </c>
      <c r="L581" t="s">
        <v>122</v>
      </c>
      <c r="M581" t="s">
        <v>3165</v>
      </c>
    </row>
    <row r="582" spans="6:13" x14ac:dyDescent="0.25">
      <c r="F582" t="s">
        <v>581</v>
      </c>
      <c r="G582" t="s">
        <v>3632</v>
      </c>
      <c r="I582" t="s">
        <v>92</v>
      </c>
      <c r="J582" t="s">
        <v>2507</v>
      </c>
      <c r="L582" t="s">
        <v>7412</v>
      </c>
      <c r="M582" t="s">
        <v>3182</v>
      </c>
    </row>
    <row r="583" spans="6:13" x14ac:dyDescent="0.25">
      <c r="F583" t="s">
        <v>3861</v>
      </c>
      <c r="G583" t="s">
        <v>4400</v>
      </c>
      <c r="I583" t="s">
        <v>2748</v>
      </c>
      <c r="J583" t="s">
        <v>3007</v>
      </c>
      <c r="L583" t="s">
        <v>37</v>
      </c>
      <c r="M583" t="s">
        <v>3249</v>
      </c>
    </row>
    <row r="584" spans="6:13" x14ac:dyDescent="0.25">
      <c r="F584" t="s">
        <v>37</v>
      </c>
      <c r="G584" t="s">
        <v>4628</v>
      </c>
      <c r="I584" t="s">
        <v>2748</v>
      </c>
      <c r="J584" t="s">
        <v>3015</v>
      </c>
      <c r="L584" t="s">
        <v>551</v>
      </c>
      <c r="M584" t="s">
        <v>4268</v>
      </c>
    </row>
    <row r="585" spans="6:13" x14ac:dyDescent="0.25">
      <c r="F585" t="s">
        <v>122</v>
      </c>
      <c r="G585" t="s">
        <v>4647</v>
      </c>
      <c r="I585" t="s">
        <v>2748</v>
      </c>
      <c r="J585" t="s">
        <v>3044</v>
      </c>
      <c r="L585" t="s">
        <v>551</v>
      </c>
      <c r="M585" t="s">
        <v>4268</v>
      </c>
    </row>
    <row r="586" spans="6:13" x14ac:dyDescent="0.25">
      <c r="F586" t="s">
        <v>37</v>
      </c>
      <c r="G586" t="s">
        <v>5032</v>
      </c>
      <c r="I586" t="s">
        <v>2748</v>
      </c>
      <c r="J586" t="s">
        <v>3059</v>
      </c>
      <c r="L586" t="s">
        <v>3924</v>
      </c>
      <c r="M586" t="s">
        <v>4267</v>
      </c>
    </row>
    <row r="587" spans="6:13" x14ac:dyDescent="0.25">
      <c r="F587" t="s">
        <v>4318</v>
      </c>
      <c r="G587" t="s">
        <v>4402</v>
      </c>
      <c r="I587" t="s">
        <v>2748</v>
      </c>
      <c r="J587" t="s">
        <v>3028</v>
      </c>
      <c r="L587" t="s">
        <v>37</v>
      </c>
      <c r="M587" t="s">
        <v>7267</v>
      </c>
    </row>
    <row r="588" spans="6:13" x14ac:dyDescent="0.25">
      <c r="F588" t="s">
        <v>556</v>
      </c>
      <c r="G588" t="s">
        <v>603</v>
      </c>
      <c r="I588" t="s">
        <v>2748</v>
      </c>
      <c r="J588" t="s">
        <v>3016</v>
      </c>
      <c r="L588" t="s">
        <v>7400</v>
      </c>
      <c r="M588" t="s">
        <v>7401</v>
      </c>
    </row>
    <row r="589" spans="6:13" x14ac:dyDescent="0.25">
      <c r="F589" t="s">
        <v>4540</v>
      </c>
      <c r="G589" t="s">
        <v>3287</v>
      </c>
      <c r="I589" t="s">
        <v>313</v>
      </c>
      <c r="J589" t="s">
        <v>2847</v>
      </c>
      <c r="L589" t="s">
        <v>37</v>
      </c>
      <c r="M589" t="s">
        <v>3159</v>
      </c>
    </row>
    <row r="590" spans="6:13" x14ac:dyDescent="0.25">
      <c r="F590" t="s">
        <v>583</v>
      </c>
      <c r="G590" t="s">
        <v>3420</v>
      </c>
      <c r="I590" t="s">
        <v>5604</v>
      </c>
      <c r="J590" t="s">
        <v>962</v>
      </c>
      <c r="L590" t="s">
        <v>459</v>
      </c>
      <c r="M590" t="s">
        <v>7170</v>
      </c>
    </row>
    <row r="591" spans="6:13" x14ac:dyDescent="0.25">
      <c r="F591" t="s">
        <v>2669</v>
      </c>
      <c r="G591" t="s">
        <v>4932</v>
      </c>
      <c r="I591" t="s">
        <v>122</v>
      </c>
      <c r="J591" t="s">
        <v>1261</v>
      </c>
      <c r="L591" t="s">
        <v>459</v>
      </c>
      <c r="M591" t="s">
        <v>7487</v>
      </c>
    </row>
    <row r="592" spans="6:13" x14ac:dyDescent="0.25">
      <c r="F592" t="s">
        <v>2669</v>
      </c>
      <c r="G592" t="s">
        <v>3686</v>
      </c>
      <c r="I592" t="s">
        <v>254</v>
      </c>
      <c r="J592" t="s">
        <v>1136</v>
      </c>
      <c r="L592" t="s">
        <v>4198</v>
      </c>
      <c r="M592" t="s">
        <v>4271</v>
      </c>
    </row>
    <row r="593" spans="6:13" x14ac:dyDescent="0.25">
      <c r="F593" t="s">
        <v>46</v>
      </c>
      <c r="G593" t="s">
        <v>3422</v>
      </c>
      <c r="I593" t="s">
        <v>309</v>
      </c>
      <c r="J593" t="s">
        <v>1004</v>
      </c>
      <c r="L593" t="s">
        <v>7008</v>
      </c>
      <c r="M593" t="s">
        <v>7009</v>
      </c>
    </row>
    <row r="594" spans="6:13" x14ac:dyDescent="0.25">
      <c r="F594" t="s">
        <v>46</v>
      </c>
      <c r="G594" t="s">
        <v>670</v>
      </c>
      <c r="I594" t="s">
        <v>313</v>
      </c>
      <c r="J594" t="s">
        <v>2905</v>
      </c>
      <c r="L594" t="s">
        <v>4673</v>
      </c>
      <c r="M594" t="s">
        <v>3183</v>
      </c>
    </row>
    <row r="595" spans="6:13" x14ac:dyDescent="0.25">
      <c r="F595" t="s">
        <v>2681</v>
      </c>
      <c r="G595" t="s">
        <v>3696</v>
      </c>
      <c r="I595" t="s">
        <v>253</v>
      </c>
      <c r="J595" t="s">
        <v>4112</v>
      </c>
      <c r="L595" t="s">
        <v>3924</v>
      </c>
      <c r="M595" t="s">
        <v>4259</v>
      </c>
    </row>
    <row r="596" spans="6:13" x14ac:dyDescent="0.25">
      <c r="F596" t="s">
        <v>4318</v>
      </c>
      <c r="G596" t="s">
        <v>4386</v>
      </c>
      <c r="I596" t="s">
        <v>5377</v>
      </c>
      <c r="J596" t="s">
        <v>2558</v>
      </c>
      <c r="L596" t="s">
        <v>3861</v>
      </c>
      <c r="M596" t="s">
        <v>4225</v>
      </c>
    </row>
    <row r="597" spans="6:13" x14ac:dyDescent="0.25">
      <c r="F597" t="s">
        <v>37</v>
      </c>
      <c r="G597" t="s">
        <v>4527</v>
      </c>
      <c r="I597" t="s">
        <v>3887</v>
      </c>
      <c r="J597" t="s">
        <v>6693</v>
      </c>
      <c r="L597" t="s">
        <v>21</v>
      </c>
      <c r="M597" t="s">
        <v>2157</v>
      </c>
    </row>
    <row r="598" spans="6:13" x14ac:dyDescent="0.25">
      <c r="F598" t="s">
        <v>3861</v>
      </c>
      <c r="G598" t="s">
        <v>4378</v>
      </c>
      <c r="I598" t="s">
        <v>313</v>
      </c>
      <c r="J598" t="s">
        <v>2790</v>
      </c>
      <c r="L598" t="s">
        <v>122</v>
      </c>
      <c r="M598" t="s">
        <v>3200</v>
      </c>
    </row>
    <row r="599" spans="6:13" x14ac:dyDescent="0.25">
      <c r="F599" t="s">
        <v>548</v>
      </c>
      <c r="G599" t="s">
        <v>4807</v>
      </c>
      <c r="I599" t="s">
        <v>10</v>
      </c>
      <c r="J599" t="s">
        <v>5605</v>
      </c>
      <c r="L599" t="s">
        <v>37</v>
      </c>
      <c r="M599" t="s">
        <v>7949</v>
      </c>
    </row>
    <row r="600" spans="6:13" x14ac:dyDescent="0.25">
      <c r="F600" t="s">
        <v>585</v>
      </c>
      <c r="G600" t="s">
        <v>3680</v>
      </c>
      <c r="I600" t="s">
        <v>6637</v>
      </c>
      <c r="J600" t="s">
        <v>1527</v>
      </c>
      <c r="L600" t="s">
        <v>7088</v>
      </c>
      <c r="M600" t="s">
        <v>2161</v>
      </c>
    </row>
    <row r="601" spans="6:13" x14ac:dyDescent="0.25">
      <c r="F601" t="s">
        <v>2675</v>
      </c>
      <c r="G601" t="s">
        <v>3288</v>
      </c>
      <c r="I601" t="s">
        <v>6512</v>
      </c>
      <c r="J601" t="s">
        <v>1452</v>
      </c>
      <c r="L601" t="s">
        <v>4438</v>
      </c>
      <c r="M601" t="s">
        <v>7156</v>
      </c>
    </row>
    <row r="602" spans="6:13" x14ac:dyDescent="0.25">
      <c r="F602" t="s">
        <v>4867</v>
      </c>
      <c r="G602" t="s">
        <v>4868</v>
      </c>
      <c r="I602" t="s">
        <v>5809</v>
      </c>
      <c r="J602" t="s">
        <v>5810</v>
      </c>
      <c r="L602" t="s">
        <v>37</v>
      </c>
      <c r="M602" t="s">
        <v>7328</v>
      </c>
    </row>
    <row r="603" spans="6:13" x14ac:dyDescent="0.25">
      <c r="F603" t="s">
        <v>313</v>
      </c>
      <c r="G603" t="s">
        <v>4951</v>
      </c>
      <c r="I603" t="s">
        <v>6440</v>
      </c>
      <c r="J603" t="s">
        <v>6441</v>
      </c>
      <c r="L603" t="s">
        <v>459</v>
      </c>
      <c r="M603" t="s">
        <v>7041</v>
      </c>
    </row>
    <row r="604" spans="6:13" x14ac:dyDescent="0.25">
      <c r="F604" t="s">
        <v>585</v>
      </c>
      <c r="G604" t="s">
        <v>3454</v>
      </c>
      <c r="I604" t="s">
        <v>315</v>
      </c>
      <c r="J604" t="s">
        <v>1313</v>
      </c>
      <c r="L604" t="s">
        <v>7193</v>
      </c>
      <c r="M604" t="s">
        <v>1870</v>
      </c>
    </row>
    <row r="605" spans="6:13" x14ac:dyDescent="0.25">
      <c r="F605" t="s">
        <v>3861</v>
      </c>
      <c r="G605" t="s">
        <v>5053</v>
      </c>
      <c r="I605" t="s">
        <v>254</v>
      </c>
      <c r="J605" t="s">
        <v>2546</v>
      </c>
      <c r="L605" t="s">
        <v>37</v>
      </c>
      <c r="M605" t="s">
        <v>3092</v>
      </c>
    </row>
    <row r="606" spans="6:13" x14ac:dyDescent="0.25">
      <c r="F606" t="s">
        <v>50</v>
      </c>
      <c r="G606" t="s">
        <v>750</v>
      </c>
      <c r="I606" t="s">
        <v>311</v>
      </c>
      <c r="J606" t="s">
        <v>2803</v>
      </c>
      <c r="L606" t="s">
        <v>7193</v>
      </c>
      <c r="M606" t="s">
        <v>2127</v>
      </c>
    </row>
    <row r="607" spans="6:13" x14ac:dyDescent="0.25">
      <c r="F607" t="s">
        <v>585</v>
      </c>
      <c r="G607" t="s">
        <v>3314</v>
      </c>
      <c r="I607" t="s">
        <v>6143</v>
      </c>
      <c r="J607" t="s">
        <v>6144</v>
      </c>
      <c r="L607" t="s">
        <v>459</v>
      </c>
      <c r="M607" t="s">
        <v>7783</v>
      </c>
    </row>
    <row r="608" spans="6:13" x14ac:dyDescent="0.25">
      <c r="F608" t="s">
        <v>2681</v>
      </c>
      <c r="G608" t="s">
        <v>4732</v>
      </c>
      <c r="I608" t="s">
        <v>1</v>
      </c>
      <c r="J608" t="s">
        <v>5380</v>
      </c>
      <c r="L608" t="s">
        <v>7770</v>
      </c>
      <c r="M608" t="s">
        <v>1998</v>
      </c>
    </row>
    <row r="609" spans="6:13" x14ac:dyDescent="0.25">
      <c r="F609" t="s">
        <v>137</v>
      </c>
      <c r="G609" t="s">
        <v>699</v>
      </c>
      <c r="I609" t="s">
        <v>3908</v>
      </c>
      <c r="J609" t="s">
        <v>5975</v>
      </c>
      <c r="L609" t="s">
        <v>7415</v>
      </c>
      <c r="M609" t="s">
        <v>1960</v>
      </c>
    </row>
    <row r="610" spans="6:13" x14ac:dyDescent="0.25">
      <c r="F610" t="s">
        <v>37</v>
      </c>
      <c r="G610" t="s">
        <v>4874</v>
      </c>
      <c r="I610" t="s">
        <v>315</v>
      </c>
      <c r="J610" t="s">
        <v>3927</v>
      </c>
      <c r="L610" t="s">
        <v>4673</v>
      </c>
      <c r="M610" t="s">
        <v>3141</v>
      </c>
    </row>
    <row r="611" spans="6:13" x14ac:dyDescent="0.25">
      <c r="F611" t="s">
        <v>5073</v>
      </c>
      <c r="G611" t="s">
        <v>3518</v>
      </c>
      <c r="I611" t="s">
        <v>6067</v>
      </c>
      <c r="J611" t="s">
        <v>1247</v>
      </c>
      <c r="L611" t="s">
        <v>37</v>
      </c>
      <c r="M611" t="s">
        <v>7365</v>
      </c>
    </row>
    <row r="612" spans="6:13" x14ac:dyDescent="0.25">
      <c r="F612" t="s">
        <v>5135</v>
      </c>
      <c r="G612" t="s">
        <v>3518</v>
      </c>
      <c r="I612" t="s">
        <v>90</v>
      </c>
      <c r="J612" t="s">
        <v>2897</v>
      </c>
      <c r="L612" t="s">
        <v>459</v>
      </c>
      <c r="M612" t="s">
        <v>7476</v>
      </c>
    </row>
    <row r="613" spans="6:13" x14ac:dyDescent="0.25">
      <c r="F613" t="s">
        <v>4525</v>
      </c>
      <c r="G613" t="s">
        <v>4526</v>
      </c>
      <c r="I613" t="s">
        <v>394</v>
      </c>
      <c r="J613" t="s">
        <v>5552</v>
      </c>
      <c r="L613" t="s">
        <v>302</v>
      </c>
      <c r="M613" t="s">
        <v>7519</v>
      </c>
    </row>
    <row r="614" spans="6:13" x14ac:dyDescent="0.25">
      <c r="F614" t="s">
        <v>5052</v>
      </c>
      <c r="G614" t="s">
        <v>3567</v>
      </c>
      <c r="I614" t="s">
        <v>254</v>
      </c>
      <c r="J614" t="s">
        <v>6839</v>
      </c>
      <c r="L614" t="s">
        <v>7193</v>
      </c>
      <c r="M614" t="s">
        <v>1838</v>
      </c>
    </row>
    <row r="615" spans="6:13" x14ac:dyDescent="0.25">
      <c r="F615" t="s">
        <v>311</v>
      </c>
      <c r="G615" t="s">
        <v>4541</v>
      </c>
      <c r="I615" t="s">
        <v>4598</v>
      </c>
      <c r="J615" t="s">
        <v>6482</v>
      </c>
      <c r="L615" t="s">
        <v>7829</v>
      </c>
      <c r="M615" t="s">
        <v>3250</v>
      </c>
    </row>
    <row r="616" spans="6:13" x14ac:dyDescent="0.25">
      <c r="F616" t="s">
        <v>4320</v>
      </c>
      <c r="G616" t="s">
        <v>4331</v>
      </c>
      <c r="I616" t="s">
        <v>392</v>
      </c>
      <c r="J616" t="s">
        <v>2504</v>
      </c>
      <c r="L616" t="s">
        <v>551</v>
      </c>
      <c r="M616" t="s">
        <v>1940</v>
      </c>
    </row>
    <row r="617" spans="6:13" x14ac:dyDescent="0.25">
      <c r="F617" t="s">
        <v>4611</v>
      </c>
      <c r="G617" t="s">
        <v>632</v>
      </c>
      <c r="I617" t="s">
        <v>318</v>
      </c>
      <c r="J617" t="s">
        <v>5756</v>
      </c>
      <c r="L617" t="s">
        <v>5730</v>
      </c>
      <c r="M617" t="s">
        <v>1747</v>
      </c>
    </row>
    <row r="618" spans="6:13" x14ac:dyDescent="0.25">
      <c r="F618" t="s">
        <v>397</v>
      </c>
      <c r="G618" t="s">
        <v>4814</v>
      </c>
      <c r="I618" t="s">
        <v>6183</v>
      </c>
      <c r="J618" t="s">
        <v>6184</v>
      </c>
      <c r="L618" t="s">
        <v>459</v>
      </c>
      <c r="M618" t="s">
        <v>7470</v>
      </c>
    </row>
    <row r="619" spans="6:13" x14ac:dyDescent="0.25">
      <c r="F619" t="s">
        <v>122</v>
      </c>
      <c r="G619" t="s">
        <v>4728</v>
      </c>
      <c r="I619" t="s">
        <v>5775</v>
      </c>
      <c r="J619" t="s">
        <v>5776</v>
      </c>
      <c r="L619" t="s">
        <v>137</v>
      </c>
      <c r="M619" t="s">
        <v>7306</v>
      </c>
    </row>
    <row r="620" spans="6:13" x14ac:dyDescent="0.25">
      <c r="F620" t="s">
        <v>5050</v>
      </c>
      <c r="G620" t="s">
        <v>3392</v>
      </c>
      <c r="I620" t="s">
        <v>6360</v>
      </c>
      <c r="J620" t="s">
        <v>6361</v>
      </c>
      <c r="L620" t="s">
        <v>7422</v>
      </c>
      <c r="M620" t="s">
        <v>7774</v>
      </c>
    </row>
    <row r="621" spans="6:13" x14ac:dyDescent="0.25">
      <c r="F621" t="s">
        <v>5081</v>
      </c>
      <c r="G621" t="s">
        <v>3392</v>
      </c>
      <c r="I621" t="s">
        <v>6214</v>
      </c>
      <c r="J621" t="s">
        <v>2963</v>
      </c>
      <c r="L621" t="s">
        <v>459</v>
      </c>
      <c r="M621" t="s">
        <v>1973</v>
      </c>
    </row>
    <row r="622" spans="6:13" x14ac:dyDescent="0.25">
      <c r="F622" t="s">
        <v>37</v>
      </c>
      <c r="G622" t="s">
        <v>4931</v>
      </c>
      <c r="I622" t="s">
        <v>5514</v>
      </c>
      <c r="J622" t="s">
        <v>910</v>
      </c>
      <c r="L622" t="s">
        <v>4697</v>
      </c>
      <c r="M622" t="s">
        <v>2080</v>
      </c>
    </row>
    <row r="623" spans="6:13" x14ac:dyDescent="0.25">
      <c r="F623" t="s">
        <v>46</v>
      </c>
      <c r="G623" t="s">
        <v>3433</v>
      </c>
      <c r="I623" t="s">
        <v>6200</v>
      </c>
      <c r="J623" t="s">
        <v>1278</v>
      </c>
      <c r="L623" t="s">
        <v>7177</v>
      </c>
      <c r="M623" t="s">
        <v>7178</v>
      </c>
    </row>
    <row r="624" spans="6:13" x14ac:dyDescent="0.25">
      <c r="F624" t="s">
        <v>585</v>
      </c>
      <c r="G624" t="s">
        <v>3366</v>
      </c>
      <c r="I624" t="s">
        <v>5358</v>
      </c>
      <c r="J624" t="s">
        <v>1456</v>
      </c>
      <c r="L624" t="s">
        <v>459</v>
      </c>
      <c r="M624" t="s">
        <v>7089</v>
      </c>
    </row>
    <row r="625" spans="6:13" x14ac:dyDescent="0.25">
      <c r="F625" t="s">
        <v>2682</v>
      </c>
      <c r="G625" t="s">
        <v>3497</v>
      </c>
      <c r="I625" t="s">
        <v>5425</v>
      </c>
      <c r="J625" t="s">
        <v>1310</v>
      </c>
      <c r="L625" t="s">
        <v>392</v>
      </c>
      <c r="M625" t="s">
        <v>2578</v>
      </c>
    </row>
    <row r="626" spans="6:13" x14ac:dyDescent="0.25">
      <c r="F626" t="s">
        <v>543</v>
      </c>
      <c r="G626" t="s">
        <v>682</v>
      </c>
      <c r="I626" t="s">
        <v>295</v>
      </c>
      <c r="J626" t="s">
        <v>2515</v>
      </c>
      <c r="L626" t="s">
        <v>37</v>
      </c>
      <c r="M626" t="s">
        <v>7805</v>
      </c>
    </row>
    <row r="627" spans="6:13" x14ac:dyDescent="0.25">
      <c r="F627" t="s">
        <v>5057</v>
      </c>
      <c r="G627" t="s">
        <v>4590</v>
      </c>
      <c r="I627" t="s">
        <v>3861</v>
      </c>
      <c r="J627" t="s">
        <v>4016</v>
      </c>
      <c r="L627" t="s">
        <v>7770</v>
      </c>
      <c r="M627" t="s">
        <v>2251</v>
      </c>
    </row>
    <row r="628" spans="6:13" x14ac:dyDescent="0.25">
      <c r="F628" t="s">
        <v>5150</v>
      </c>
      <c r="G628" t="s">
        <v>4590</v>
      </c>
      <c r="I628" t="s">
        <v>6409</v>
      </c>
      <c r="J628" t="s">
        <v>1397</v>
      </c>
      <c r="L628" t="s">
        <v>37</v>
      </c>
      <c r="M628" t="s">
        <v>7429</v>
      </c>
    </row>
    <row r="629" spans="6:13" x14ac:dyDescent="0.25">
      <c r="F629" t="s">
        <v>543</v>
      </c>
      <c r="G629" t="s">
        <v>722</v>
      </c>
      <c r="I629" t="s">
        <v>338</v>
      </c>
      <c r="J629" t="s">
        <v>1304</v>
      </c>
      <c r="L629" t="s">
        <v>7733</v>
      </c>
      <c r="M629" t="s">
        <v>2182</v>
      </c>
    </row>
    <row r="630" spans="6:13" x14ac:dyDescent="0.25">
      <c r="F630" t="s">
        <v>546</v>
      </c>
      <c r="G630" t="s">
        <v>629</v>
      </c>
      <c r="I630" t="s">
        <v>3861</v>
      </c>
      <c r="J630" t="s">
        <v>3947</v>
      </c>
      <c r="L630" t="s">
        <v>459</v>
      </c>
      <c r="M630" t="s">
        <v>7885</v>
      </c>
    </row>
    <row r="631" spans="6:13" x14ac:dyDescent="0.25">
      <c r="F631" t="s">
        <v>399</v>
      </c>
      <c r="G631" t="s">
        <v>3282</v>
      </c>
      <c r="I631" t="s">
        <v>90</v>
      </c>
      <c r="J631" t="s">
        <v>3000</v>
      </c>
      <c r="L631" t="s">
        <v>37</v>
      </c>
      <c r="M631" t="s">
        <v>7819</v>
      </c>
    </row>
    <row r="632" spans="6:13" x14ac:dyDescent="0.25">
      <c r="F632" t="s">
        <v>258</v>
      </c>
      <c r="G632" t="s">
        <v>736</v>
      </c>
      <c r="I632" t="s">
        <v>6335</v>
      </c>
      <c r="J632" t="s">
        <v>6336</v>
      </c>
      <c r="L632" t="s">
        <v>286</v>
      </c>
      <c r="M632" t="s">
        <v>2345</v>
      </c>
    </row>
    <row r="633" spans="6:13" x14ac:dyDescent="0.25">
      <c r="F633" t="s">
        <v>2674</v>
      </c>
      <c r="G633" t="s">
        <v>3285</v>
      </c>
      <c r="I633" t="s">
        <v>3887</v>
      </c>
      <c r="J633" t="s">
        <v>6304</v>
      </c>
      <c r="L633" t="s">
        <v>7936</v>
      </c>
      <c r="M633" t="s">
        <v>2321</v>
      </c>
    </row>
    <row r="634" spans="6:13" x14ac:dyDescent="0.25">
      <c r="F634" t="s">
        <v>4592</v>
      </c>
      <c r="G634" t="s">
        <v>5225</v>
      </c>
      <c r="I634" t="s">
        <v>5567</v>
      </c>
      <c r="J634" t="s">
        <v>2877</v>
      </c>
      <c r="L634" t="s">
        <v>7741</v>
      </c>
      <c r="M634" t="s">
        <v>3234</v>
      </c>
    </row>
    <row r="635" spans="6:13" x14ac:dyDescent="0.25">
      <c r="F635" t="s">
        <v>257</v>
      </c>
      <c r="G635" t="s">
        <v>612</v>
      </c>
      <c r="I635" t="s">
        <v>6672</v>
      </c>
      <c r="J635" t="s">
        <v>6673</v>
      </c>
      <c r="L635" t="s">
        <v>2359</v>
      </c>
      <c r="M635" t="s">
        <v>4158</v>
      </c>
    </row>
    <row r="636" spans="6:13" x14ac:dyDescent="0.25">
      <c r="F636" t="s">
        <v>2672</v>
      </c>
      <c r="G636" t="s">
        <v>3529</v>
      </c>
      <c r="I636" t="s">
        <v>253</v>
      </c>
      <c r="J636" t="s">
        <v>5694</v>
      </c>
      <c r="L636" t="s">
        <v>459</v>
      </c>
      <c r="M636" t="s">
        <v>7164</v>
      </c>
    </row>
    <row r="637" spans="6:13" x14ac:dyDescent="0.25">
      <c r="F637" t="s">
        <v>46</v>
      </c>
      <c r="G637" t="s">
        <v>3807</v>
      </c>
      <c r="I637" t="s">
        <v>2743</v>
      </c>
      <c r="J637" t="s">
        <v>3933</v>
      </c>
      <c r="L637" t="s">
        <v>289</v>
      </c>
      <c r="M637" t="s">
        <v>7141</v>
      </c>
    </row>
    <row r="638" spans="6:13" x14ac:dyDescent="0.25">
      <c r="F638" t="s">
        <v>2679</v>
      </c>
      <c r="G638" t="s">
        <v>3531</v>
      </c>
      <c r="I638" t="s">
        <v>401</v>
      </c>
      <c r="J638" t="s">
        <v>5705</v>
      </c>
      <c r="L638" t="s">
        <v>7002</v>
      </c>
      <c r="M638" t="s">
        <v>1718</v>
      </c>
    </row>
    <row r="639" spans="6:13" x14ac:dyDescent="0.25">
      <c r="F639" t="s">
        <v>313</v>
      </c>
      <c r="G639" t="s">
        <v>4550</v>
      </c>
      <c r="I639" t="s">
        <v>254</v>
      </c>
      <c r="J639" t="s">
        <v>2555</v>
      </c>
      <c r="L639" t="s">
        <v>283</v>
      </c>
      <c r="M639" t="s">
        <v>1683</v>
      </c>
    </row>
    <row r="640" spans="6:13" x14ac:dyDescent="0.25">
      <c r="F640" t="s">
        <v>4414</v>
      </c>
      <c r="G640" t="s">
        <v>4415</v>
      </c>
      <c r="I640" t="s">
        <v>5689</v>
      </c>
      <c r="J640" t="s">
        <v>1618</v>
      </c>
      <c r="L640" t="s">
        <v>313</v>
      </c>
      <c r="M640" t="s">
        <v>1976</v>
      </c>
    </row>
    <row r="641" spans="6:13" x14ac:dyDescent="0.25">
      <c r="F641" t="s">
        <v>4320</v>
      </c>
      <c r="G641" t="s">
        <v>4426</v>
      </c>
      <c r="I641" t="s">
        <v>5315</v>
      </c>
      <c r="J641" t="s">
        <v>856</v>
      </c>
      <c r="L641" t="s">
        <v>289</v>
      </c>
      <c r="M641" t="s">
        <v>1867</v>
      </c>
    </row>
    <row r="642" spans="6:13" x14ac:dyDescent="0.25">
      <c r="F642" t="s">
        <v>37</v>
      </c>
      <c r="G642" t="s">
        <v>4579</v>
      </c>
      <c r="I642" t="s">
        <v>2748</v>
      </c>
      <c r="J642" t="s">
        <v>3048</v>
      </c>
      <c r="L642" t="s">
        <v>37</v>
      </c>
      <c r="M642" t="s">
        <v>7689</v>
      </c>
    </row>
    <row r="643" spans="6:13" x14ac:dyDescent="0.25">
      <c r="F643" t="s">
        <v>551</v>
      </c>
      <c r="G643" t="s">
        <v>5036</v>
      </c>
      <c r="I643" t="s">
        <v>2748</v>
      </c>
      <c r="J643" t="s">
        <v>3001</v>
      </c>
      <c r="L643" t="s">
        <v>3861</v>
      </c>
      <c r="M643" t="s">
        <v>4302</v>
      </c>
    </row>
    <row r="644" spans="6:13" x14ac:dyDescent="0.25">
      <c r="F644" t="s">
        <v>3861</v>
      </c>
      <c r="G644" t="s">
        <v>4405</v>
      </c>
      <c r="I644" t="s">
        <v>2748</v>
      </c>
      <c r="J644" t="s">
        <v>3003</v>
      </c>
      <c r="L644" t="s">
        <v>7361</v>
      </c>
      <c r="M644" t="s">
        <v>3163</v>
      </c>
    </row>
    <row r="645" spans="6:13" x14ac:dyDescent="0.25">
      <c r="F645" t="s">
        <v>4671</v>
      </c>
      <c r="G645" t="s">
        <v>4813</v>
      </c>
      <c r="I645" t="s">
        <v>2748</v>
      </c>
      <c r="J645" t="s">
        <v>3009</v>
      </c>
      <c r="L645" t="s">
        <v>4198</v>
      </c>
      <c r="M645" t="s">
        <v>4199</v>
      </c>
    </row>
    <row r="646" spans="6:13" x14ac:dyDescent="0.25">
      <c r="F646" t="s">
        <v>2674</v>
      </c>
      <c r="G646" t="s">
        <v>3740</v>
      </c>
      <c r="I646" t="s">
        <v>123</v>
      </c>
      <c r="J646" t="s">
        <v>6152</v>
      </c>
      <c r="L646" t="s">
        <v>459</v>
      </c>
      <c r="M646" t="s">
        <v>2344</v>
      </c>
    </row>
    <row r="647" spans="6:13" x14ac:dyDescent="0.25">
      <c r="F647" t="s">
        <v>137</v>
      </c>
      <c r="G647" t="s">
        <v>654</v>
      </c>
      <c r="I647" t="s">
        <v>2748</v>
      </c>
      <c r="J647" t="s">
        <v>3052</v>
      </c>
      <c r="L647" t="s">
        <v>2754</v>
      </c>
      <c r="M647" t="s">
        <v>7742</v>
      </c>
    </row>
    <row r="648" spans="6:13" x14ac:dyDescent="0.25">
      <c r="F648" t="s">
        <v>2677</v>
      </c>
      <c r="G648" t="s">
        <v>3641</v>
      </c>
      <c r="I648" t="s">
        <v>2748</v>
      </c>
      <c r="J648" t="s">
        <v>3031</v>
      </c>
      <c r="L648" t="s">
        <v>283</v>
      </c>
      <c r="M648" t="s">
        <v>3104</v>
      </c>
    </row>
    <row r="649" spans="6:13" x14ac:dyDescent="0.25">
      <c r="F649" t="s">
        <v>2677</v>
      </c>
      <c r="G649" t="s">
        <v>3540</v>
      </c>
      <c r="I649" t="s">
        <v>392</v>
      </c>
      <c r="J649" t="s">
        <v>2469</v>
      </c>
      <c r="L649" t="s">
        <v>289</v>
      </c>
      <c r="M649" t="s">
        <v>2054</v>
      </c>
    </row>
    <row r="650" spans="6:13" x14ac:dyDescent="0.25">
      <c r="F650" t="s">
        <v>37</v>
      </c>
      <c r="G650" t="s">
        <v>697</v>
      </c>
      <c r="I650" t="s">
        <v>4664</v>
      </c>
      <c r="J650" t="s">
        <v>6386</v>
      </c>
      <c r="L650" t="s">
        <v>311</v>
      </c>
      <c r="M650" t="s">
        <v>1803</v>
      </c>
    </row>
    <row r="651" spans="6:13" x14ac:dyDescent="0.25">
      <c r="F651" t="s">
        <v>4671</v>
      </c>
      <c r="G651" t="s">
        <v>5098</v>
      </c>
      <c r="I651" t="s">
        <v>315</v>
      </c>
      <c r="J651" t="s">
        <v>3950</v>
      </c>
      <c r="L651" t="s">
        <v>7400</v>
      </c>
      <c r="M651" t="s">
        <v>7722</v>
      </c>
    </row>
    <row r="652" spans="6:13" x14ac:dyDescent="0.25">
      <c r="F652" t="s">
        <v>2752</v>
      </c>
      <c r="G652" t="s">
        <v>3489</v>
      </c>
      <c r="I652" t="s">
        <v>318</v>
      </c>
      <c r="J652" t="s">
        <v>5269</v>
      </c>
      <c r="L652" t="s">
        <v>286</v>
      </c>
      <c r="M652" t="s">
        <v>1887</v>
      </c>
    </row>
    <row r="653" spans="6:13" x14ac:dyDescent="0.25">
      <c r="F653" t="s">
        <v>4803</v>
      </c>
      <c r="G653" t="s">
        <v>709</v>
      </c>
      <c r="I653" t="s">
        <v>6250</v>
      </c>
      <c r="J653" t="s">
        <v>6251</v>
      </c>
      <c r="L653" t="s">
        <v>313</v>
      </c>
      <c r="M653" t="s">
        <v>2249</v>
      </c>
    </row>
    <row r="654" spans="6:13" x14ac:dyDescent="0.25">
      <c r="F654" t="s">
        <v>2673</v>
      </c>
      <c r="G654" t="s">
        <v>3587</v>
      </c>
      <c r="I654" t="s">
        <v>95</v>
      </c>
      <c r="J654" t="s">
        <v>5376</v>
      </c>
      <c r="L654" t="s">
        <v>63</v>
      </c>
      <c r="M654" t="s">
        <v>3136</v>
      </c>
    </row>
    <row r="655" spans="6:13" x14ac:dyDescent="0.25">
      <c r="F655" t="s">
        <v>5090</v>
      </c>
      <c r="G655" t="s">
        <v>3600</v>
      </c>
      <c r="I655" t="s">
        <v>40</v>
      </c>
      <c r="J655" t="s">
        <v>5526</v>
      </c>
      <c r="L655" t="s">
        <v>283</v>
      </c>
      <c r="M655" t="s">
        <v>3189</v>
      </c>
    </row>
    <row r="656" spans="6:13" x14ac:dyDescent="0.25">
      <c r="F656" t="s">
        <v>5164</v>
      </c>
      <c r="G656" t="s">
        <v>3600</v>
      </c>
      <c r="I656" t="s">
        <v>313</v>
      </c>
      <c r="J656" t="s">
        <v>2886</v>
      </c>
      <c r="L656" t="s">
        <v>7935</v>
      </c>
      <c r="M656" t="s">
        <v>3266</v>
      </c>
    </row>
    <row r="657" spans="6:13" x14ac:dyDescent="0.25">
      <c r="F657" t="s">
        <v>4592</v>
      </c>
      <c r="G657" t="s">
        <v>5069</v>
      </c>
      <c r="I657" t="s">
        <v>39</v>
      </c>
      <c r="J657" t="s">
        <v>4003</v>
      </c>
      <c r="L657" t="s">
        <v>286</v>
      </c>
      <c r="M657" t="s">
        <v>2327</v>
      </c>
    </row>
    <row r="658" spans="6:13" x14ac:dyDescent="0.25">
      <c r="F658" t="s">
        <v>4563</v>
      </c>
      <c r="G658" t="s">
        <v>615</v>
      </c>
      <c r="I658" t="s">
        <v>254</v>
      </c>
      <c r="J658" t="s">
        <v>6237</v>
      </c>
      <c r="L658" t="s">
        <v>289</v>
      </c>
      <c r="M658" t="s">
        <v>1944</v>
      </c>
    </row>
    <row r="659" spans="6:13" x14ac:dyDescent="0.25">
      <c r="F659" t="s">
        <v>543</v>
      </c>
      <c r="G659" t="s">
        <v>696</v>
      </c>
      <c r="I659" t="s">
        <v>256</v>
      </c>
      <c r="J659" t="s">
        <v>1208</v>
      </c>
      <c r="L659" t="s">
        <v>289</v>
      </c>
      <c r="M659" t="s">
        <v>6912</v>
      </c>
    </row>
    <row r="660" spans="6:13" x14ac:dyDescent="0.25">
      <c r="F660" t="s">
        <v>5059</v>
      </c>
      <c r="G660" t="s">
        <v>4911</v>
      </c>
      <c r="I660" t="s">
        <v>5845</v>
      </c>
      <c r="J660" t="s">
        <v>1087</v>
      </c>
      <c r="L660" t="s">
        <v>4183</v>
      </c>
      <c r="M660" t="s">
        <v>4313</v>
      </c>
    </row>
    <row r="661" spans="6:13" x14ac:dyDescent="0.25">
      <c r="F661" t="s">
        <v>5198</v>
      </c>
      <c r="G661" t="s">
        <v>4911</v>
      </c>
      <c r="I661" t="s">
        <v>258</v>
      </c>
      <c r="J661" t="s">
        <v>1168</v>
      </c>
      <c r="L661" t="s">
        <v>7719</v>
      </c>
      <c r="M661" t="s">
        <v>4269</v>
      </c>
    </row>
    <row r="662" spans="6:13" x14ac:dyDescent="0.25">
      <c r="F662" t="s">
        <v>543</v>
      </c>
      <c r="G662" t="s">
        <v>674</v>
      </c>
      <c r="I662" t="s">
        <v>256</v>
      </c>
      <c r="J662" t="s">
        <v>839</v>
      </c>
      <c r="L662" t="s">
        <v>459</v>
      </c>
      <c r="M662" t="s">
        <v>7038</v>
      </c>
    </row>
    <row r="663" spans="6:13" x14ac:dyDescent="0.25">
      <c r="F663" t="s">
        <v>2669</v>
      </c>
      <c r="G663" t="s">
        <v>3701</v>
      </c>
      <c r="I663" t="s">
        <v>6401</v>
      </c>
      <c r="J663" t="s">
        <v>1394</v>
      </c>
      <c r="L663" t="s">
        <v>461</v>
      </c>
      <c r="M663" t="s">
        <v>1676</v>
      </c>
    </row>
    <row r="664" spans="6:13" x14ac:dyDescent="0.25">
      <c r="F664" t="s">
        <v>4763</v>
      </c>
      <c r="G664" t="s">
        <v>4764</v>
      </c>
      <c r="I664" t="s">
        <v>313</v>
      </c>
      <c r="J664" t="s">
        <v>6107</v>
      </c>
      <c r="L664" t="s">
        <v>7119</v>
      </c>
      <c r="M664" t="s">
        <v>2274</v>
      </c>
    </row>
    <row r="665" spans="6:13" x14ac:dyDescent="0.25">
      <c r="F665" t="s">
        <v>356</v>
      </c>
      <c r="G665" t="s">
        <v>4421</v>
      </c>
      <c r="I665" t="s">
        <v>6755</v>
      </c>
      <c r="J665" t="s">
        <v>1583</v>
      </c>
      <c r="L665" t="s">
        <v>7220</v>
      </c>
      <c r="M665" t="s">
        <v>1858</v>
      </c>
    </row>
    <row r="666" spans="6:13" x14ac:dyDescent="0.25">
      <c r="F666" t="s">
        <v>122</v>
      </c>
      <c r="G666" t="s">
        <v>4663</v>
      </c>
      <c r="I666" t="s">
        <v>257</v>
      </c>
      <c r="J666" t="s">
        <v>5492</v>
      </c>
      <c r="L666" t="s">
        <v>7119</v>
      </c>
      <c r="M666" t="s">
        <v>1794</v>
      </c>
    </row>
    <row r="667" spans="6:13" x14ac:dyDescent="0.25">
      <c r="F667" t="s">
        <v>543</v>
      </c>
      <c r="G667" t="s">
        <v>662</v>
      </c>
      <c r="I667" t="s">
        <v>6177</v>
      </c>
      <c r="J667" t="s">
        <v>1264</v>
      </c>
      <c r="L667" t="s">
        <v>4438</v>
      </c>
      <c r="M667" t="s">
        <v>7223</v>
      </c>
    </row>
    <row r="668" spans="6:13" x14ac:dyDescent="0.25">
      <c r="F668" t="s">
        <v>2685</v>
      </c>
      <c r="G668" t="s">
        <v>3645</v>
      </c>
      <c r="I668" t="s">
        <v>253</v>
      </c>
      <c r="J668" t="s">
        <v>780</v>
      </c>
      <c r="L668" t="s">
        <v>37</v>
      </c>
      <c r="M668" t="s">
        <v>7736</v>
      </c>
    </row>
    <row r="669" spans="6:13" x14ac:dyDescent="0.25">
      <c r="F669" t="s">
        <v>313</v>
      </c>
      <c r="G669" t="s">
        <v>4995</v>
      </c>
      <c r="I669" t="s">
        <v>5858</v>
      </c>
      <c r="J669" t="s">
        <v>1396</v>
      </c>
      <c r="L669" t="s">
        <v>392</v>
      </c>
      <c r="M669" t="s">
        <v>2629</v>
      </c>
    </row>
    <row r="670" spans="6:13" x14ac:dyDescent="0.25">
      <c r="F670" t="s">
        <v>4800</v>
      </c>
      <c r="G670" t="s">
        <v>704</v>
      </c>
      <c r="I670" t="s">
        <v>2748</v>
      </c>
      <c r="J670" t="s">
        <v>2858</v>
      </c>
      <c r="L670" t="s">
        <v>392</v>
      </c>
      <c r="M670" t="s">
        <v>2636</v>
      </c>
    </row>
    <row r="671" spans="6:13" x14ac:dyDescent="0.25">
      <c r="F671" t="s">
        <v>543</v>
      </c>
      <c r="G671" t="s">
        <v>621</v>
      </c>
      <c r="I671" t="s">
        <v>2748</v>
      </c>
      <c r="J671" t="s">
        <v>3881</v>
      </c>
      <c r="L671" t="s">
        <v>63</v>
      </c>
      <c r="M671" t="s">
        <v>3248</v>
      </c>
    </row>
    <row r="672" spans="6:13" x14ac:dyDescent="0.25">
      <c r="F672" t="s">
        <v>4519</v>
      </c>
      <c r="G672" t="s">
        <v>703</v>
      </c>
      <c r="I672" t="s">
        <v>2748</v>
      </c>
      <c r="J672" t="s">
        <v>2884</v>
      </c>
      <c r="L672" t="s">
        <v>7274</v>
      </c>
      <c r="M672" t="s">
        <v>2029</v>
      </c>
    </row>
    <row r="673" spans="6:13" x14ac:dyDescent="0.25">
      <c r="F673" t="s">
        <v>95</v>
      </c>
      <c r="G673" t="s">
        <v>4643</v>
      </c>
      <c r="I673" t="s">
        <v>2748</v>
      </c>
      <c r="J673" t="s">
        <v>3076</v>
      </c>
      <c r="L673" t="s">
        <v>459</v>
      </c>
      <c r="M673" t="s">
        <v>7025</v>
      </c>
    </row>
    <row r="674" spans="6:13" x14ac:dyDescent="0.25">
      <c r="F674" t="s">
        <v>543</v>
      </c>
      <c r="G674" t="s">
        <v>608</v>
      </c>
      <c r="I674" t="s">
        <v>313</v>
      </c>
      <c r="J674" t="s">
        <v>825</v>
      </c>
      <c r="L674" t="s">
        <v>37</v>
      </c>
      <c r="M674" t="s">
        <v>7183</v>
      </c>
    </row>
    <row r="675" spans="6:13" x14ac:dyDescent="0.25">
      <c r="F675" t="s">
        <v>2677</v>
      </c>
      <c r="G675" t="s">
        <v>3655</v>
      </c>
      <c r="I675" t="s">
        <v>5865</v>
      </c>
      <c r="J675" t="s">
        <v>1103</v>
      </c>
      <c r="L675" t="s">
        <v>37</v>
      </c>
      <c r="M675" t="s">
        <v>7387</v>
      </c>
    </row>
    <row r="676" spans="6:13" x14ac:dyDescent="0.25">
      <c r="F676" t="s">
        <v>37</v>
      </c>
      <c r="G676" t="s">
        <v>724</v>
      </c>
      <c r="I676" t="s">
        <v>254</v>
      </c>
      <c r="J676" t="s">
        <v>2810</v>
      </c>
      <c r="L676" t="s">
        <v>61</v>
      </c>
      <c r="M676" t="s">
        <v>1924</v>
      </c>
    </row>
    <row r="677" spans="6:13" x14ac:dyDescent="0.25">
      <c r="F677" t="s">
        <v>551</v>
      </c>
      <c r="G677" t="s">
        <v>669</v>
      </c>
      <c r="I677" t="s">
        <v>37</v>
      </c>
      <c r="J677" t="s">
        <v>2871</v>
      </c>
      <c r="L677" t="s">
        <v>459</v>
      </c>
      <c r="M677" t="s">
        <v>7373</v>
      </c>
    </row>
    <row r="678" spans="6:13" x14ac:dyDescent="0.25">
      <c r="F678" t="s">
        <v>4534</v>
      </c>
      <c r="G678" t="s">
        <v>605</v>
      </c>
      <c r="I678" t="s">
        <v>254</v>
      </c>
      <c r="J678" t="s">
        <v>6546</v>
      </c>
      <c r="L678" t="s">
        <v>37</v>
      </c>
      <c r="M678" t="s">
        <v>7688</v>
      </c>
    </row>
    <row r="679" spans="6:13" x14ac:dyDescent="0.25">
      <c r="F679" t="s">
        <v>4622</v>
      </c>
      <c r="G679" t="s">
        <v>640</v>
      </c>
      <c r="I679" t="s">
        <v>3945</v>
      </c>
      <c r="J679" t="s">
        <v>6346</v>
      </c>
      <c r="L679" t="s">
        <v>7533</v>
      </c>
      <c r="M679" t="s">
        <v>7534</v>
      </c>
    </row>
    <row r="680" spans="6:13" x14ac:dyDescent="0.25">
      <c r="F680" t="s">
        <v>585</v>
      </c>
      <c r="G680" t="s">
        <v>3341</v>
      </c>
      <c r="I680" t="s">
        <v>253</v>
      </c>
      <c r="J680" t="s">
        <v>930</v>
      </c>
      <c r="L680" t="s">
        <v>459</v>
      </c>
      <c r="M680" t="s">
        <v>7942</v>
      </c>
    </row>
    <row r="681" spans="6:13" x14ac:dyDescent="0.25">
      <c r="F681" t="s">
        <v>2674</v>
      </c>
      <c r="G681" t="s">
        <v>3730</v>
      </c>
      <c r="I681" t="s">
        <v>394</v>
      </c>
      <c r="J681" t="s">
        <v>5471</v>
      </c>
      <c r="L681" t="s">
        <v>123</v>
      </c>
      <c r="M681" t="s">
        <v>7425</v>
      </c>
    </row>
    <row r="682" spans="6:13" x14ac:dyDescent="0.25">
      <c r="F682" t="s">
        <v>543</v>
      </c>
      <c r="G682" t="s">
        <v>668</v>
      </c>
      <c r="I682" t="s">
        <v>338</v>
      </c>
      <c r="J682" t="s">
        <v>2501</v>
      </c>
      <c r="L682" t="s">
        <v>459</v>
      </c>
      <c r="M682" t="s">
        <v>7873</v>
      </c>
    </row>
    <row r="683" spans="6:13" x14ac:dyDescent="0.25">
      <c r="F683" t="s">
        <v>4318</v>
      </c>
      <c r="G683" t="s">
        <v>4355</v>
      </c>
      <c r="I683" t="s">
        <v>392</v>
      </c>
      <c r="J683" t="s">
        <v>2483</v>
      </c>
      <c r="L683" t="s">
        <v>459</v>
      </c>
      <c r="M683" t="s">
        <v>7201</v>
      </c>
    </row>
    <row r="684" spans="6:13" x14ac:dyDescent="0.25">
      <c r="F684" t="s">
        <v>5105</v>
      </c>
      <c r="G684" t="s">
        <v>665</v>
      </c>
      <c r="I684" t="s">
        <v>5321</v>
      </c>
      <c r="J684" t="s">
        <v>5322</v>
      </c>
      <c r="L684" t="s">
        <v>313</v>
      </c>
      <c r="M684" t="s">
        <v>1818</v>
      </c>
    </row>
    <row r="685" spans="6:13" x14ac:dyDescent="0.25">
      <c r="F685" t="s">
        <v>5223</v>
      </c>
      <c r="G685" t="s">
        <v>665</v>
      </c>
      <c r="I685" t="s">
        <v>278</v>
      </c>
      <c r="J685" t="s">
        <v>1550</v>
      </c>
      <c r="L685" t="s">
        <v>311</v>
      </c>
      <c r="M685" t="s">
        <v>2189</v>
      </c>
    </row>
    <row r="686" spans="6:13" x14ac:dyDescent="0.25">
      <c r="F686" t="s">
        <v>2683</v>
      </c>
      <c r="G686" t="s">
        <v>3616</v>
      </c>
      <c r="I686" t="s">
        <v>278</v>
      </c>
      <c r="J686" t="s">
        <v>1518</v>
      </c>
      <c r="L686" t="s">
        <v>3861</v>
      </c>
      <c r="M686" t="s">
        <v>7280</v>
      </c>
    </row>
    <row r="687" spans="6:13" x14ac:dyDescent="0.25">
      <c r="F687" t="s">
        <v>4581</v>
      </c>
      <c r="G687" t="s">
        <v>619</v>
      </c>
      <c r="I687" t="s">
        <v>2748</v>
      </c>
      <c r="J687" t="s">
        <v>3053</v>
      </c>
      <c r="L687" t="s">
        <v>289</v>
      </c>
      <c r="M687" t="s">
        <v>2195</v>
      </c>
    </row>
    <row r="688" spans="6:13" x14ac:dyDescent="0.25">
      <c r="F688" t="s">
        <v>40</v>
      </c>
      <c r="G688" t="s">
        <v>754</v>
      </c>
      <c r="I688" t="s">
        <v>3861</v>
      </c>
      <c r="J688" t="s">
        <v>4007</v>
      </c>
      <c r="L688" t="s">
        <v>551</v>
      </c>
      <c r="M688" t="s">
        <v>2265</v>
      </c>
    </row>
    <row r="689" spans="6:13" x14ac:dyDescent="0.25">
      <c r="F689" t="s">
        <v>3861</v>
      </c>
      <c r="G689" t="s">
        <v>4324</v>
      </c>
      <c r="I689" t="s">
        <v>5459</v>
      </c>
      <c r="J689" t="s">
        <v>906</v>
      </c>
      <c r="L689" t="s">
        <v>4165</v>
      </c>
      <c r="M689" t="s">
        <v>7063</v>
      </c>
    </row>
    <row r="690" spans="6:13" x14ac:dyDescent="0.25">
      <c r="F690" t="s">
        <v>4438</v>
      </c>
      <c r="G690" t="s">
        <v>4715</v>
      </c>
      <c r="I690" t="s">
        <v>318</v>
      </c>
      <c r="J690" t="s">
        <v>6878</v>
      </c>
      <c r="L690" t="s">
        <v>313</v>
      </c>
      <c r="M690" t="s">
        <v>1891</v>
      </c>
    </row>
    <row r="691" spans="6:13" x14ac:dyDescent="0.25">
      <c r="F691" t="s">
        <v>4941</v>
      </c>
      <c r="G691" t="s">
        <v>4942</v>
      </c>
      <c r="I691" t="s">
        <v>95</v>
      </c>
      <c r="J691" t="s">
        <v>6288</v>
      </c>
      <c r="L691" t="s">
        <v>7252</v>
      </c>
      <c r="M691" t="s">
        <v>1864</v>
      </c>
    </row>
    <row r="692" spans="6:13" x14ac:dyDescent="0.25">
      <c r="F692" t="s">
        <v>543</v>
      </c>
      <c r="G692" t="s">
        <v>734</v>
      </c>
      <c r="I692" t="s">
        <v>313</v>
      </c>
      <c r="J692" t="s">
        <v>1362</v>
      </c>
      <c r="L692" t="s">
        <v>392</v>
      </c>
      <c r="M692" t="s">
        <v>3130</v>
      </c>
    </row>
    <row r="693" spans="6:13" x14ac:dyDescent="0.25">
      <c r="F693" t="s">
        <v>37</v>
      </c>
      <c r="G693" t="s">
        <v>5076</v>
      </c>
      <c r="I693" t="s">
        <v>95</v>
      </c>
      <c r="J693" t="s">
        <v>6712</v>
      </c>
      <c r="L693" t="s">
        <v>123</v>
      </c>
      <c r="M693" t="s">
        <v>7881</v>
      </c>
    </row>
    <row r="694" spans="6:13" x14ac:dyDescent="0.25">
      <c r="F694" t="s">
        <v>37</v>
      </c>
      <c r="G694" t="s">
        <v>5197</v>
      </c>
      <c r="I694" t="s">
        <v>6340</v>
      </c>
      <c r="J694" t="s">
        <v>1365</v>
      </c>
      <c r="L694" t="s">
        <v>123</v>
      </c>
      <c r="M694" t="s">
        <v>7863</v>
      </c>
    </row>
    <row r="695" spans="6:13" x14ac:dyDescent="0.25">
      <c r="F695" t="s">
        <v>4578</v>
      </c>
      <c r="G695" t="s">
        <v>618</v>
      </c>
      <c r="I695" t="s">
        <v>5315</v>
      </c>
      <c r="J695" t="s">
        <v>2932</v>
      </c>
      <c r="L695" t="s">
        <v>137</v>
      </c>
      <c r="M695" t="s">
        <v>7559</v>
      </c>
    </row>
    <row r="696" spans="6:13" x14ac:dyDescent="0.25">
      <c r="F696" t="s">
        <v>4336</v>
      </c>
      <c r="G696" t="s">
        <v>4337</v>
      </c>
      <c r="I696" t="s">
        <v>6291</v>
      </c>
      <c r="J696" t="s">
        <v>1337</v>
      </c>
      <c r="L696" t="s">
        <v>459</v>
      </c>
      <c r="M696" t="s">
        <v>7564</v>
      </c>
    </row>
    <row r="697" spans="6:13" x14ac:dyDescent="0.25">
      <c r="F697" t="s">
        <v>2687</v>
      </c>
      <c r="G697" t="s">
        <v>3467</v>
      </c>
      <c r="I697" t="s">
        <v>283</v>
      </c>
      <c r="J697" t="s">
        <v>6332</v>
      </c>
      <c r="L697" t="s">
        <v>459</v>
      </c>
      <c r="M697" t="s">
        <v>7163</v>
      </c>
    </row>
    <row r="698" spans="6:13" x14ac:dyDescent="0.25">
      <c r="F698" t="s">
        <v>551</v>
      </c>
      <c r="G698" t="s">
        <v>4528</v>
      </c>
      <c r="I698" t="s">
        <v>6737</v>
      </c>
      <c r="J698" t="s">
        <v>2548</v>
      </c>
      <c r="L698" t="s">
        <v>6929</v>
      </c>
      <c r="M698" t="s">
        <v>7710</v>
      </c>
    </row>
    <row r="699" spans="6:13" x14ac:dyDescent="0.25">
      <c r="F699" t="s">
        <v>551</v>
      </c>
      <c r="G699" t="s">
        <v>4528</v>
      </c>
      <c r="I699" t="s">
        <v>6128</v>
      </c>
      <c r="J699" t="s">
        <v>2939</v>
      </c>
      <c r="L699" t="s">
        <v>459</v>
      </c>
      <c r="M699" t="s">
        <v>7794</v>
      </c>
    </row>
    <row r="700" spans="6:13" x14ac:dyDescent="0.25">
      <c r="F700" t="s">
        <v>551</v>
      </c>
      <c r="G700" t="s">
        <v>4528</v>
      </c>
      <c r="I700" t="s">
        <v>313</v>
      </c>
      <c r="J700" t="s">
        <v>1281</v>
      </c>
      <c r="L700" t="s">
        <v>392</v>
      </c>
      <c r="M700" t="s">
        <v>2594</v>
      </c>
    </row>
    <row r="701" spans="6:13" x14ac:dyDescent="0.25">
      <c r="F701" t="s">
        <v>551</v>
      </c>
      <c r="G701" t="s">
        <v>4528</v>
      </c>
      <c r="I701" t="s">
        <v>548</v>
      </c>
      <c r="J701" t="s">
        <v>5355</v>
      </c>
      <c r="L701" t="s">
        <v>313</v>
      </c>
      <c r="M701" t="s">
        <v>1906</v>
      </c>
    </row>
    <row r="702" spans="6:13" x14ac:dyDescent="0.25">
      <c r="F702" t="s">
        <v>4530</v>
      </c>
      <c r="G702" t="s">
        <v>600</v>
      </c>
      <c r="I702" t="s">
        <v>5409</v>
      </c>
      <c r="J702" t="s">
        <v>6282</v>
      </c>
      <c r="L702" t="s">
        <v>278</v>
      </c>
      <c r="M702" t="s">
        <v>1719</v>
      </c>
    </row>
    <row r="703" spans="6:13" x14ac:dyDescent="0.25">
      <c r="F703" t="s">
        <v>313</v>
      </c>
      <c r="G703" t="s">
        <v>4552</v>
      </c>
      <c r="I703" t="s">
        <v>6809</v>
      </c>
      <c r="J703" t="s">
        <v>6810</v>
      </c>
      <c r="L703" t="s">
        <v>6962</v>
      </c>
      <c r="M703" t="s">
        <v>1851</v>
      </c>
    </row>
    <row r="704" spans="6:13" x14ac:dyDescent="0.25">
      <c r="F704" t="s">
        <v>551</v>
      </c>
      <c r="G704" t="s">
        <v>631</v>
      </c>
      <c r="I704" t="s">
        <v>5624</v>
      </c>
      <c r="J704" t="s">
        <v>2476</v>
      </c>
      <c r="L704" t="s">
        <v>123</v>
      </c>
      <c r="M704" t="s">
        <v>6983</v>
      </c>
    </row>
    <row r="705" spans="6:13" x14ac:dyDescent="0.25">
      <c r="F705" t="s">
        <v>2671</v>
      </c>
      <c r="G705" t="s">
        <v>3417</v>
      </c>
      <c r="I705" t="s">
        <v>5932</v>
      </c>
      <c r="J705" t="s">
        <v>1133</v>
      </c>
      <c r="L705" t="s">
        <v>452</v>
      </c>
      <c r="M705" t="s">
        <v>7251</v>
      </c>
    </row>
    <row r="706" spans="6:13" x14ac:dyDescent="0.25">
      <c r="F706" t="s">
        <v>4438</v>
      </c>
      <c r="G706" t="s">
        <v>4878</v>
      </c>
      <c r="I706" t="s">
        <v>46</v>
      </c>
      <c r="J706" t="s">
        <v>969</v>
      </c>
      <c r="L706" t="s">
        <v>404</v>
      </c>
      <c r="M706" t="s">
        <v>7349</v>
      </c>
    </row>
    <row r="707" spans="6:13" x14ac:dyDescent="0.25">
      <c r="F707" t="s">
        <v>37</v>
      </c>
      <c r="G707" t="s">
        <v>671</v>
      </c>
      <c r="I707" t="s">
        <v>2748</v>
      </c>
      <c r="J707" t="s">
        <v>3051</v>
      </c>
      <c r="L707" t="s">
        <v>7817</v>
      </c>
      <c r="M707" t="s">
        <v>7818</v>
      </c>
    </row>
    <row r="708" spans="6:13" x14ac:dyDescent="0.25">
      <c r="F708" t="s">
        <v>543</v>
      </c>
      <c r="G708" t="s">
        <v>628</v>
      </c>
      <c r="I708" t="s">
        <v>2748</v>
      </c>
      <c r="J708" t="s">
        <v>3024</v>
      </c>
      <c r="L708" t="s">
        <v>123</v>
      </c>
      <c r="M708" t="s">
        <v>7506</v>
      </c>
    </row>
    <row r="709" spans="6:13" x14ac:dyDescent="0.25">
      <c r="F709" t="s">
        <v>543</v>
      </c>
      <c r="G709" t="s">
        <v>4665</v>
      </c>
      <c r="I709" t="s">
        <v>2748</v>
      </c>
      <c r="J709" t="s">
        <v>3020</v>
      </c>
      <c r="L709" t="s">
        <v>7517</v>
      </c>
      <c r="M709" t="s">
        <v>7901</v>
      </c>
    </row>
    <row r="710" spans="6:13" x14ac:dyDescent="0.25">
      <c r="F710" t="s">
        <v>2677</v>
      </c>
      <c r="G710" t="s">
        <v>3754</v>
      </c>
      <c r="I710" t="s">
        <v>2748</v>
      </c>
      <c r="J710" t="s">
        <v>3022</v>
      </c>
      <c r="L710" t="s">
        <v>37</v>
      </c>
      <c r="M710" t="s">
        <v>7980</v>
      </c>
    </row>
    <row r="711" spans="6:13" x14ac:dyDescent="0.25">
      <c r="F711" t="s">
        <v>2675</v>
      </c>
      <c r="G711" t="s">
        <v>3510</v>
      </c>
      <c r="I711" t="s">
        <v>5664</v>
      </c>
      <c r="J711" t="s">
        <v>1573</v>
      </c>
      <c r="L711" t="s">
        <v>313</v>
      </c>
      <c r="M711" t="s">
        <v>2353</v>
      </c>
    </row>
    <row r="712" spans="6:13" x14ac:dyDescent="0.25">
      <c r="F712" t="s">
        <v>37</v>
      </c>
      <c r="G712" t="s">
        <v>5112</v>
      </c>
      <c r="I712" t="s">
        <v>5547</v>
      </c>
      <c r="J712" t="s">
        <v>5548</v>
      </c>
      <c r="L712" t="s">
        <v>392</v>
      </c>
      <c r="M712" t="s">
        <v>2569</v>
      </c>
    </row>
    <row r="713" spans="6:13" x14ac:dyDescent="0.25">
      <c r="F713" t="s">
        <v>4578</v>
      </c>
      <c r="G713" t="s">
        <v>4662</v>
      </c>
      <c r="I713" t="s">
        <v>338</v>
      </c>
      <c r="J713" t="s">
        <v>827</v>
      </c>
      <c r="L713" t="s">
        <v>293</v>
      </c>
      <c r="M713" t="s">
        <v>7844</v>
      </c>
    </row>
    <row r="714" spans="6:13" x14ac:dyDescent="0.25">
      <c r="F714" t="s">
        <v>2687</v>
      </c>
      <c r="G714" t="s">
        <v>3568</v>
      </c>
      <c r="I714" t="s">
        <v>295</v>
      </c>
      <c r="J714" t="s">
        <v>823</v>
      </c>
      <c r="L714" t="s">
        <v>123</v>
      </c>
      <c r="M714" t="s">
        <v>7567</v>
      </c>
    </row>
    <row r="715" spans="6:13" x14ac:dyDescent="0.25">
      <c r="F715" t="s">
        <v>36</v>
      </c>
      <c r="G715" t="s">
        <v>604</v>
      </c>
      <c r="I715" t="s">
        <v>5310</v>
      </c>
      <c r="J715" t="s">
        <v>6053</v>
      </c>
      <c r="L715" t="s">
        <v>123</v>
      </c>
      <c r="M715" t="s">
        <v>7155</v>
      </c>
    </row>
    <row r="716" spans="6:13" x14ac:dyDescent="0.25">
      <c r="F716" t="s">
        <v>2672</v>
      </c>
      <c r="G716" t="s">
        <v>5010</v>
      </c>
      <c r="I716" t="s">
        <v>5989</v>
      </c>
      <c r="J716" t="s">
        <v>1158</v>
      </c>
      <c r="L716" t="s">
        <v>356</v>
      </c>
      <c r="M716" t="s">
        <v>6924</v>
      </c>
    </row>
    <row r="717" spans="6:13" x14ac:dyDescent="0.25">
      <c r="F717" t="s">
        <v>4318</v>
      </c>
      <c r="G717" t="s">
        <v>4362</v>
      </c>
      <c r="I717" t="s">
        <v>254</v>
      </c>
      <c r="J717" t="s">
        <v>5586</v>
      </c>
      <c r="L717" t="s">
        <v>356</v>
      </c>
      <c r="M717" t="s">
        <v>7861</v>
      </c>
    </row>
    <row r="718" spans="6:13" x14ac:dyDescent="0.25">
      <c r="F718" t="s">
        <v>4600</v>
      </c>
      <c r="G718" t="s">
        <v>4601</v>
      </c>
      <c r="I718" t="s">
        <v>254</v>
      </c>
      <c r="J718" t="s">
        <v>2497</v>
      </c>
      <c r="L718" t="s">
        <v>7208</v>
      </c>
      <c r="M718" t="s">
        <v>2215</v>
      </c>
    </row>
    <row r="719" spans="6:13" x14ac:dyDescent="0.25">
      <c r="F719" t="s">
        <v>37</v>
      </c>
      <c r="G719" t="s">
        <v>4566</v>
      </c>
      <c r="I719" t="s">
        <v>14</v>
      </c>
      <c r="J719" t="s">
        <v>1198</v>
      </c>
      <c r="L719" t="s">
        <v>459</v>
      </c>
      <c r="M719" t="s">
        <v>2272</v>
      </c>
    </row>
    <row r="720" spans="6:13" x14ac:dyDescent="0.25">
      <c r="F720" t="s">
        <v>2748</v>
      </c>
      <c r="G720" t="s">
        <v>3401</v>
      </c>
      <c r="I720" t="s">
        <v>3896</v>
      </c>
      <c r="J720" t="s">
        <v>3963</v>
      </c>
      <c r="L720" t="s">
        <v>392</v>
      </c>
      <c r="M720" t="s">
        <v>2632</v>
      </c>
    </row>
    <row r="721" spans="6:13" x14ac:dyDescent="0.25">
      <c r="F721" t="s">
        <v>37</v>
      </c>
      <c r="G721" t="s">
        <v>770</v>
      </c>
      <c r="I721" t="s">
        <v>5306</v>
      </c>
      <c r="J721" t="s">
        <v>815</v>
      </c>
      <c r="L721" t="s">
        <v>37</v>
      </c>
      <c r="M721" t="s">
        <v>2140</v>
      </c>
    </row>
    <row r="722" spans="6:13" x14ac:dyDescent="0.25">
      <c r="F722" t="s">
        <v>313</v>
      </c>
      <c r="G722" t="s">
        <v>4936</v>
      </c>
      <c r="I722" t="s">
        <v>5286</v>
      </c>
      <c r="J722" t="s">
        <v>6348</v>
      </c>
      <c r="L722" t="s">
        <v>3861</v>
      </c>
      <c r="M722" t="s">
        <v>4195</v>
      </c>
    </row>
    <row r="723" spans="6:13" x14ac:dyDescent="0.25">
      <c r="F723" t="s">
        <v>5009</v>
      </c>
      <c r="G723" t="s">
        <v>3815</v>
      </c>
      <c r="I723" t="s">
        <v>295</v>
      </c>
      <c r="J723" t="s">
        <v>5892</v>
      </c>
      <c r="L723" t="s">
        <v>459</v>
      </c>
      <c r="M723" t="s">
        <v>7493</v>
      </c>
    </row>
    <row r="724" spans="6:13" x14ac:dyDescent="0.25">
      <c r="F724" t="s">
        <v>313</v>
      </c>
      <c r="G724" t="s">
        <v>4886</v>
      </c>
      <c r="I724" t="s">
        <v>2748</v>
      </c>
      <c r="J724" t="s">
        <v>3008</v>
      </c>
      <c r="L724" t="s">
        <v>254</v>
      </c>
      <c r="M724" t="s">
        <v>2035</v>
      </c>
    </row>
    <row r="725" spans="6:13" x14ac:dyDescent="0.25">
      <c r="F725" t="s">
        <v>543</v>
      </c>
      <c r="G725" t="s">
        <v>4812</v>
      </c>
      <c r="I725" t="s">
        <v>2748</v>
      </c>
      <c r="J725" t="s">
        <v>3049</v>
      </c>
      <c r="L725" t="s">
        <v>61</v>
      </c>
      <c r="M725" t="s">
        <v>1761</v>
      </c>
    </row>
    <row r="726" spans="6:13" x14ac:dyDescent="0.25">
      <c r="F726" t="s">
        <v>37</v>
      </c>
      <c r="G726" t="s">
        <v>5168</v>
      </c>
      <c r="I726" t="s">
        <v>313</v>
      </c>
      <c r="J726" t="s">
        <v>2851</v>
      </c>
      <c r="L726" t="s">
        <v>123</v>
      </c>
      <c r="M726" t="s">
        <v>6887</v>
      </c>
    </row>
    <row r="727" spans="6:13" x14ac:dyDescent="0.25">
      <c r="F727" t="s">
        <v>4871</v>
      </c>
      <c r="G727" t="s">
        <v>756</v>
      </c>
      <c r="I727" t="s">
        <v>5804</v>
      </c>
      <c r="J727" t="s">
        <v>5891</v>
      </c>
      <c r="L727" t="s">
        <v>459</v>
      </c>
      <c r="M727" t="s">
        <v>6995</v>
      </c>
    </row>
    <row r="728" spans="6:13" x14ac:dyDescent="0.25">
      <c r="F728" t="s">
        <v>4154</v>
      </c>
      <c r="G728" t="s">
        <v>4344</v>
      </c>
      <c r="I728" t="s">
        <v>3861</v>
      </c>
      <c r="J728" t="s">
        <v>4061</v>
      </c>
      <c r="L728" t="s">
        <v>459</v>
      </c>
      <c r="M728" t="s">
        <v>7407</v>
      </c>
    </row>
    <row r="729" spans="6:13" x14ac:dyDescent="0.25">
      <c r="F729" t="s">
        <v>543</v>
      </c>
      <c r="G729" t="s">
        <v>666</v>
      </c>
      <c r="I729" t="s">
        <v>254</v>
      </c>
      <c r="J729" t="s">
        <v>2473</v>
      </c>
      <c r="L729" t="s">
        <v>280</v>
      </c>
      <c r="M729" t="s">
        <v>6955</v>
      </c>
    </row>
    <row r="730" spans="6:13" x14ac:dyDescent="0.25">
      <c r="F730" t="s">
        <v>548</v>
      </c>
      <c r="G730" t="s">
        <v>710</v>
      </c>
      <c r="I730" t="s">
        <v>3910</v>
      </c>
      <c r="J730" t="s">
        <v>5452</v>
      </c>
      <c r="L730" t="s">
        <v>302</v>
      </c>
      <c r="M730" t="s">
        <v>7005</v>
      </c>
    </row>
    <row r="731" spans="6:13" x14ac:dyDescent="0.25">
      <c r="F731" t="s">
        <v>2673</v>
      </c>
      <c r="G731" t="s">
        <v>3386</v>
      </c>
      <c r="I731" t="s">
        <v>6030</v>
      </c>
      <c r="J731" t="s">
        <v>2496</v>
      </c>
      <c r="L731" t="s">
        <v>392</v>
      </c>
      <c r="M731" t="s">
        <v>2617</v>
      </c>
    </row>
    <row r="732" spans="6:13" x14ac:dyDescent="0.25">
      <c r="F732" t="s">
        <v>313</v>
      </c>
      <c r="G732" t="s">
        <v>3541</v>
      </c>
      <c r="I732" t="s">
        <v>297</v>
      </c>
      <c r="J732" t="s">
        <v>2559</v>
      </c>
      <c r="L732" t="s">
        <v>122</v>
      </c>
      <c r="M732" t="s">
        <v>2013</v>
      </c>
    </row>
    <row r="733" spans="6:13" x14ac:dyDescent="0.25">
      <c r="F733" t="s">
        <v>4751</v>
      </c>
      <c r="G733" t="s">
        <v>5133</v>
      </c>
      <c r="I733" t="s">
        <v>5256</v>
      </c>
      <c r="J733" t="s">
        <v>791</v>
      </c>
      <c r="L733" t="s">
        <v>306</v>
      </c>
      <c r="M733" t="s">
        <v>7117</v>
      </c>
    </row>
    <row r="734" spans="6:13" x14ac:dyDescent="0.25">
      <c r="F734" t="s">
        <v>37</v>
      </c>
      <c r="G734" t="s">
        <v>4862</v>
      </c>
      <c r="I734" t="s">
        <v>3861</v>
      </c>
      <c r="J734" t="s">
        <v>4059</v>
      </c>
      <c r="L734" t="s">
        <v>7088</v>
      </c>
      <c r="M734" t="s">
        <v>1830</v>
      </c>
    </row>
    <row r="735" spans="6:13" x14ac:dyDescent="0.25">
      <c r="F735" t="s">
        <v>3861</v>
      </c>
      <c r="G735" t="s">
        <v>4792</v>
      </c>
      <c r="I735" t="s">
        <v>5697</v>
      </c>
      <c r="J735" t="s">
        <v>1013</v>
      </c>
      <c r="L735" t="s">
        <v>315</v>
      </c>
      <c r="M735" t="s">
        <v>7903</v>
      </c>
    </row>
    <row r="736" spans="6:13" x14ac:dyDescent="0.25">
      <c r="F736" t="s">
        <v>413</v>
      </c>
      <c r="G736" t="s">
        <v>3661</v>
      </c>
      <c r="I736" t="s">
        <v>3861</v>
      </c>
      <c r="J736" t="s">
        <v>3962</v>
      </c>
      <c r="L736" t="s">
        <v>7721</v>
      </c>
      <c r="M736" t="s">
        <v>3211</v>
      </c>
    </row>
    <row r="737" spans="6:13" x14ac:dyDescent="0.25">
      <c r="F737" t="s">
        <v>122</v>
      </c>
      <c r="G737" t="s">
        <v>745</v>
      </c>
      <c r="I737" t="s">
        <v>46</v>
      </c>
      <c r="J737" t="s">
        <v>5420</v>
      </c>
      <c r="L737" t="s">
        <v>459</v>
      </c>
      <c r="M737" t="s">
        <v>7926</v>
      </c>
    </row>
    <row r="738" spans="6:13" x14ac:dyDescent="0.25">
      <c r="F738" t="s">
        <v>2669</v>
      </c>
      <c r="G738" t="s">
        <v>3274</v>
      </c>
      <c r="I738" t="s">
        <v>6016</v>
      </c>
      <c r="J738" t="s">
        <v>1176</v>
      </c>
      <c r="L738" t="s">
        <v>7517</v>
      </c>
      <c r="M738" t="s">
        <v>7518</v>
      </c>
    </row>
    <row r="739" spans="6:13" x14ac:dyDescent="0.25">
      <c r="F739" t="s">
        <v>4438</v>
      </c>
      <c r="G739" t="s">
        <v>4656</v>
      </c>
      <c r="I739" t="s">
        <v>397</v>
      </c>
      <c r="J739" t="s">
        <v>3987</v>
      </c>
      <c r="L739" t="s">
        <v>4906</v>
      </c>
      <c r="M739" t="s">
        <v>2076</v>
      </c>
    </row>
    <row r="740" spans="6:13" x14ac:dyDescent="0.25">
      <c r="F740" t="s">
        <v>122</v>
      </c>
      <c r="G740" t="s">
        <v>5001</v>
      </c>
      <c r="I740" t="s">
        <v>5391</v>
      </c>
      <c r="J740" t="s">
        <v>2505</v>
      </c>
      <c r="L740" t="s">
        <v>315</v>
      </c>
      <c r="M740" t="s">
        <v>7061</v>
      </c>
    </row>
    <row r="741" spans="6:13" x14ac:dyDescent="0.25">
      <c r="F741" t="s">
        <v>357</v>
      </c>
      <c r="G741" t="s">
        <v>4356</v>
      </c>
      <c r="I741" t="s">
        <v>2773</v>
      </c>
      <c r="J741" t="s">
        <v>2811</v>
      </c>
      <c r="L741" t="s">
        <v>6187</v>
      </c>
      <c r="M741" t="s">
        <v>7350</v>
      </c>
    </row>
    <row r="742" spans="6:13" x14ac:dyDescent="0.25">
      <c r="F742" t="s">
        <v>4611</v>
      </c>
      <c r="G742" t="s">
        <v>645</v>
      </c>
      <c r="I742" t="s">
        <v>3861</v>
      </c>
      <c r="J742" t="s">
        <v>3932</v>
      </c>
      <c r="L742" t="s">
        <v>6583</v>
      </c>
      <c r="M742" t="s">
        <v>7660</v>
      </c>
    </row>
    <row r="743" spans="6:13" x14ac:dyDescent="0.25">
      <c r="F743" t="s">
        <v>95</v>
      </c>
      <c r="G743" t="s">
        <v>764</v>
      </c>
      <c r="I743" t="s">
        <v>2733</v>
      </c>
      <c r="J743" t="s">
        <v>2829</v>
      </c>
      <c r="L743" t="s">
        <v>7605</v>
      </c>
      <c r="M743" t="s">
        <v>1789</v>
      </c>
    </row>
    <row r="744" spans="6:13" x14ac:dyDescent="0.25">
      <c r="F744" t="s">
        <v>583</v>
      </c>
      <c r="G744" t="s">
        <v>3412</v>
      </c>
      <c r="I744" t="s">
        <v>318</v>
      </c>
      <c r="J744" t="s">
        <v>6665</v>
      </c>
      <c r="L744" t="s">
        <v>309</v>
      </c>
      <c r="M744" t="s">
        <v>7351</v>
      </c>
    </row>
    <row r="745" spans="6:13" x14ac:dyDescent="0.25">
      <c r="F745" t="s">
        <v>2682</v>
      </c>
      <c r="G745" t="s">
        <v>3286</v>
      </c>
      <c r="I745" t="s">
        <v>40</v>
      </c>
      <c r="J745" t="s">
        <v>5550</v>
      </c>
      <c r="L745" t="s">
        <v>7033</v>
      </c>
      <c r="M745" t="s">
        <v>1852</v>
      </c>
    </row>
    <row r="746" spans="6:13" x14ac:dyDescent="0.25">
      <c r="F746" t="s">
        <v>2687</v>
      </c>
      <c r="G746" t="s">
        <v>3667</v>
      </c>
      <c r="I746" t="s">
        <v>5856</v>
      </c>
      <c r="J746" t="s">
        <v>2938</v>
      </c>
      <c r="L746" t="s">
        <v>254</v>
      </c>
      <c r="M746" t="s">
        <v>1874</v>
      </c>
    </row>
    <row r="747" spans="6:13" x14ac:dyDescent="0.25">
      <c r="F747" t="s">
        <v>2671</v>
      </c>
      <c r="G747" t="s">
        <v>3640</v>
      </c>
      <c r="I747" t="s">
        <v>254</v>
      </c>
      <c r="J747" t="s">
        <v>2491</v>
      </c>
      <c r="L747" t="s">
        <v>459</v>
      </c>
      <c r="M747" t="s">
        <v>2224</v>
      </c>
    </row>
    <row r="748" spans="6:13" x14ac:dyDescent="0.25">
      <c r="F748" t="s">
        <v>4924</v>
      </c>
      <c r="G748" t="s">
        <v>3710</v>
      </c>
      <c r="I748" t="s">
        <v>90</v>
      </c>
      <c r="J748" t="s">
        <v>1493</v>
      </c>
      <c r="L748" t="s">
        <v>7716</v>
      </c>
      <c r="M748" t="s">
        <v>2178</v>
      </c>
    </row>
    <row r="749" spans="6:13" x14ac:dyDescent="0.25">
      <c r="F749" t="s">
        <v>37</v>
      </c>
      <c r="G749" t="s">
        <v>5155</v>
      </c>
      <c r="I749" t="s">
        <v>6827</v>
      </c>
      <c r="J749" t="s">
        <v>6828</v>
      </c>
      <c r="L749" t="s">
        <v>392</v>
      </c>
      <c r="M749" t="s">
        <v>2202</v>
      </c>
    </row>
    <row r="750" spans="6:13" x14ac:dyDescent="0.25">
      <c r="F750" t="s">
        <v>5033</v>
      </c>
      <c r="G750" t="s">
        <v>4532</v>
      </c>
      <c r="I750" t="s">
        <v>5801</v>
      </c>
      <c r="J750" t="s">
        <v>1101</v>
      </c>
      <c r="L750" t="s">
        <v>7348</v>
      </c>
      <c r="M750" t="s">
        <v>2620</v>
      </c>
    </row>
    <row r="751" spans="6:13" x14ac:dyDescent="0.25">
      <c r="F751" t="s">
        <v>5220</v>
      </c>
      <c r="G751" t="s">
        <v>4532</v>
      </c>
      <c r="I751" t="s">
        <v>3945</v>
      </c>
      <c r="J751" t="s">
        <v>4093</v>
      </c>
      <c r="L751" t="s">
        <v>7541</v>
      </c>
      <c r="M751" t="s">
        <v>2144</v>
      </c>
    </row>
    <row r="752" spans="6:13" x14ac:dyDescent="0.25">
      <c r="F752" t="s">
        <v>548</v>
      </c>
      <c r="G752" t="s">
        <v>3647</v>
      </c>
      <c r="I752" t="s">
        <v>318</v>
      </c>
      <c r="J752" t="s">
        <v>5860</v>
      </c>
      <c r="L752" t="s">
        <v>7244</v>
      </c>
      <c r="M752" t="s">
        <v>1821</v>
      </c>
    </row>
    <row r="753" spans="6:13" x14ac:dyDescent="0.25">
      <c r="F753" t="s">
        <v>4436</v>
      </c>
      <c r="G753" t="s">
        <v>4940</v>
      </c>
      <c r="I753" t="s">
        <v>2748</v>
      </c>
      <c r="J753" t="s">
        <v>3072</v>
      </c>
      <c r="L753" t="s">
        <v>289</v>
      </c>
      <c r="M753" t="s">
        <v>4148</v>
      </c>
    </row>
    <row r="754" spans="6:13" x14ac:dyDescent="0.25">
      <c r="F754" t="s">
        <v>37</v>
      </c>
      <c r="G754" t="s">
        <v>5096</v>
      </c>
      <c r="I754" t="s">
        <v>2748</v>
      </c>
      <c r="J754" t="s">
        <v>3027</v>
      </c>
      <c r="L754" t="s">
        <v>5372</v>
      </c>
      <c r="M754" t="s">
        <v>2562</v>
      </c>
    </row>
    <row r="755" spans="6:13" x14ac:dyDescent="0.25">
      <c r="F755" t="s">
        <v>356</v>
      </c>
      <c r="G755" t="s">
        <v>4394</v>
      </c>
      <c r="I755" t="s">
        <v>5641</v>
      </c>
      <c r="J755" t="s">
        <v>5642</v>
      </c>
      <c r="L755" t="s">
        <v>7715</v>
      </c>
      <c r="M755" t="s">
        <v>1709</v>
      </c>
    </row>
    <row r="756" spans="6:13" x14ac:dyDescent="0.25">
      <c r="F756" t="s">
        <v>4605</v>
      </c>
      <c r="G756" t="s">
        <v>627</v>
      </c>
      <c r="I756" t="s">
        <v>397</v>
      </c>
      <c r="J756" t="s">
        <v>2379</v>
      </c>
      <c r="L756" t="s">
        <v>7753</v>
      </c>
      <c r="M756" t="s">
        <v>2072</v>
      </c>
    </row>
    <row r="757" spans="6:13" x14ac:dyDescent="0.25">
      <c r="F757" t="s">
        <v>4436</v>
      </c>
      <c r="G757" t="s">
        <v>4642</v>
      </c>
      <c r="I757" t="s">
        <v>295</v>
      </c>
      <c r="J757" t="s">
        <v>1188</v>
      </c>
      <c r="L757" t="s">
        <v>289</v>
      </c>
      <c r="M757" t="s">
        <v>7682</v>
      </c>
    </row>
    <row r="758" spans="6:13" x14ac:dyDescent="0.25">
      <c r="F758" t="s">
        <v>4676</v>
      </c>
      <c r="G758" t="s">
        <v>661</v>
      </c>
      <c r="I758" t="s">
        <v>2748</v>
      </c>
      <c r="J758" t="s">
        <v>3069</v>
      </c>
      <c r="L758" t="s">
        <v>123</v>
      </c>
      <c r="M758" t="s">
        <v>7931</v>
      </c>
    </row>
    <row r="759" spans="6:13" x14ac:dyDescent="0.25">
      <c r="F759" t="s">
        <v>313</v>
      </c>
      <c r="G759" t="s">
        <v>4984</v>
      </c>
      <c r="I759" t="s">
        <v>6221</v>
      </c>
      <c r="J759" t="s">
        <v>1290</v>
      </c>
      <c r="L759" t="s">
        <v>315</v>
      </c>
      <c r="M759" t="s">
        <v>7602</v>
      </c>
    </row>
    <row r="760" spans="6:13" x14ac:dyDescent="0.25">
      <c r="F760" t="s">
        <v>122</v>
      </c>
      <c r="G760" t="s">
        <v>4654</v>
      </c>
      <c r="I760" t="s">
        <v>95</v>
      </c>
      <c r="J760" t="s">
        <v>6487</v>
      </c>
      <c r="L760" t="s">
        <v>7538</v>
      </c>
      <c r="M760" t="s">
        <v>7539</v>
      </c>
    </row>
    <row r="761" spans="6:13" x14ac:dyDescent="0.25">
      <c r="F761" t="s">
        <v>401</v>
      </c>
      <c r="G761" t="s">
        <v>3663</v>
      </c>
      <c r="I761" t="s">
        <v>6183</v>
      </c>
      <c r="J761" t="s">
        <v>6290</v>
      </c>
      <c r="L761" t="s">
        <v>286</v>
      </c>
      <c r="M761" t="s">
        <v>2188</v>
      </c>
    </row>
    <row r="762" spans="6:13" x14ac:dyDescent="0.25">
      <c r="F762" t="s">
        <v>4906</v>
      </c>
      <c r="G762" t="s">
        <v>4988</v>
      </c>
      <c r="I762" t="s">
        <v>5556</v>
      </c>
      <c r="J762" t="s">
        <v>932</v>
      </c>
      <c r="L762" t="s">
        <v>6900</v>
      </c>
      <c r="M762" t="s">
        <v>7908</v>
      </c>
    </row>
    <row r="763" spans="6:13" x14ac:dyDescent="0.25">
      <c r="F763" t="s">
        <v>95</v>
      </c>
      <c r="G763" t="s">
        <v>708</v>
      </c>
      <c r="I763" t="s">
        <v>254</v>
      </c>
      <c r="J763" t="s">
        <v>6063</v>
      </c>
      <c r="L763" t="s">
        <v>254</v>
      </c>
      <c r="M763" t="s">
        <v>1888</v>
      </c>
    </row>
    <row r="764" spans="6:13" x14ac:dyDescent="0.25">
      <c r="F764" t="s">
        <v>2754</v>
      </c>
      <c r="G764" t="s">
        <v>3295</v>
      </c>
      <c r="I764" t="s">
        <v>6801</v>
      </c>
      <c r="J764" t="s">
        <v>1607</v>
      </c>
      <c r="L764" t="s">
        <v>459</v>
      </c>
      <c r="M764" t="s">
        <v>7573</v>
      </c>
    </row>
    <row r="765" spans="6:13" x14ac:dyDescent="0.25">
      <c r="F765" t="s">
        <v>4817</v>
      </c>
      <c r="G765" t="s">
        <v>4818</v>
      </c>
      <c r="I765" t="s">
        <v>2730</v>
      </c>
      <c r="J765" t="s">
        <v>2827</v>
      </c>
      <c r="L765" t="s">
        <v>315</v>
      </c>
      <c r="M765" t="s">
        <v>7902</v>
      </c>
    </row>
    <row r="766" spans="6:13" x14ac:dyDescent="0.25">
      <c r="F766" t="s">
        <v>95</v>
      </c>
      <c r="G766" t="s">
        <v>747</v>
      </c>
      <c r="I766" t="s">
        <v>280</v>
      </c>
      <c r="J766" t="s">
        <v>2805</v>
      </c>
      <c r="L766" t="s">
        <v>313</v>
      </c>
      <c r="M766" t="s">
        <v>7371</v>
      </c>
    </row>
    <row r="767" spans="6:13" x14ac:dyDescent="0.25">
      <c r="F767" t="s">
        <v>417</v>
      </c>
      <c r="G767" t="s">
        <v>650</v>
      </c>
      <c r="I767" t="s">
        <v>5809</v>
      </c>
      <c r="J767" t="s">
        <v>6645</v>
      </c>
      <c r="L767" t="s">
        <v>313</v>
      </c>
      <c r="M767" t="s">
        <v>7646</v>
      </c>
    </row>
    <row r="768" spans="6:13" x14ac:dyDescent="0.25">
      <c r="F768" t="s">
        <v>356</v>
      </c>
      <c r="G768" t="s">
        <v>4345</v>
      </c>
      <c r="I768" t="s">
        <v>5408</v>
      </c>
      <c r="J768" t="s">
        <v>2794</v>
      </c>
      <c r="L768" t="s">
        <v>3861</v>
      </c>
      <c r="M768" t="s">
        <v>4163</v>
      </c>
    </row>
    <row r="769" spans="6:13" x14ac:dyDescent="0.25">
      <c r="F769" t="s">
        <v>313</v>
      </c>
      <c r="G769" t="s">
        <v>4591</v>
      </c>
      <c r="I769" t="s">
        <v>315</v>
      </c>
      <c r="J769" t="s">
        <v>3904</v>
      </c>
      <c r="L769" t="s">
        <v>7318</v>
      </c>
      <c r="M769" t="s">
        <v>2065</v>
      </c>
    </row>
    <row r="770" spans="6:13" x14ac:dyDescent="0.25">
      <c r="F770" t="s">
        <v>399</v>
      </c>
      <c r="G770" t="s">
        <v>3665</v>
      </c>
      <c r="I770" t="s">
        <v>2739</v>
      </c>
      <c r="J770" t="s">
        <v>4046</v>
      </c>
      <c r="L770" t="s">
        <v>392</v>
      </c>
      <c r="M770" t="s">
        <v>3179</v>
      </c>
    </row>
    <row r="771" spans="6:13" x14ac:dyDescent="0.25">
      <c r="F771" t="s">
        <v>2669</v>
      </c>
      <c r="G771" t="s">
        <v>5182</v>
      </c>
      <c r="I771" t="s">
        <v>313</v>
      </c>
      <c r="J771" t="s">
        <v>1620</v>
      </c>
      <c r="L771" t="s">
        <v>122</v>
      </c>
      <c r="M771" t="s">
        <v>1698</v>
      </c>
    </row>
    <row r="772" spans="6:13" x14ac:dyDescent="0.25">
      <c r="F772" t="s">
        <v>4755</v>
      </c>
      <c r="G772" t="s">
        <v>3523</v>
      </c>
      <c r="I772" t="s">
        <v>313</v>
      </c>
      <c r="J772" t="s">
        <v>959</v>
      </c>
      <c r="L772" t="s">
        <v>397</v>
      </c>
      <c r="M772" t="s">
        <v>7336</v>
      </c>
    </row>
    <row r="773" spans="6:13" x14ac:dyDescent="0.25">
      <c r="F773" t="s">
        <v>37</v>
      </c>
      <c r="G773" t="s">
        <v>5055</v>
      </c>
      <c r="I773" t="s">
        <v>295</v>
      </c>
      <c r="J773" t="s">
        <v>2458</v>
      </c>
      <c r="L773" t="s">
        <v>397</v>
      </c>
      <c r="M773" t="s">
        <v>7712</v>
      </c>
    </row>
    <row r="774" spans="6:13" x14ac:dyDescent="0.25">
      <c r="F774" t="s">
        <v>37</v>
      </c>
      <c r="G774" t="s">
        <v>5131</v>
      </c>
      <c r="I774" t="s">
        <v>6296</v>
      </c>
      <c r="J774" t="s">
        <v>6297</v>
      </c>
      <c r="L774" t="s">
        <v>7138</v>
      </c>
      <c r="M774" t="s">
        <v>3125</v>
      </c>
    </row>
    <row r="775" spans="6:13" x14ac:dyDescent="0.25">
      <c r="F775" t="s">
        <v>556</v>
      </c>
      <c r="G775" t="s">
        <v>3681</v>
      </c>
      <c r="I775" t="s">
        <v>311</v>
      </c>
      <c r="J775" t="s">
        <v>2921</v>
      </c>
      <c r="L775" t="s">
        <v>315</v>
      </c>
      <c r="M775" t="s">
        <v>7342</v>
      </c>
    </row>
    <row r="776" spans="6:13" x14ac:dyDescent="0.25">
      <c r="F776" t="s">
        <v>37</v>
      </c>
      <c r="G776" t="s">
        <v>5106</v>
      </c>
      <c r="I776" t="s">
        <v>315</v>
      </c>
      <c r="J776" t="s">
        <v>3986</v>
      </c>
      <c r="L776" t="s">
        <v>315</v>
      </c>
      <c r="M776" t="s">
        <v>6998</v>
      </c>
    </row>
    <row r="777" spans="6:13" x14ac:dyDescent="0.25">
      <c r="F777" t="s">
        <v>401</v>
      </c>
      <c r="G777" t="s">
        <v>689</v>
      </c>
      <c r="I777" t="s">
        <v>95</v>
      </c>
      <c r="J777" t="s">
        <v>5740</v>
      </c>
      <c r="L777" t="s">
        <v>315</v>
      </c>
      <c r="M777" t="s">
        <v>7165</v>
      </c>
    </row>
    <row r="778" spans="6:13" x14ac:dyDescent="0.25">
      <c r="F778" t="s">
        <v>3861</v>
      </c>
      <c r="G778" t="s">
        <v>4684</v>
      </c>
      <c r="I778" t="s">
        <v>2748</v>
      </c>
      <c r="J778" t="s">
        <v>5493</v>
      </c>
      <c r="L778" t="s">
        <v>459</v>
      </c>
      <c r="M778" t="s">
        <v>1669</v>
      </c>
    </row>
    <row r="779" spans="6:13" x14ac:dyDescent="0.25">
      <c r="F779" t="s">
        <v>4921</v>
      </c>
      <c r="G779" t="s">
        <v>3706</v>
      </c>
      <c r="I779" t="s">
        <v>283</v>
      </c>
      <c r="J779" t="s">
        <v>2464</v>
      </c>
      <c r="L779" t="s">
        <v>3861</v>
      </c>
      <c r="M779" t="s">
        <v>4213</v>
      </c>
    </row>
    <row r="780" spans="6:13" x14ac:dyDescent="0.25">
      <c r="F780" t="s">
        <v>4598</v>
      </c>
      <c r="G780" t="s">
        <v>3360</v>
      </c>
      <c r="I780" t="s">
        <v>315</v>
      </c>
      <c r="J780" t="s">
        <v>4081</v>
      </c>
      <c r="L780" t="s">
        <v>6971</v>
      </c>
      <c r="M780" t="s">
        <v>2219</v>
      </c>
    </row>
    <row r="781" spans="6:13" x14ac:dyDescent="0.25">
      <c r="F781" t="s">
        <v>313</v>
      </c>
      <c r="G781" t="s">
        <v>4672</v>
      </c>
      <c r="I781" t="s">
        <v>313</v>
      </c>
      <c r="J781" t="s">
        <v>1221</v>
      </c>
      <c r="L781" t="s">
        <v>3861</v>
      </c>
      <c r="M781" t="s">
        <v>4164</v>
      </c>
    </row>
    <row r="782" spans="6:13" x14ac:dyDescent="0.25">
      <c r="F782" t="s">
        <v>37</v>
      </c>
      <c r="G782" t="s">
        <v>4567</v>
      </c>
      <c r="I782" t="s">
        <v>283</v>
      </c>
      <c r="J782" t="s">
        <v>6606</v>
      </c>
      <c r="L782" t="s">
        <v>7186</v>
      </c>
      <c r="M782" t="s">
        <v>7187</v>
      </c>
    </row>
    <row r="783" spans="6:13" x14ac:dyDescent="0.25">
      <c r="F783" t="s">
        <v>37</v>
      </c>
      <c r="G783" t="s">
        <v>4677</v>
      </c>
      <c r="I783" t="s">
        <v>5692</v>
      </c>
      <c r="J783" t="s">
        <v>6716</v>
      </c>
      <c r="L783" t="s">
        <v>286</v>
      </c>
      <c r="M783" t="s">
        <v>2073</v>
      </c>
    </row>
    <row r="784" spans="6:13" x14ac:dyDescent="0.25">
      <c r="F784" t="s">
        <v>4824</v>
      </c>
      <c r="G784" t="s">
        <v>5169</v>
      </c>
      <c r="I784" t="s">
        <v>5454</v>
      </c>
      <c r="J784" t="s">
        <v>1622</v>
      </c>
      <c r="L784" t="s">
        <v>459</v>
      </c>
      <c r="M784" t="s">
        <v>7011</v>
      </c>
    </row>
    <row r="785" spans="6:13" x14ac:dyDescent="0.25">
      <c r="F785" t="s">
        <v>4618</v>
      </c>
      <c r="G785" t="s">
        <v>3374</v>
      </c>
      <c r="I785" t="s">
        <v>5467</v>
      </c>
      <c r="J785" t="s">
        <v>6262</v>
      </c>
      <c r="L785" t="s">
        <v>95</v>
      </c>
      <c r="M785" t="s">
        <v>7297</v>
      </c>
    </row>
    <row r="786" spans="6:13" x14ac:dyDescent="0.25">
      <c r="F786" t="s">
        <v>2774</v>
      </c>
      <c r="G786" t="s">
        <v>3716</v>
      </c>
      <c r="I786" t="s">
        <v>5728</v>
      </c>
      <c r="J786" t="s">
        <v>5729</v>
      </c>
      <c r="L786" t="s">
        <v>37</v>
      </c>
      <c r="M786" t="s">
        <v>7897</v>
      </c>
    </row>
    <row r="787" spans="6:13" x14ac:dyDescent="0.25">
      <c r="F787" t="s">
        <v>3861</v>
      </c>
      <c r="G787" t="s">
        <v>4365</v>
      </c>
      <c r="I787" t="s">
        <v>123</v>
      </c>
      <c r="J787" t="s">
        <v>6711</v>
      </c>
      <c r="L787" t="s">
        <v>6017</v>
      </c>
      <c r="M787" t="s">
        <v>1708</v>
      </c>
    </row>
    <row r="788" spans="6:13" x14ac:dyDescent="0.25">
      <c r="F788" t="s">
        <v>356</v>
      </c>
      <c r="G788" t="s">
        <v>4427</v>
      </c>
      <c r="I788" t="s">
        <v>315</v>
      </c>
      <c r="J788" t="s">
        <v>4037</v>
      </c>
      <c r="L788" t="s">
        <v>6944</v>
      </c>
      <c r="M788" t="s">
        <v>2082</v>
      </c>
    </row>
    <row r="789" spans="6:13" x14ac:dyDescent="0.25">
      <c r="F789" t="s">
        <v>401</v>
      </c>
      <c r="G789" t="s">
        <v>742</v>
      </c>
      <c r="I789" t="s">
        <v>6459</v>
      </c>
      <c r="J789" t="s">
        <v>2530</v>
      </c>
      <c r="L789" t="s">
        <v>7886</v>
      </c>
      <c r="M789" t="s">
        <v>2295</v>
      </c>
    </row>
    <row r="790" spans="6:13" x14ac:dyDescent="0.25">
      <c r="F790" t="s">
        <v>2774</v>
      </c>
      <c r="G790" t="s">
        <v>3669</v>
      </c>
      <c r="I790" t="s">
        <v>5797</v>
      </c>
      <c r="J790" t="s">
        <v>5798</v>
      </c>
      <c r="L790" t="s">
        <v>401</v>
      </c>
      <c r="M790" t="s">
        <v>2048</v>
      </c>
    </row>
    <row r="791" spans="6:13" x14ac:dyDescent="0.25">
      <c r="F791" t="s">
        <v>2681</v>
      </c>
      <c r="G791" t="s">
        <v>3702</v>
      </c>
      <c r="I791" t="s">
        <v>315</v>
      </c>
      <c r="J791" t="s">
        <v>4083</v>
      </c>
      <c r="L791" t="s">
        <v>394</v>
      </c>
      <c r="M791" t="s">
        <v>7728</v>
      </c>
    </row>
    <row r="792" spans="6:13" x14ac:dyDescent="0.25">
      <c r="F792" t="s">
        <v>2687</v>
      </c>
      <c r="G792" t="s">
        <v>3621</v>
      </c>
      <c r="I792" t="s">
        <v>5713</v>
      </c>
      <c r="J792" t="s">
        <v>5714</v>
      </c>
      <c r="L792" t="s">
        <v>39</v>
      </c>
      <c r="M792" t="s">
        <v>1909</v>
      </c>
    </row>
    <row r="793" spans="6:13" x14ac:dyDescent="0.25">
      <c r="F793" t="s">
        <v>356</v>
      </c>
      <c r="G793" t="s">
        <v>4361</v>
      </c>
      <c r="I793" t="s">
        <v>6409</v>
      </c>
      <c r="J793" t="s">
        <v>6594</v>
      </c>
      <c r="L793" t="s">
        <v>313</v>
      </c>
      <c r="M793" t="s">
        <v>7750</v>
      </c>
    </row>
    <row r="794" spans="6:13" x14ac:dyDescent="0.25">
      <c r="F794" t="s">
        <v>401</v>
      </c>
      <c r="G794" t="s">
        <v>728</v>
      </c>
      <c r="I794" t="s">
        <v>253</v>
      </c>
      <c r="J794" t="s">
        <v>1419</v>
      </c>
      <c r="L794" t="s">
        <v>313</v>
      </c>
      <c r="M794" t="s">
        <v>6948</v>
      </c>
    </row>
    <row r="795" spans="6:13" x14ac:dyDescent="0.25">
      <c r="F795" t="s">
        <v>37</v>
      </c>
      <c r="G795" t="s">
        <v>5212</v>
      </c>
      <c r="I795" t="s">
        <v>37</v>
      </c>
      <c r="J795" t="s">
        <v>2866</v>
      </c>
      <c r="L795" t="s">
        <v>254</v>
      </c>
      <c r="M795" t="s">
        <v>1892</v>
      </c>
    </row>
    <row r="796" spans="6:13" x14ac:dyDescent="0.25">
      <c r="F796" t="s">
        <v>401</v>
      </c>
      <c r="G796" t="s">
        <v>5080</v>
      </c>
      <c r="I796" t="s">
        <v>2748</v>
      </c>
      <c r="J796" t="s">
        <v>2981</v>
      </c>
      <c r="L796" t="s">
        <v>95</v>
      </c>
      <c r="M796" t="s">
        <v>7384</v>
      </c>
    </row>
    <row r="797" spans="6:13" x14ac:dyDescent="0.25">
      <c r="F797" t="s">
        <v>4892</v>
      </c>
      <c r="G797" t="s">
        <v>731</v>
      </c>
      <c r="I797" t="s">
        <v>9</v>
      </c>
      <c r="J797" t="s">
        <v>2978</v>
      </c>
      <c r="L797" t="s">
        <v>289</v>
      </c>
      <c r="M797" t="s">
        <v>1979</v>
      </c>
    </row>
    <row r="798" spans="6:13" x14ac:dyDescent="0.25">
      <c r="F798" t="s">
        <v>2774</v>
      </c>
      <c r="G798" t="s">
        <v>3432</v>
      </c>
      <c r="I798" t="s">
        <v>5943</v>
      </c>
      <c r="J798" t="s">
        <v>6806</v>
      </c>
      <c r="L798" t="s">
        <v>254</v>
      </c>
      <c r="M798" t="s">
        <v>1800</v>
      </c>
    </row>
    <row r="799" spans="6:13" x14ac:dyDescent="0.25">
      <c r="F799" t="s">
        <v>556</v>
      </c>
      <c r="G799" t="s">
        <v>639</v>
      </c>
      <c r="I799" t="s">
        <v>278</v>
      </c>
      <c r="J799" t="s">
        <v>3955</v>
      </c>
      <c r="L799" t="s">
        <v>47</v>
      </c>
      <c r="M799" t="s">
        <v>2015</v>
      </c>
    </row>
    <row r="800" spans="6:13" x14ac:dyDescent="0.25">
      <c r="F800" t="s">
        <v>4756</v>
      </c>
      <c r="G800" t="s">
        <v>690</v>
      </c>
      <c r="I800" t="s">
        <v>6362</v>
      </c>
      <c r="J800" t="s">
        <v>1373</v>
      </c>
      <c r="L800" t="s">
        <v>399</v>
      </c>
      <c r="M800" t="s">
        <v>7197</v>
      </c>
    </row>
    <row r="801" spans="6:13" x14ac:dyDescent="0.25">
      <c r="F801" t="s">
        <v>37</v>
      </c>
      <c r="G801" t="s">
        <v>4721</v>
      </c>
      <c r="I801" t="s">
        <v>404</v>
      </c>
      <c r="J801" t="s">
        <v>2487</v>
      </c>
      <c r="L801" t="s">
        <v>399</v>
      </c>
      <c r="M801" t="s">
        <v>7226</v>
      </c>
    </row>
    <row r="802" spans="6:13" x14ac:dyDescent="0.25">
      <c r="F802" t="s">
        <v>4438</v>
      </c>
      <c r="G802" t="s">
        <v>4834</v>
      </c>
      <c r="I802" t="s">
        <v>5358</v>
      </c>
      <c r="J802" t="s">
        <v>840</v>
      </c>
      <c r="L802" t="s">
        <v>283</v>
      </c>
      <c r="M802" t="s">
        <v>3119</v>
      </c>
    </row>
    <row r="803" spans="6:13" x14ac:dyDescent="0.25">
      <c r="F803" t="s">
        <v>2748</v>
      </c>
      <c r="G803" t="s">
        <v>3453</v>
      </c>
      <c r="I803" t="s">
        <v>3945</v>
      </c>
      <c r="J803" t="s">
        <v>3946</v>
      </c>
      <c r="L803" t="s">
        <v>404</v>
      </c>
      <c r="M803" t="s">
        <v>2604</v>
      </c>
    </row>
    <row r="804" spans="6:13" x14ac:dyDescent="0.25">
      <c r="F804" t="s">
        <v>37</v>
      </c>
      <c r="G804" t="s">
        <v>5221</v>
      </c>
      <c r="I804" t="s">
        <v>6133</v>
      </c>
      <c r="J804" t="s">
        <v>1236</v>
      </c>
      <c r="L804" t="s">
        <v>459</v>
      </c>
      <c r="M804" t="s">
        <v>7642</v>
      </c>
    </row>
    <row r="805" spans="6:13" x14ac:dyDescent="0.25">
      <c r="F805" t="s">
        <v>585</v>
      </c>
      <c r="G805" t="s">
        <v>3707</v>
      </c>
      <c r="I805" t="s">
        <v>256</v>
      </c>
      <c r="J805" t="s">
        <v>3935</v>
      </c>
      <c r="L805" t="s">
        <v>315</v>
      </c>
      <c r="M805" t="s">
        <v>1782</v>
      </c>
    </row>
    <row r="806" spans="6:13" x14ac:dyDescent="0.25">
      <c r="F806" t="s">
        <v>2745</v>
      </c>
      <c r="G806" t="s">
        <v>3729</v>
      </c>
      <c r="I806" t="s">
        <v>5321</v>
      </c>
      <c r="J806" t="s">
        <v>6367</v>
      </c>
      <c r="L806" t="s">
        <v>315</v>
      </c>
      <c r="M806" t="s">
        <v>2205</v>
      </c>
    </row>
    <row r="807" spans="6:13" x14ac:dyDescent="0.25">
      <c r="F807" t="s">
        <v>356</v>
      </c>
      <c r="G807" t="s">
        <v>4724</v>
      </c>
      <c r="I807" t="s">
        <v>315</v>
      </c>
      <c r="J807" t="s">
        <v>4039</v>
      </c>
      <c r="L807" t="s">
        <v>6900</v>
      </c>
      <c r="M807" t="s">
        <v>7279</v>
      </c>
    </row>
    <row r="808" spans="6:13" x14ac:dyDescent="0.25">
      <c r="F808" t="s">
        <v>417</v>
      </c>
      <c r="G808" t="s">
        <v>766</v>
      </c>
      <c r="I808" t="s">
        <v>2756</v>
      </c>
      <c r="J808" t="s">
        <v>2835</v>
      </c>
      <c r="L808" t="s">
        <v>7174</v>
      </c>
      <c r="M808" t="s">
        <v>2307</v>
      </c>
    </row>
    <row r="809" spans="6:13" x14ac:dyDescent="0.25">
      <c r="F809" t="s">
        <v>313</v>
      </c>
      <c r="G809" t="s">
        <v>3463</v>
      </c>
      <c r="I809" t="s">
        <v>6782</v>
      </c>
      <c r="J809" t="s">
        <v>6783</v>
      </c>
      <c r="L809" t="s">
        <v>280</v>
      </c>
      <c r="M809" t="s">
        <v>1922</v>
      </c>
    </row>
    <row r="810" spans="6:13" x14ac:dyDescent="0.25">
      <c r="F810" t="s">
        <v>37</v>
      </c>
      <c r="G810" t="s">
        <v>5226</v>
      </c>
      <c r="I810" t="s">
        <v>5441</v>
      </c>
      <c r="J810" t="s">
        <v>2463</v>
      </c>
      <c r="L810" t="s">
        <v>137</v>
      </c>
      <c r="M810" t="s">
        <v>6976</v>
      </c>
    </row>
    <row r="811" spans="6:13" x14ac:dyDescent="0.25">
      <c r="F811" t="s">
        <v>4575</v>
      </c>
      <c r="G811" t="s">
        <v>5181</v>
      </c>
      <c r="I811" t="s">
        <v>5403</v>
      </c>
      <c r="J811" t="s">
        <v>870</v>
      </c>
      <c r="L811" t="s">
        <v>3861</v>
      </c>
      <c r="M811" t="s">
        <v>4314</v>
      </c>
    </row>
    <row r="812" spans="6:13" x14ac:dyDescent="0.25">
      <c r="F812" t="s">
        <v>413</v>
      </c>
      <c r="G812" t="s">
        <v>3637</v>
      </c>
      <c r="I812" t="s">
        <v>95</v>
      </c>
      <c r="J812" t="s">
        <v>6274</v>
      </c>
      <c r="L812" t="s">
        <v>401</v>
      </c>
      <c r="M812" t="s">
        <v>2158</v>
      </c>
    </row>
    <row r="813" spans="6:13" x14ac:dyDescent="0.25">
      <c r="F813" t="s">
        <v>2748</v>
      </c>
      <c r="G813" t="s">
        <v>3704</v>
      </c>
      <c r="I813" t="s">
        <v>45</v>
      </c>
      <c r="J813" t="s">
        <v>6509</v>
      </c>
      <c r="L813" t="s">
        <v>459</v>
      </c>
      <c r="M813" t="s">
        <v>7677</v>
      </c>
    </row>
    <row r="814" spans="6:13" x14ac:dyDescent="0.25">
      <c r="F814" t="s">
        <v>2748</v>
      </c>
      <c r="G814" t="s">
        <v>3490</v>
      </c>
      <c r="I814" t="s">
        <v>122</v>
      </c>
      <c r="J814" t="s">
        <v>2818</v>
      </c>
      <c r="L814" t="s">
        <v>309</v>
      </c>
      <c r="M814" t="s">
        <v>2066</v>
      </c>
    </row>
    <row r="815" spans="6:13" x14ac:dyDescent="0.25">
      <c r="F815" t="s">
        <v>2748</v>
      </c>
      <c r="G815" t="s">
        <v>3438</v>
      </c>
      <c r="I815" t="s">
        <v>5485</v>
      </c>
      <c r="J815" t="s">
        <v>5486</v>
      </c>
      <c r="L815" t="s">
        <v>7452</v>
      </c>
      <c r="M815" t="s">
        <v>1717</v>
      </c>
    </row>
    <row r="816" spans="6:13" x14ac:dyDescent="0.25">
      <c r="F816" t="s">
        <v>2748</v>
      </c>
      <c r="G816" t="s">
        <v>3613</v>
      </c>
      <c r="I816" t="s">
        <v>5381</v>
      </c>
      <c r="J816" t="s">
        <v>5382</v>
      </c>
      <c r="L816" t="s">
        <v>47</v>
      </c>
      <c r="M816" t="s">
        <v>2124</v>
      </c>
    </row>
    <row r="817" spans="6:13" x14ac:dyDescent="0.25">
      <c r="F817" t="s">
        <v>2748</v>
      </c>
      <c r="G817" t="s">
        <v>3734</v>
      </c>
      <c r="I817" t="s">
        <v>283</v>
      </c>
      <c r="J817" t="s">
        <v>2552</v>
      </c>
      <c r="L817" t="s">
        <v>459</v>
      </c>
      <c r="M817" t="s">
        <v>7672</v>
      </c>
    </row>
    <row r="818" spans="6:13" x14ac:dyDescent="0.25">
      <c r="F818" t="s">
        <v>2748</v>
      </c>
      <c r="G818" t="s">
        <v>3780</v>
      </c>
      <c r="I818" t="s">
        <v>392</v>
      </c>
      <c r="J818" t="s">
        <v>2556</v>
      </c>
      <c r="L818" t="s">
        <v>309</v>
      </c>
      <c r="M818" t="s">
        <v>1825</v>
      </c>
    </row>
    <row r="819" spans="6:13" x14ac:dyDescent="0.25">
      <c r="F819" t="s">
        <v>2748</v>
      </c>
      <c r="G819" t="s">
        <v>3363</v>
      </c>
      <c r="I819" t="s">
        <v>392</v>
      </c>
      <c r="J819" t="s">
        <v>4069</v>
      </c>
      <c r="L819" t="s">
        <v>46</v>
      </c>
      <c r="M819" t="s">
        <v>1771</v>
      </c>
    </row>
    <row r="820" spans="6:13" x14ac:dyDescent="0.25">
      <c r="F820" t="s">
        <v>2748</v>
      </c>
      <c r="G820" t="s">
        <v>3560</v>
      </c>
      <c r="I820" t="s">
        <v>6420</v>
      </c>
      <c r="J820" t="s">
        <v>1418</v>
      </c>
      <c r="L820" t="s">
        <v>551</v>
      </c>
      <c r="M820" t="s">
        <v>7485</v>
      </c>
    </row>
    <row r="821" spans="6:13" x14ac:dyDescent="0.25">
      <c r="F821" t="s">
        <v>2748</v>
      </c>
      <c r="G821" t="s">
        <v>3525</v>
      </c>
      <c r="I821" t="s">
        <v>6091</v>
      </c>
      <c r="J821" t="s">
        <v>1214</v>
      </c>
      <c r="L821" t="s">
        <v>551</v>
      </c>
      <c r="M821" t="s">
        <v>7550</v>
      </c>
    </row>
    <row r="822" spans="6:13" x14ac:dyDescent="0.25">
      <c r="F822" t="s">
        <v>2748</v>
      </c>
      <c r="G822" t="s">
        <v>3496</v>
      </c>
      <c r="I822" t="s">
        <v>253</v>
      </c>
      <c r="J822" t="s">
        <v>1387</v>
      </c>
      <c r="L822" t="s">
        <v>2727</v>
      </c>
      <c r="M822" t="s">
        <v>1674</v>
      </c>
    </row>
    <row r="823" spans="6:13" x14ac:dyDescent="0.25">
      <c r="F823" t="s">
        <v>2748</v>
      </c>
      <c r="G823" t="s">
        <v>3471</v>
      </c>
      <c r="I823" t="s">
        <v>46</v>
      </c>
      <c r="J823" t="s">
        <v>6416</v>
      </c>
      <c r="L823" t="s">
        <v>283</v>
      </c>
      <c r="M823" t="s">
        <v>3116</v>
      </c>
    </row>
    <row r="824" spans="6:13" x14ac:dyDescent="0.25">
      <c r="F824" t="s">
        <v>313</v>
      </c>
      <c r="G824" t="s">
        <v>4998</v>
      </c>
      <c r="I824" t="s">
        <v>5656</v>
      </c>
      <c r="J824" t="s">
        <v>5657</v>
      </c>
      <c r="L824" t="s">
        <v>7453</v>
      </c>
      <c r="M824" t="s">
        <v>7454</v>
      </c>
    </row>
    <row r="825" spans="6:13" x14ac:dyDescent="0.25">
      <c r="F825" t="s">
        <v>4436</v>
      </c>
      <c r="G825" t="s">
        <v>4900</v>
      </c>
      <c r="I825" t="s">
        <v>286</v>
      </c>
      <c r="J825" t="s">
        <v>835</v>
      </c>
      <c r="L825" t="s">
        <v>7318</v>
      </c>
      <c r="M825" t="s">
        <v>7319</v>
      </c>
    </row>
    <row r="826" spans="6:13" x14ac:dyDescent="0.25">
      <c r="F826" t="s">
        <v>2774</v>
      </c>
      <c r="G826" t="s">
        <v>3723</v>
      </c>
      <c r="I826" t="s">
        <v>5576</v>
      </c>
      <c r="J826" t="s">
        <v>5577</v>
      </c>
      <c r="L826" t="s">
        <v>37</v>
      </c>
      <c r="M826" t="s">
        <v>7611</v>
      </c>
    </row>
    <row r="827" spans="6:13" x14ac:dyDescent="0.25">
      <c r="F827" t="s">
        <v>4523</v>
      </c>
      <c r="G827" t="s">
        <v>4639</v>
      </c>
      <c r="I827" t="s">
        <v>4438</v>
      </c>
      <c r="J827" t="s">
        <v>6610</v>
      </c>
      <c r="L827" t="s">
        <v>7416</v>
      </c>
      <c r="M827" t="s">
        <v>7418</v>
      </c>
    </row>
    <row r="828" spans="6:13" x14ac:dyDescent="0.25">
      <c r="F828" t="s">
        <v>484</v>
      </c>
      <c r="G828" t="s">
        <v>3810</v>
      </c>
      <c r="I828" t="s">
        <v>313</v>
      </c>
      <c r="J828" t="s">
        <v>1273</v>
      </c>
      <c r="L828" t="s">
        <v>313</v>
      </c>
      <c r="M828" t="s">
        <v>7285</v>
      </c>
    </row>
    <row r="829" spans="6:13" x14ac:dyDescent="0.25">
      <c r="F829" t="s">
        <v>37</v>
      </c>
      <c r="G829" t="s">
        <v>4693</v>
      </c>
      <c r="I829" t="s">
        <v>313</v>
      </c>
      <c r="J829" t="s">
        <v>1011</v>
      </c>
      <c r="L829" t="s">
        <v>313</v>
      </c>
      <c r="M829" t="s">
        <v>6915</v>
      </c>
    </row>
    <row r="830" spans="6:13" x14ac:dyDescent="0.25">
      <c r="F830" t="s">
        <v>4539</v>
      </c>
      <c r="G830" t="s">
        <v>5037</v>
      </c>
      <c r="I830" t="s">
        <v>548</v>
      </c>
      <c r="J830" t="s">
        <v>1043</v>
      </c>
      <c r="L830" t="s">
        <v>3861</v>
      </c>
      <c r="M830" t="s">
        <v>7634</v>
      </c>
    </row>
    <row r="831" spans="6:13" x14ac:dyDescent="0.25">
      <c r="F831" t="s">
        <v>346</v>
      </c>
      <c r="G831" t="s">
        <v>683</v>
      </c>
      <c r="I831" t="s">
        <v>5697</v>
      </c>
      <c r="J831" t="s">
        <v>1224</v>
      </c>
      <c r="L831" t="s">
        <v>254</v>
      </c>
      <c r="M831" t="s">
        <v>1893</v>
      </c>
    </row>
    <row r="832" spans="6:13" x14ac:dyDescent="0.25">
      <c r="F832" t="s">
        <v>2774</v>
      </c>
      <c r="G832" t="s">
        <v>3757</v>
      </c>
      <c r="I832" t="s">
        <v>6357</v>
      </c>
      <c r="J832" t="s">
        <v>6358</v>
      </c>
      <c r="L832" t="s">
        <v>283</v>
      </c>
      <c r="M832" t="s">
        <v>3175</v>
      </c>
    </row>
    <row r="833" spans="6:13" x14ac:dyDescent="0.25">
      <c r="F833" t="s">
        <v>2748</v>
      </c>
      <c r="G833" t="s">
        <v>3353</v>
      </c>
      <c r="I833" t="s">
        <v>315</v>
      </c>
      <c r="J833" t="s">
        <v>4094</v>
      </c>
      <c r="L833" t="s">
        <v>3861</v>
      </c>
      <c r="M833" t="s">
        <v>4185</v>
      </c>
    </row>
    <row r="834" spans="6:13" x14ac:dyDescent="0.25">
      <c r="F834" t="s">
        <v>2748</v>
      </c>
      <c r="G834" t="s">
        <v>3534</v>
      </c>
      <c r="I834" t="s">
        <v>315</v>
      </c>
      <c r="J834" t="s">
        <v>3968</v>
      </c>
      <c r="L834" t="s">
        <v>392</v>
      </c>
      <c r="M834" t="s">
        <v>3235</v>
      </c>
    </row>
    <row r="835" spans="6:13" x14ac:dyDescent="0.25">
      <c r="F835" t="s">
        <v>2748</v>
      </c>
      <c r="G835" t="s">
        <v>3427</v>
      </c>
      <c r="I835" t="s">
        <v>5965</v>
      </c>
      <c r="J835" t="s">
        <v>5966</v>
      </c>
      <c r="L835" t="s">
        <v>39</v>
      </c>
      <c r="M835" t="s">
        <v>1812</v>
      </c>
    </row>
    <row r="836" spans="6:13" x14ac:dyDescent="0.25">
      <c r="F836" t="s">
        <v>2748</v>
      </c>
      <c r="G836" t="s">
        <v>3728</v>
      </c>
      <c r="I836" t="s">
        <v>315</v>
      </c>
      <c r="J836" t="s">
        <v>3943</v>
      </c>
      <c r="L836" t="s">
        <v>313</v>
      </c>
      <c r="M836" t="s">
        <v>1695</v>
      </c>
    </row>
    <row r="837" spans="6:13" x14ac:dyDescent="0.25">
      <c r="F837" t="s">
        <v>2748</v>
      </c>
      <c r="G837" t="s">
        <v>3551</v>
      </c>
      <c r="I837" t="s">
        <v>313</v>
      </c>
      <c r="J837" t="s">
        <v>2957</v>
      </c>
      <c r="L837" t="s">
        <v>461</v>
      </c>
      <c r="M837" t="s">
        <v>2257</v>
      </c>
    </row>
    <row r="838" spans="6:13" x14ac:dyDescent="0.25">
      <c r="F838" t="s">
        <v>2748</v>
      </c>
      <c r="G838" t="s">
        <v>3373</v>
      </c>
      <c r="I838" t="s">
        <v>313</v>
      </c>
      <c r="J838" t="s">
        <v>2788</v>
      </c>
      <c r="L838" t="s">
        <v>3861</v>
      </c>
      <c r="M838" t="s">
        <v>4296</v>
      </c>
    </row>
    <row r="839" spans="6:13" x14ac:dyDescent="0.25">
      <c r="F839" t="s">
        <v>2748</v>
      </c>
      <c r="G839" t="s">
        <v>3528</v>
      </c>
      <c r="I839" t="s">
        <v>5536</v>
      </c>
      <c r="J839" t="s">
        <v>5537</v>
      </c>
      <c r="L839" t="s">
        <v>462</v>
      </c>
      <c r="M839" t="s">
        <v>7963</v>
      </c>
    </row>
    <row r="840" spans="6:13" x14ac:dyDescent="0.25">
      <c r="F840" t="s">
        <v>2748</v>
      </c>
      <c r="G840" t="s">
        <v>3280</v>
      </c>
      <c r="I840" t="s">
        <v>5727</v>
      </c>
      <c r="J840" t="s">
        <v>3952</v>
      </c>
      <c r="L840" t="s">
        <v>7551</v>
      </c>
      <c r="M840" t="s">
        <v>2057</v>
      </c>
    </row>
    <row r="841" spans="6:13" x14ac:dyDescent="0.25">
      <c r="F841" t="s">
        <v>2748</v>
      </c>
      <c r="G841" t="s">
        <v>3653</v>
      </c>
      <c r="I841" t="s">
        <v>311</v>
      </c>
      <c r="J841" t="s">
        <v>6305</v>
      </c>
      <c r="L841" t="s">
        <v>6914</v>
      </c>
      <c r="M841" t="s">
        <v>3086</v>
      </c>
    </row>
    <row r="842" spans="6:13" x14ac:dyDescent="0.25">
      <c r="F842" t="s">
        <v>5161</v>
      </c>
      <c r="G842" t="s">
        <v>3598</v>
      </c>
      <c r="I842" t="s">
        <v>5406</v>
      </c>
      <c r="J842" t="s">
        <v>2793</v>
      </c>
      <c r="L842" t="s">
        <v>356</v>
      </c>
      <c r="M842" t="s">
        <v>7368</v>
      </c>
    </row>
    <row r="843" spans="6:13" x14ac:dyDescent="0.25">
      <c r="F843" t="s">
        <v>4850</v>
      </c>
      <c r="G843" t="s">
        <v>4851</v>
      </c>
      <c r="I843" t="s">
        <v>313</v>
      </c>
      <c r="J843" t="s">
        <v>1183</v>
      </c>
      <c r="L843" t="s">
        <v>254</v>
      </c>
      <c r="M843" t="s">
        <v>1885</v>
      </c>
    </row>
    <row r="844" spans="6:13" x14ac:dyDescent="0.25">
      <c r="F844" t="s">
        <v>4523</v>
      </c>
      <c r="G844" t="s">
        <v>4876</v>
      </c>
      <c r="I844" t="s">
        <v>63</v>
      </c>
      <c r="J844" t="s">
        <v>2534</v>
      </c>
      <c r="L844" t="s">
        <v>289</v>
      </c>
      <c r="M844" t="s">
        <v>7132</v>
      </c>
    </row>
    <row r="845" spans="6:13" x14ac:dyDescent="0.25">
      <c r="F845" t="s">
        <v>2774</v>
      </c>
      <c r="G845" t="s">
        <v>3756</v>
      </c>
      <c r="I845" t="s">
        <v>254</v>
      </c>
      <c r="J845" t="s">
        <v>6499</v>
      </c>
      <c r="L845" t="s">
        <v>3861</v>
      </c>
      <c r="M845" t="s">
        <v>4265</v>
      </c>
    </row>
    <row r="846" spans="6:13" x14ac:dyDescent="0.25">
      <c r="F846" t="s">
        <v>46</v>
      </c>
      <c r="G846" t="s">
        <v>3434</v>
      </c>
      <c r="I846" t="s">
        <v>122</v>
      </c>
      <c r="J846" t="s">
        <v>6381</v>
      </c>
      <c r="L846" t="s">
        <v>315</v>
      </c>
      <c r="M846" t="s">
        <v>7182</v>
      </c>
    </row>
    <row r="847" spans="6:13" x14ac:dyDescent="0.25">
      <c r="F847" t="s">
        <v>2774</v>
      </c>
      <c r="G847" t="s">
        <v>3321</v>
      </c>
      <c r="I847" t="s">
        <v>5997</v>
      </c>
      <c r="J847" t="s">
        <v>3995</v>
      </c>
      <c r="L847" t="s">
        <v>315</v>
      </c>
      <c r="M847" t="s">
        <v>7467</v>
      </c>
    </row>
    <row r="848" spans="6:13" x14ac:dyDescent="0.25">
      <c r="F848" t="s">
        <v>2752</v>
      </c>
      <c r="G848" t="s">
        <v>5074</v>
      </c>
      <c r="I848" t="s">
        <v>311</v>
      </c>
      <c r="J848" t="s">
        <v>2962</v>
      </c>
      <c r="L848" t="s">
        <v>6900</v>
      </c>
      <c r="M848" t="s">
        <v>7386</v>
      </c>
    </row>
    <row r="849" spans="6:13" x14ac:dyDescent="0.25">
      <c r="F849" t="s">
        <v>484</v>
      </c>
      <c r="G849" t="s">
        <v>610</v>
      </c>
      <c r="I849" t="s">
        <v>253</v>
      </c>
      <c r="J849" t="s">
        <v>1379</v>
      </c>
      <c r="L849" t="s">
        <v>123</v>
      </c>
      <c r="M849" t="s">
        <v>6886</v>
      </c>
    </row>
    <row r="850" spans="6:13" x14ac:dyDescent="0.25">
      <c r="F850" t="s">
        <v>4744</v>
      </c>
      <c r="G850" t="s">
        <v>685</v>
      </c>
      <c r="I850" t="s">
        <v>3861</v>
      </c>
      <c r="J850" t="s">
        <v>3938</v>
      </c>
      <c r="L850" t="s">
        <v>315</v>
      </c>
      <c r="M850" t="s">
        <v>7491</v>
      </c>
    </row>
    <row r="851" spans="6:13" x14ac:dyDescent="0.25">
      <c r="F851" t="s">
        <v>37</v>
      </c>
      <c r="G851" t="s">
        <v>4989</v>
      </c>
      <c r="I851" t="s">
        <v>6283</v>
      </c>
      <c r="J851" t="s">
        <v>4047</v>
      </c>
      <c r="L851" t="s">
        <v>7711</v>
      </c>
      <c r="M851" t="s">
        <v>2586</v>
      </c>
    </row>
    <row r="852" spans="6:13" x14ac:dyDescent="0.25">
      <c r="F852" t="s">
        <v>95</v>
      </c>
      <c r="G852" t="s">
        <v>5042</v>
      </c>
      <c r="I852" t="s">
        <v>5310</v>
      </c>
      <c r="J852" t="s">
        <v>6403</v>
      </c>
      <c r="L852" t="s">
        <v>46</v>
      </c>
      <c r="M852" t="s">
        <v>7543</v>
      </c>
    </row>
    <row r="853" spans="6:13" x14ac:dyDescent="0.25">
      <c r="F853" t="s">
        <v>3861</v>
      </c>
      <c r="G853" t="s">
        <v>4435</v>
      </c>
      <c r="I853" t="s">
        <v>278</v>
      </c>
      <c r="J853" t="s">
        <v>1171</v>
      </c>
      <c r="L853" t="s">
        <v>254</v>
      </c>
      <c r="M853" t="s">
        <v>1959</v>
      </c>
    </row>
    <row r="854" spans="6:13" x14ac:dyDescent="0.25">
      <c r="F854" t="s">
        <v>583</v>
      </c>
      <c r="G854" t="s">
        <v>3777</v>
      </c>
      <c r="I854" t="s">
        <v>5943</v>
      </c>
      <c r="J854" t="s">
        <v>5944</v>
      </c>
      <c r="L854" t="s">
        <v>122</v>
      </c>
      <c r="M854" t="s">
        <v>1731</v>
      </c>
    </row>
    <row r="855" spans="6:13" x14ac:dyDescent="0.25">
      <c r="F855" t="s">
        <v>2674</v>
      </c>
      <c r="G855" t="s">
        <v>3322</v>
      </c>
      <c r="I855" t="s">
        <v>5236</v>
      </c>
      <c r="J855" t="s">
        <v>775</v>
      </c>
      <c r="L855" t="s">
        <v>7282</v>
      </c>
      <c r="M855" t="s">
        <v>2601</v>
      </c>
    </row>
    <row r="856" spans="6:13" x14ac:dyDescent="0.25">
      <c r="F856" t="s">
        <v>2674</v>
      </c>
      <c r="G856" t="s">
        <v>3330</v>
      </c>
      <c r="I856" t="s">
        <v>254</v>
      </c>
      <c r="J856" t="s">
        <v>1338</v>
      </c>
      <c r="L856" t="s">
        <v>2727</v>
      </c>
      <c r="M856" t="s">
        <v>7162</v>
      </c>
    </row>
    <row r="857" spans="6:13" x14ac:dyDescent="0.25">
      <c r="F857" t="s">
        <v>417</v>
      </c>
      <c r="G857" t="s">
        <v>3507</v>
      </c>
      <c r="I857" t="s">
        <v>313</v>
      </c>
      <c r="J857" t="s">
        <v>2910</v>
      </c>
      <c r="L857" t="s">
        <v>7248</v>
      </c>
      <c r="M857" t="s">
        <v>1962</v>
      </c>
    </row>
    <row r="858" spans="6:13" x14ac:dyDescent="0.25">
      <c r="F858" t="s">
        <v>2748</v>
      </c>
      <c r="G858" t="s">
        <v>3444</v>
      </c>
      <c r="I858" t="s">
        <v>6285</v>
      </c>
      <c r="J858" t="s">
        <v>1332</v>
      </c>
      <c r="L858" t="s">
        <v>459</v>
      </c>
      <c r="M858" t="s">
        <v>7981</v>
      </c>
    </row>
    <row r="859" spans="6:13" x14ac:dyDescent="0.25">
      <c r="F859" t="s">
        <v>2748</v>
      </c>
      <c r="G859" t="s">
        <v>3387</v>
      </c>
      <c r="I859" t="s">
        <v>548</v>
      </c>
      <c r="J859" t="s">
        <v>982</v>
      </c>
      <c r="L859" t="s">
        <v>7203</v>
      </c>
      <c r="M859" t="s">
        <v>7204</v>
      </c>
    </row>
    <row r="860" spans="6:13" x14ac:dyDescent="0.25">
      <c r="F860" t="s">
        <v>2748</v>
      </c>
      <c r="G860" t="s">
        <v>3368</v>
      </c>
      <c r="I860" t="s">
        <v>5664</v>
      </c>
      <c r="J860" t="s">
        <v>996</v>
      </c>
      <c r="L860" t="s">
        <v>6929</v>
      </c>
      <c r="M860" t="s">
        <v>1975</v>
      </c>
    </row>
    <row r="861" spans="6:13" x14ac:dyDescent="0.25">
      <c r="F861" t="s">
        <v>2748</v>
      </c>
      <c r="G861" t="s">
        <v>3605</v>
      </c>
      <c r="I861" t="s">
        <v>548</v>
      </c>
      <c r="J861" t="s">
        <v>6222</v>
      </c>
      <c r="L861" t="s">
        <v>397</v>
      </c>
      <c r="M861" t="s">
        <v>2609</v>
      </c>
    </row>
    <row r="862" spans="6:13" x14ac:dyDescent="0.25">
      <c r="F862" t="s">
        <v>2748</v>
      </c>
      <c r="G862" t="s">
        <v>3634</v>
      </c>
      <c r="I862" t="s">
        <v>5649</v>
      </c>
      <c r="J862" t="s">
        <v>3936</v>
      </c>
      <c r="L862" t="s">
        <v>6900</v>
      </c>
      <c r="M862" t="s">
        <v>7578</v>
      </c>
    </row>
    <row r="863" spans="6:13" x14ac:dyDescent="0.25">
      <c r="F863" t="s">
        <v>2748</v>
      </c>
      <c r="G863" t="s">
        <v>3747</v>
      </c>
      <c r="I863" t="s">
        <v>5315</v>
      </c>
      <c r="J863" t="s">
        <v>819</v>
      </c>
      <c r="L863" t="s">
        <v>7024</v>
      </c>
      <c r="M863" t="s">
        <v>7352</v>
      </c>
    </row>
    <row r="864" spans="6:13" x14ac:dyDescent="0.25">
      <c r="F864" t="s">
        <v>2748</v>
      </c>
      <c r="G864" t="s">
        <v>3800</v>
      </c>
      <c r="I864" t="s">
        <v>392</v>
      </c>
      <c r="J864" t="s">
        <v>4125</v>
      </c>
      <c r="L864" t="s">
        <v>313</v>
      </c>
      <c r="M864" t="s">
        <v>7621</v>
      </c>
    </row>
    <row r="865" spans="6:13" x14ac:dyDescent="0.25">
      <c r="F865" t="s">
        <v>556</v>
      </c>
      <c r="G865" t="s">
        <v>706</v>
      </c>
      <c r="I865" t="s">
        <v>37</v>
      </c>
      <c r="J865" t="s">
        <v>6537</v>
      </c>
      <c r="L865" t="s">
        <v>459</v>
      </c>
      <c r="M865" t="s">
        <v>7395</v>
      </c>
    </row>
    <row r="866" spans="6:13" x14ac:dyDescent="0.25">
      <c r="F866" t="s">
        <v>2774</v>
      </c>
      <c r="G866" t="s">
        <v>3457</v>
      </c>
      <c r="I866" t="s">
        <v>122</v>
      </c>
      <c r="J866" t="s">
        <v>5615</v>
      </c>
      <c r="L866" t="s">
        <v>7656</v>
      </c>
      <c r="M866" t="s">
        <v>7735</v>
      </c>
    </row>
    <row r="867" spans="6:13" x14ac:dyDescent="0.25">
      <c r="F867" t="s">
        <v>585</v>
      </c>
      <c r="G867" t="s">
        <v>3804</v>
      </c>
      <c r="I867" t="s">
        <v>3908</v>
      </c>
      <c r="J867" t="s">
        <v>6697</v>
      </c>
      <c r="L867" t="s">
        <v>2359</v>
      </c>
      <c r="M867" t="s">
        <v>4300</v>
      </c>
    </row>
    <row r="868" spans="6:13" x14ac:dyDescent="0.25">
      <c r="F868" t="s">
        <v>313</v>
      </c>
      <c r="G868" t="s">
        <v>4833</v>
      </c>
      <c r="I868" t="s">
        <v>5266</v>
      </c>
      <c r="J868" t="s">
        <v>5267</v>
      </c>
      <c r="L868" t="s">
        <v>313</v>
      </c>
      <c r="M868" t="s">
        <v>7295</v>
      </c>
    </row>
    <row r="869" spans="6:13" x14ac:dyDescent="0.25">
      <c r="F869" t="s">
        <v>37</v>
      </c>
      <c r="G869" t="s">
        <v>4760</v>
      </c>
      <c r="I869" t="s">
        <v>295</v>
      </c>
      <c r="J869" t="s">
        <v>6659</v>
      </c>
      <c r="L869" t="s">
        <v>452</v>
      </c>
      <c r="M869" t="s">
        <v>7457</v>
      </c>
    </row>
    <row r="870" spans="6:13" x14ac:dyDescent="0.25">
      <c r="F870" t="s">
        <v>4719</v>
      </c>
      <c r="G870" t="s">
        <v>4720</v>
      </c>
      <c r="I870" t="s">
        <v>5245</v>
      </c>
      <c r="J870" t="s">
        <v>5246</v>
      </c>
      <c r="L870" t="s">
        <v>313</v>
      </c>
      <c r="M870" t="s">
        <v>7768</v>
      </c>
    </row>
    <row r="871" spans="6:13" x14ac:dyDescent="0.25">
      <c r="F871" t="s">
        <v>2774</v>
      </c>
      <c r="G871" t="s">
        <v>3582</v>
      </c>
      <c r="I871" t="s">
        <v>318</v>
      </c>
      <c r="J871" t="s">
        <v>5880</v>
      </c>
      <c r="L871" t="s">
        <v>95</v>
      </c>
      <c r="M871" t="s">
        <v>7359</v>
      </c>
    </row>
    <row r="872" spans="6:13" x14ac:dyDescent="0.25">
      <c r="F872" t="s">
        <v>4887</v>
      </c>
      <c r="G872" t="s">
        <v>730</v>
      </c>
      <c r="I872" t="s">
        <v>392</v>
      </c>
      <c r="J872" t="s">
        <v>2475</v>
      </c>
      <c r="L872" t="s">
        <v>7549</v>
      </c>
      <c r="M872" t="s">
        <v>2568</v>
      </c>
    </row>
    <row r="873" spans="6:13" x14ac:dyDescent="0.25">
      <c r="F873" t="s">
        <v>95</v>
      </c>
      <c r="G873" t="s">
        <v>3816</v>
      </c>
      <c r="I873" t="s">
        <v>6342</v>
      </c>
      <c r="J873" t="s">
        <v>2522</v>
      </c>
      <c r="L873" t="s">
        <v>289</v>
      </c>
      <c r="M873" t="s">
        <v>7747</v>
      </c>
    </row>
    <row r="874" spans="6:13" x14ac:dyDescent="0.25">
      <c r="F874" t="s">
        <v>313</v>
      </c>
      <c r="G874" t="s">
        <v>4587</v>
      </c>
      <c r="I874" t="s">
        <v>5675</v>
      </c>
      <c r="J874" t="s">
        <v>6838</v>
      </c>
      <c r="L874" t="s">
        <v>7049</v>
      </c>
      <c r="M874" t="s">
        <v>7050</v>
      </c>
    </row>
    <row r="875" spans="6:13" x14ac:dyDescent="0.25">
      <c r="F875" t="s">
        <v>4852</v>
      </c>
      <c r="G875" t="s">
        <v>718</v>
      </c>
      <c r="I875" t="s">
        <v>2748</v>
      </c>
      <c r="J875" t="s">
        <v>5830</v>
      </c>
      <c r="L875" t="s">
        <v>548</v>
      </c>
      <c r="M875" t="s">
        <v>7671</v>
      </c>
    </row>
    <row r="876" spans="6:13" x14ac:dyDescent="0.25">
      <c r="F876" t="s">
        <v>585</v>
      </c>
      <c r="G876" t="s">
        <v>3784</v>
      </c>
      <c r="I876" t="s">
        <v>2748</v>
      </c>
      <c r="J876" t="s">
        <v>2906</v>
      </c>
      <c r="L876" t="s">
        <v>286</v>
      </c>
      <c r="M876" t="s">
        <v>7402</v>
      </c>
    </row>
    <row r="877" spans="6:13" x14ac:dyDescent="0.25">
      <c r="F877" t="s">
        <v>556</v>
      </c>
      <c r="G877" t="s">
        <v>3672</v>
      </c>
      <c r="I877" t="s">
        <v>2733</v>
      </c>
      <c r="J877" t="s">
        <v>2782</v>
      </c>
      <c r="L877" t="s">
        <v>397</v>
      </c>
      <c r="M877" t="s">
        <v>2605</v>
      </c>
    </row>
    <row r="878" spans="6:13" x14ac:dyDescent="0.25">
      <c r="F878" t="s">
        <v>2748</v>
      </c>
      <c r="G878" t="s">
        <v>3722</v>
      </c>
      <c r="I878" t="s">
        <v>2748</v>
      </c>
      <c r="J878" t="s">
        <v>2907</v>
      </c>
      <c r="L878" t="s">
        <v>6991</v>
      </c>
      <c r="M878" t="s">
        <v>2563</v>
      </c>
    </row>
    <row r="879" spans="6:13" x14ac:dyDescent="0.25">
      <c r="F879" t="s">
        <v>2748</v>
      </c>
      <c r="G879" t="s">
        <v>3610</v>
      </c>
      <c r="I879" t="s">
        <v>5363</v>
      </c>
      <c r="J879" t="s">
        <v>845</v>
      </c>
      <c r="L879" t="s">
        <v>37</v>
      </c>
      <c r="M879" t="s">
        <v>7257</v>
      </c>
    </row>
    <row r="880" spans="6:13" x14ac:dyDescent="0.25">
      <c r="F880" t="s">
        <v>2748</v>
      </c>
      <c r="G880" t="s">
        <v>3571</v>
      </c>
      <c r="I880" t="s">
        <v>551</v>
      </c>
      <c r="J880" t="s">
        <v>980</v>
      </c>
      <c r="L880" t="s">
        <v>123</v>
      </c>
      <c r="M880" t="s">
        <v>7757</v>
      </c>
    </row>
    <row r="881" spans="6:13" x14ac:dyDescent="0.25">
      <c r="F881" t="s">
        <v>2748</v>
      </c>
      <c r="G881" t="s">
        <v>3348</v>
      </c>
      <c r="I881" t="s">
        <v>6524</v>
      </c>
      <c r="J881" t="s">
        <v>1461</v>
      </c>
      <c r="L881" t="s">
        <v>313</v>
      </c>
      <c r="M881" t="s">
        <v>2027</v>
      </c>
    </row>
    <row r="882" spans="6:13" x14ac:dyDescent="0.25">
      <c r="F882" t="s">
        <v>2748</v>
      </c>
      <c r="G882" t="s">
        <v>3284</v>
      </c>
      <c r="I882" t="s">
        <v>6307</v>
      </c>
      <c r="J882" t="s">
        <v>4051</v>
      </c>
      <c r="L882" t="s">
        <v>459</v>
      </c>
      <c r="M882" t="s">
        <v>7825</v>
      </c>
    </row>
    <row r="883" spans="6:13" x14ac:dyDescent="0.25">
      <c r="F883" t="s">
        <v>2748</v>
      </c>
      <c r="G883" t="s">
        <v>3445</v>
      </c>
      <c r="I883" t="s">
        <v>5282</v>
      </c>
      <c r="J883" t="s">
        <v>5283</v>
      </c>
      <c r="L883" t="s">
        <v>2724</v>
      </c>
      <c r="M883" t="s">
        <v>7283</v>
      </c>
    </row>
    <row r="884" spans="6:13" x14ac:dyDescent="0.25">
      <c r="F884" t="s">
        <v>2748</v>
      </c>
      <c r="G884" t="s">
        <v>3499</v>
      </c>
      <c r="I884" t="s">
        <v>5268</v>
      </c>
      <c r="J884" t="s">
        <v>796</v>
      </c>
      <c r="L884" t="s">
        <v>7932</v>
      </c>
      <c r="M884" t="s">
        <v>2361</v>
      </c>
    </row>
    <row r="885" spans="6:13" x14ac:dyDescent="0.25">
      <c r="F885" t="s">
        <v>313</v>
      </c>
      <c r="G885" t="s">
        <v>4788</v>
      </c>
      <c r="I885" t="s">
        <v>95</v>
      </c>
      <c r="J885" t="s">
        <v>2854</v>
      </c>
      <c r="L885" t="s">
        <v>459</v>
      </c>
      <c r="M885" t="s">
        <v>7258</v>
      </c>
    </row>
    <row r="886" spans="6:13" x14ac:dyDescent="0.25">
      <c r="F886" t="s">
        <v>581</v>
      </c>
      <c r="G886" t="s">
        <v>3346</v>
      </c>
      <c r="I886" t="s">
        <v>92</v>
      </c>
      <c r="J886" t="s">
        <v>1465</v>
      </c>
      <c r="L886" t="s">
        <v>7150</v>
      </c>
      <c r="M886" t="s">
        <v>7151</v>
      </c>
    </row>
    <row r="887" spans="6:13" x14ac:dyDescent="0.25">
      <c r="F887" t="s">
        <v>4518</v>
      </c>
      <c r="G887" t="s">
        <v>597</v>
      </c>
      <c r="I887" t="s">
        <v>5377</v>
      </c>
      <c r="J887" t="s">
        <v>5600</v>
      </c>
      <c r="L887" t="s">
        <v>123</v>
      </c>
      <c r="M887" t="s">
        <v>7962</v>
      </c>
    </row>
    <row r="888" spans="6:13" x14ac:dyDescent="0.25">
      <c r="F888" t="s">
        <v>484</v>
      </c>
      <c r="G888" t="s">
        <v>3451</v>
      </c>
      <c r="I888" t="s">
        <v>39</v>
      </c>
      <c r="J888" t="s">
        <v>1619</v>
      </c>
      <c r="L888" t="s">
        <v>313</v>
      </c>
      <c r="M888" t="s">
        <v>2010</v>
      </c>
    </row>
    <row r="889" spans="6:13" x14ac:dyDescent="0.25">
      <c r="F889" t="s">
        <v>5206</v>
      </c>
      <c r="G889" t="s">
        <v>3724</v>
      </c>
      <c r="I889" t="s">
        <v>6743</v>
      </c>
      <c r="J889" t="s">
        <v>6744</v>
      </c>
      <c r="L889" t="s">
        <v>6959</v>
      </c>
      <c r="M889" t="s">
        <v>1688</v>
      </c>
    </row>
    <row r="890" spans="6:13" x14ac:dyDescent="0.25">
      <c r="F890" t="s">
        <v>484</v>
      </c>
      <c r="G890" t="s">
        <v>4954</v>
      </c>
      <c r="I890" t="s">
        <v>2733</v>
      </c>
      <c r="J890" t="s">
        <v>2904</v>
      </c>
      <c r="L890" t="s">
        <v>3861</v>
      </c>
      <c r="M890" t="s">
        <v>4263</v>
      </c>
    </row>
    <row r="891" spans="6:13" x14ac:dyDescent="0.25">
      <c r="F891" t="s">
        <v>4438</v>
      </c>
      <c r="G891" t="s">
        <v>4584</v>
      </c>
      <c r="I891" t="s">
        <v>3861</v>
      </c>
      <c r="J891" t="s">
        <v>3944</v>
      </c>
      <c r="L891" t="s">
        <v>459</v>
      </c>
      <c r="M891" t="s">
        <v>7374</v>
      </c>
    </row>
    <row r="892" spans="6:13" x14ac:dyDescent="0.25">
      <c r="F892" t="s">
        <v>4875</v>
      </c>
      <c r="G892" t="s">
        <v>726</v>
      </c>
      <c r="I892" t="s">
        <v>253</v>
      </c>
      <c r="J892" t="s">
        <v>6694</v>
      </c>
      <c r="L892" t="s">
        <v>4183</v>
      </c>
      <c r="M892" t="s">
        <v>4184</v>
      </c>
    </row>
    <row r="893" spans="6:13" x14ac:dyDescent="0.25">
      <c r="F893" t="s">
        <v>2681</v>
      </c>
      <c r="G893" t="s">
        <v>4633</v>
      </c>
      <c r="I893" t="s">
        <v>4438</v>
      </c>
      <c r="J893" t="s">
        <v>6858</v>
      </c>
      <c r="L893" t="s">
        <v>459</v>
      </c>
      <c r="M893" t="s">
        <v>2290</v>
      </c>
    </row>
    <row r="894" spans="6:13" x14ac:dyDescent="0.25">
      <c r="F894" t="s">
        <v>2774</v>
      </c>
      <c r="G894" t="s">
        <v>3358</v>
      </c>
      <c r="I894" t="s">
        <v>5990</v>
      </c>
      <c r="J894" t="s">
        <v>5991</v>
      </c>
      <c r="L894" t="s">
        <v>356</v>
      </c>
      <c r="M894" t="s">
        <v>4229</v>
      </c>
    </row>
    <row r="895" spans="6:13" x14ac:dyDescent="0.25">
      <c r="F895" t="s">
        <v>2774</v>
      </c>
      <c r="G895" t="s">
        <v>3808</v>
      </c>
      <c r="I895" t="s">
        <v>392</v>
      </c>
      <c r="J895" t="s">
        <v>2489</v>
      </c>
      <c r="L895" t="s">
        <v>39</v>
      </c>
      <c r="M895" t="s">
        <v>2358</v>
      </c>
    </row>
    <row r="896" spans="6:13" x14ac:dyDescent="0.25">
      <c r="F896" t="s">
        <v>4864</v>
      </c>
      <c r="G896" t="s">
        <v>4865</v>
      </c>
      <c r="I896" t="s">
        <v>254</v>
      </c>
      <c r="J896" t="s">
        <v>5688</v>
      </c>
      <c r="L896" t="s">
        <v>286</v>
      </c>
      <c r="M896" t="s">
        <v>7746</v>
      </c>
    </row>
    <row r="897" spans="6:13" x14ac:dyDescent="0.25">
      <c r="F897" t="s">
        <v>2687</v>
      </c>
      <c r="G897" t="s">
        <v>3472</v>
      </c>
      <c r="I897" t="s">
        <v>254</v>
      </c>
      <c r="J897" t="s">
        <v>5270</v>
      </c>
      <c r="L897" t="s">
        <v>2727</v>
      </c>
      <c r="M897" t="s">
        <v>7824</v>
      </c>
    </row>
    <row r="898" spans="6:13" x14ac:dyDescent="0.25">
      <c r="F898" t="s">
        <v>2774</v>
      </c>
      <c r="G898" t="s">
        <v>3479</v>
      </c>
      <c r="I898" t="s">
        <v>46</v>
      </c>
      <c r="J898" t="s">
        <v>1447</v>
      </c>
      <c r="L898" t="s">
        <v>123</v>
      </c>
      <c r="M898" t="s">
        <v>7037</v>
      </c>
    </row>
    <row r="899" spans="6:13" x14ac:dyDescent="0.25">
      <c r="F899" t="s">
        <v>46</v>
      </c>
      <c r="G899" t="s">
        <v>613</v>
      </c>
      <c r="I899" t="s">
        <v>3861</v>
      </c>
      <c r="J899" t="s">
        <v>3890</v>
      </c>
      <c r="L899" t="s">
        <v>399</v>
      </c>
      <c r="M899" t="s">
        <v>7122</v>
      </c>
    </row>
    <row r="900" spans="6:13" x14ac:dyDescent="0.25">
      <c r="F900" t="s">
        <v>4557</v>
      </c>
      <c r="G900" t="s">
        <v>611</v>
      </c>
      <c r="I900" t="s">
        <v>401</v>
      </c>
      <c r="J900" t="s">
        <v>786</v>
      </c>
      <c r="L900" t="s">
        <v>459</v>
      </c>
      <c r="M900" t="s">
        <v>7600</v>
      </c>
    </row>
    <row r="901" spans="6:13" x14ac:dyDescent="0.25">
      <c r="F901" t="s">
        <v>4575</v>
      </c>
      <c r="G901" t="s">
        <v>4804</v>
      </c>
      <c r="I901" t="s">
        <v>5828</v>
      </c>
      <c r="J901" t="s">
        <v>5829</v>
      </c>
      <c r="L901" t="s">
        <v>123</v>
      </c>
      <c r="M901" t="s">
        <v>6926</v>
      </c>
    </row>
    <row r="902" spans="6:13" x14ac:dyDescent="0.25">
      <c r="F902" t="s">
        <v>37</v>
      </c>
      <c r="G902" t="s">
        <v>5103</v>
      </c>
      <c r="I902" t="s">
        <v>6830</v>
      </c>
      <c r="J902" t="s">
        <v>2554</v>
      </c>
      <c r="L902" t="s">
        <v>123</v>
      </c>
      <c r="M902" t="s">
        <v>7595</v>
      </c>
    </row>
    <row r="903" spans="6:13" x14ac:dyDescent="0.25">
      <c r="F903" t="s">
        <v>2748</v>
      </c>
      <c r="G903" t="s">
        <v>3658</v>
      </c>
      <c r="I903" t="s">
        <v>6069</v>
      </c>
      <c r="J903" t="s">
        <v>2498</v>
      </c>
      <c r="L903" t="s">
        <v>253</v>
      </c>
      <c r="M903" t="s">
        <v>2241</v>
      </c>
    </row>
    <row r="904" spans="6:13" x14ac:dyDescent="0.25">
      <c r="F904" t="s">
        <v>2748</v>
      </c>
      <c r="G904" t="s">
        <v>3662</v>
      </c>
      <c r="I904" t="s">
        <v>394</v>
      </c>
      <c r="J904" t="s">
        <v>5332</v>
      </c>
      <c r="L904" t="s">
        <v>6900</v>
      </c>
      <c r="M904" t="s">
        <v>6901</v>
      </c>
    </row>
    <row r="905" spans="6:13" x14ac:dyDescent="0.25">
      <c r="F905" t="s">
        <v>2748</v>
      </c>
      <c r="G905" t="s">
        <v>3419</v>
      </c>
      <c r="I905" t="s">
        <v>5491</v>
      </c>
      <c r="J905" t="s">
        <v>6225</v>
      </c>
      <c r="L905" t="s">
        <v>459</v>
      </c>
      <c r="M905" t="s">
        <v>7309</v>
      </c>
    </row>
    <row r="906" spans="6:13" x14ac:dyDescent="0.25">
      <c r="F906" t="s">
        <v>2748</v>
      </c>
      <c r="G906" t="s">
        <v>3332</v>
      </c>
      <c r="I906" t="s">
        <v>6436</v>
      </c>
      <c r="J906" t="s">
        <v>1409</v>
      </c>
      <c r="L906" t="s">
        <v>459</v>
      </c>
      <c r="M906" t="s">
        <v>7273</v>
      </c>
    </row>
    <row r="907" spans="6:13" x14ac:dyDescent="0.25">
      <c r="F907" t="s">
        <v>2748</v>
      </c>
      <c r="G907" t="s">
        <v>3615</v>
      </c>
      <c r="I907" t="s">
        <v>6465</v>
      </c>
      <c r="J907" t="s">
        <v>1422</v>
      </c>
      <c r="L907" t="s">
        <v>48</v>
      </c>
      <c r="M907" t="s">
        <v>7823</v>
      </c>
    </row>
    <row r="908" spans="6:13" x14ac:dyDescent="0.25">
      <c r="F908" t="s">
        <v>2748</v>
      </c>
      <c r="G908" t="s">
        <v>3310</v>
      </c>
      <c r="I908" t="s">
        <v>5236</v>
      </c>
      <c r="J908" t="s">
        <v>931</v>
      </c>
      <c r="L908" t="s">
        <v>254</v>
      </c>
      <c r="M908" t="s">
        <v>3084</v>
      </c>
    </row>
    <row r="909" spans="6:13" x14ac:dyDescent="0.25">
      <c r="F909" t="s">
        <v>2748</v>
      </c>
      <c r="G909" t="s">
        <v>3698</v>
      </c>
      <c r="I909" t="s">
        <v>5507</v>
      </c>
      <c r="J909" t="s">
        <v>5710</v>
      </c>
      <c r="L909" t="s">
        <v>39</v>
      </c>
      <c r="M909" t="s">
        <v>1668</v>
      </c>
    </row>
    <row r="910" spans="6:13" x14ac:dyDescent="0.25">
      <c r="F910" t="s">
        <v>2748</v>
      </c>
      <c r="G910" t="s">
        <v>3660</v>
      </c>
      <c r="I910" t="s">
        <v>394</v>
      </c>
      <c r="J910" t="s">
        <v>5601</v>
      </c>
      <c r="L910" t="s">
        <v>459</v>
      </c>
      <c r="M910" t="s">
        <v>7696</v>
      </c>
    </row>
    <row r="911" spans="6:13" x14ac:dyDescent="0.25">
      <c r="F911" t="s">
        <v>484</v>
      </c>
      <c r="G911" t="s">
        <v>3578</v>
      </c>
      <c r="I911" t="s">
        <v>5793</v>
      </c>
      <c r="J911" t="s">
        <v>5794</v>
      </c>
      <c r="L911" t="s">
        <v>6929</v>
      </c>
      <c r="M911" t="s">
        <v>6930</v>
      </c>
    </row>
    <row r="912" spans="6:13" x14ac:dyDescent="0.25">
      <c r="F912" t="s">
        <v>4947</v>
      </c>
      <c r="G912" t="s">
        <v>3741</v>
      </c>
      <c r="I912" t="s">
        <v>92</v>
      </c>
      <c r="J912" t="s">
        <v>1024</v>
      </c>
      <c r="L912" t="s">
        <v>7845</v>
      </c>
      <c r="M912" t="s">
        <v>1827</v>
      </c>
    </row>
    <row r="913" spans="6:13" x14ac:dyDescent="0.25">
      <c r="F913" t="s">
        <v>357</v>
      </c>
      <c r="G913" t="s">
        <v>4317</v>
      </c>
      <c r="I913" t="s">
        <v>295</v>
      </c>
      <c r="J913" t="s">
        <v>1110</v>
      </c>
      <c r="L913" t="s">
        <v>280</v>
      </c>
      <c r="M913" t="s">
        <v>2206</v>
      </c>
    </row>
    <row r="914" spans="6:13" x14ac:dyDescent="0.25">
      <c r="F914" t="s">
        <v>4596</v>
      </c>
      <c r="G914" t="s">
        <v>623</v>
      </c>
      <c r="I914" t="s">
        <v>5903</v>
      </c>
      <c r="J914" t="s">
        <v>1115</v>
      </c>
      <c r="L914" t="s">
        <v>315</v>
      </c>
      <c r="M914" t="s">
        <v>1813</v>
      </c>
    </row>
    <row r="915" spans="6:13" x14ac:dyDescent="0.25">
      <c r="F915" t="s">
        <v>4798</v>
      </c>
      <c r="G915" t="s">
        <v>4799</v>
      </c>
      <c r="I915" t="s">
        <v>404</v>
      </c>
      <c r="J915" t="s">
        <v>6621</v>
      </c>
      <c r="L915" t="s">
        <v>7732</v>
      </c>
      <c r="M915" t="s">
        <v>2312</v>
      </c>
    </row>
    <row r="916" spans="6:13" x14ac:dyDescent="0.25">
      <c r="F916" t="s">
        <v>4965</v>
      </c>
      <c r="G916" t="s">
        <v>4966</v>
      </c>
      <c r="I916" t="s">
        <v>5273</v>
      </c>
      <c r="J916" t="s">
        <v>5346</v>
      </c>
      <c r="L916" t="s">
        <v>95</v>
      </c>
      <c r="M916" t="s">
        <v>7327</v>
      </c>
    </row>
    <row r="917" spans="6:13" x14ac:dyDescent="0.25">
      <c r="F917" t="s">
        <v>585</v>
      </c>
      <c r="G917" t="s">
        <v>3633</v>
      </c>
      <c r="I917" t="s">
        <v>6689</v>
      </c>
      <c r="J917" t="s">
        <v>1554</v>
      </c>
      <c r="L917" t="s">
        <v>123</v>
      </c>
      <c r="M917" t="s">
        <v>7044</v>
      </c>
    </row>
    <row r="918" spans="6:13" x14ac:dyDescent="0.25">
      <c r="F918" t="s">
        <v>315</v>
      </c>
      <c r="G918" t="s">
        <v>4517</v>
      </c>
      <c r="I918" t="s">
        <v>254</v>
      </c>
      <c r="J918" t="s">
        <v>5677</v>
      </c>
      <c r="L918" t="s">
        <v>39</v>
      </c>
      <c r="M918" t="s">
        <v>1770</v>
      </c>
    </row>
    <row r="919" spans="6:13" x14ac:dyDescent="0.25">
      <c r="F919" t="s">
        <v>2748</v>
      </c>
      <c r="G919" t="s">
        <v>3709</v>
      </c>
      <c r="I919" t="s">
        <v>404</v>
      </c>
      <c r="J919" t="s">
        <v>1349</v>
      </c>
      <c r="L919" t="s">
        <v>39</v>
      </c>
      <c r="M919" t="s">
        <v>1990</v>
      </c>
    </row>
    <row r="920" spans="6:13" x14ac:dyDescent="0.25">
      <c r="F920" t="s">
        <v>2748</v>
      </c>
      <c r="G920" t="s">
        <v>3485</v>
      </c>
      <c r="I920" t="s">
        <v>295</v>
      </c>
      <c r="J920" t="s">
        <v>2512</v>
      </c>
      <c r="L920" t="s">
        <v>54</v>
      </c>
      <c r="M920" t="s">
        <v>2623</v>
      </c>
    </row>
    <row r="921" spans="6:13" x14ac:dyDescent="0.25">
      <c r="F921" t="s">
        <v>2748</v>
      </c>
      <c r="G921" t="s">
        <v>3764</v>
      </c>
      <c r="I921" t="s">
        <v>5943</v>
      </c>
      <c r="J921" t="s">
        <v>6411</v>
      </c>
      <c r="L921" t="s">
        <v>445</v>
      </c>
      <c r="M921" t="s">
        <v>7707</v>
      </c>
    </row>
    <row r="922" spans="6:13" x14ac:dyDescent="0.25">
      <c r="F922" t="s">
        <v>2748</v>
      </c>
      <c r="G922" t="s">
        <v>3733</v>
      </c>
      <c r="I922" t="s">
        <v>5349</v>
      </c>
      <c r="J922" t="s">
        <v>837</v>
      </c>
      <c r="L922" t="s">
        <v>289</v>
      </c>
      <c r="M922" t="s">
        <v>7629</v>
      </c>
    </row>
    <row r="923" spans="6:13" x14ac:dyDescent="0.25">
      <c r="F923" t="s">
        <v>2748</v>
      </c>
      <c r="G923" t="s">
        <v>3380</v>
      </c>
      <c r="I923" t="s">
        <v>6808</v>
      </c>
      <c r="J923" t="s">
        <v>1612</v>
      </c>
      <c r="L923" t="s">
        <v>313</v>
      </c>
      <c r="M923" t="s">
        <v>1898</v>
      </c>
    </row>
    <row r="924" spans="6:13" x14ac:dyDescent="0.25">
      <c r="F924" t="s">
        <v>2748</v>
      </c>
      <c r="G924" t="s">
        <v>3614</v>
      </c>
      <c r="I924" t="s">
        <v>6670</v>
      </c>
      <c r="J924" t="s">
        <v>6671</v>
      </c>
      <c r="L924" t="s">
        <v>2359</v>
      </c>
      <c r="M924" t="s">
        <v>4235</v>
      </c>
    </row>
    <row r="925" spans="6:13" x14ac:dyDescent="0.25">
      <c r="F925" t="s">
        <v>2748</v>
      </c>
      <c r="G925" t="s">
        <v>3595</v>
      </c>
      <c r="I925" t="s">
        <v>392</v>
      </c>
      <c r="J925" t="s">
        <v>2544</v>
      </c>
      <c r="L925" t="s">
        <v>254</v>
      </c>
      <c r="M925" t="s">
        <v>1970</v>
      </c>
    </row>
    <row r="926" spans="6:13" x14ac:dyDescent="0.25">
      <c r="F926" t="s">
        <v>4890</v>
      </c>
      <c r="G926" t="s">
        <v>767</v>
      </c>
      <c r="I926" t="s">
        <v>5588</v>
      </c>
      <c r="J926" t="s">
        <v>954</v>
      </c>
      <c r="L926" t="s">
        <v>459</v>
      </c>
      <c r="M926" t="s">
        <v>7626</v>
      </c>
    </row>
    <row r="927" spans="6:13" x14ac:dyDescent="0.25">
      <c r="F927" t="s">
        <v>37</v>
      </c>
      <c r="G927" t="s">
        <v>5147</v>
      </c>
      <c r="I927" t="s">
        <v>3861</v>
      </c>
      <c r="J927" t="s">
        <v>4109</v>
      </c>
      <c r="L927" t="s">
        <v>123</v>
      </c>
      <c r="M927" t="s">
        <v>7133</v>
      </c>
    </row>
    <row r="928" spans="6:13" x14ac:dyDescent="0.25">
      <c r="F928" t="s">
        <v>417</v>
      </c>
      <c r="G928" t="s">
        <v>2367</v>
      </c>
      <c r="I928" t="s">
        <v>5683</v>
      </c>
      <c r="J928" t="s">
        <v>1006</v>
      </c>
      <c r="L928" t="s">
        <v>459</v>
      </c>
      <c r="M928" t="s">
        <v>7275</v>
      </c>
    </row>
    <row r="929" spans="6:13" x14ac:dyDescent="0.25">
      <c r="F929" t="s">
        <v>4154</v>
      </c>
      <c r="G929" t="s">
        <v>4364</v>
      </c>
      <c r="I929" t="s">
        <v>90</v>
      </c>
      <c r="J929" t="s">
        <v>1327</v>
      </c>
      <c r="L929" t="s">
        <v>404</v>
      </c>
      <c r="M929" t="s">
        <v>2588</v>
      </c>
    </row>
    <row r="930" spans="6:13" x14ac:dyDescent="0.25">
      <c r="F930" t="s">
        <v>3861</v>
      </c>
      <c r="G930" t="s">
        <v>4432</v>
      </c>
      <c r="I930" t="s">
        <v>5286</v>
      </c>
      <c r="J930" t="s">
        <v>5287</v>
      </c>
      <c r="L930" t="s">
        <v>7066</v>
      </c>
      <c r="M930" t="s">
        <v>7067</v>
      </c>
    </row>
    <row r="931" spans="6:13" x14ac:dyDescent="0.25">
      <c r="F931" t="s">
        <v>551</v>
      </c>
      <c r="G931" t="s">
        <v>4701</v>
      </c>
      <c r="I931" t="s">
        <v>5675</v>
      </c>
      <c r="J931" t="s">
        <v>6855</v>
      </c>
      <c r="L931" t="s">
        <v>459</v>
      </c>
      <c r="M931" t="s">
        <v>7398</v>
      </c>
    </row>
    <row r="932" spans="6:13" x14ac:dyDescent="0.25">
      <c r="F932" t="s">
        <v>311</v>
      </c>
      <c r="G932" t="s">
        <v>4669</v>
      </c>
      <c r="I932" t="s">
        <v>39</v>
      </c>
      <c r="J932" t="s">
        <v>1614</v>
      </c>
      <c r="L932" t="s">
        <v>6959</v>
      </c>
      <c r="M932" t="s">
        <v>2217</v>
      </c>
    </row>
    <row r="933" spans="6:13" x14ac:dyDescent="0.25">
      <c r="F933" t="s">
        <v>3861</v>
      </c>
      <c r="G933" t="s">
        <v>4326</v>
      </c>
      <c r="I933" t="s">
        <v>2739</v>
      </c>
      <c r="J933" t="s">
        <v>4035</v>
      </c>
      <c r="L933" t="s">
        <v>39</v>
      </c>
      <c r="M933" t="s">
        <v>2192</v>
      </c>
    </row>
    <row r="934" spans="6:13" x14ac:dyDescent="0.25">
      <c r="F934" t="s">
        <v>551</v>
      </c>
      <c r="G934" t="s">
        <v>4742</v>
      </c>
      <c r="I934" t="s">
        <v>6698</v>
      </c>
      <c r="J934" t="s">
        <v>1558</v>
      </c>
      <c r="L934" t="s">
        <v>4168</v>
      </c>
      <c r="M934" t="s">
        <v>4231</v>
      </c>
    </row>
    <row r="935" spans="6:13" x14ac:dyDescent="0.25">
      <c r="F935" t="s">
        <v>2748</v>
      </c>
      <c r="G935" t="s">
        <v>3611</v>
      </c>
      <c r="I935" t="s">
        <v>6785</v>
      </c>
      <c r="J935" t="s">
        <v>2551</v>
      </c>
      <c r="L935" t="s">
        <v>54</v>
      </c>
      <c r="M935" t="s">
        <v>2561</v>
      </c>
    </row>
    <row r="936" spans="6:13" x14ac:dyDescent="0.25">
      <c r="F936" t="s">
        <v>2748</v>
      </c>
      <c r="G936" t="s">
        <v>3691</v>
      </c>
      <c r="I936" t="s">
        <v>295</v>
      </c>
      <c r="J936" t="s">
        <v>6630</v>
      </c>
      <c r="L936" t="s">
        <v>123</v>
      </c>
      <c r="M936" t="s">
        <v>7685</v>
      </c>
    </row>
    <row r="937" spans="6:13" x14ac:dyDescent="0.25">
      <c r="F937" t="s">
        <v>2748</v>
      </c>
      <c r="G937" t="s">
        <v>3396</v>
      </c>
      <c r="I937" t="s">
        <v>6667</v>
      </c>
      <c r="J937" t="s">
        <v>1538</v>
      </c>
      <c r="L937" t="s">
        <v>137</v>
      </c>
      <c r="M937" t="s">
        <v>2284</v>
      </c>
    </row>
    <row r="938" spans="6:13" x14ac:dyDescent="0.25">
      <c r="F938" t="s">
        <v>2748</v>
      </c>
      <c r="G938" t="s">
        <v>3752</v>
      </c>
      <c r="I938" t="s">
        <v>394</v>
      </c>
      <c r="J938" t="s">
        <v>2838</v>
      </c>
      <c r="L938" t="s">
        <v>313</v>
      </c>
      <c r="M938" t="s">
        <v>2306</v>
      </c>
    </row>
    <row r="939" spans="6:13" x14ac:dyDescent="0.25">
      <c r="F939" t="s">
        <v>2748</v>
      </c>
      <c r="G939" t="s">
        <v>3554</v>
      </c>
      <c r="I939" t="s">
        <v>5930</v>
      </c>
      <c r="J939" t="s">
        <v>1129</v>
      </c>
      <c r="L939" t="s">
        <v>313</v>
      </c>
      <c r="M939" t="s">
        <v>2068</v>
      </c>
    </row>
    <row r="940" spans="6:13" x14ac:dyDescent="0.25">
      <c r="F940" t="s">
        <v>2748</v>
      </c>
      <c r="G940" t="s">
        <v>3357</v>
      </c>
      <c r="I940" t="s">
        <v>5818</v>
      </c>
      <c r="J940" t="s">
        <v>1076</v>
      </c>
      <c r="L940" t="s">
        <v>254</v>
      </c>
      <c r="M940" t="s">
        <v>7891</v>
      </c>
    </row>
    <row r="941" spans="6:13" x14ac:dyDescent="0.25">
      <c r="F941" t="s">
        <v>2748</v>
      </c>
      <c r="G941" t="s">
        <v>3609</v>
      </c>
      <c r="I941" t="s">
        <v>5651</v>
      </c>
      <c r="J941" t="s">
        <v>7999</v>
      </c>
      <c r="L941" t="s">
        <v>123</v>
      </c>
      <c r="M941" t="s">
        <v>7249</v>
      </c>
    </row>
    <row r="942" spans="6:13" x14ac:dyDescent="0.25">
      <c r="F942" t="s">
        <v>2748</v>
      </c>
      <c r="G942" t="s">
        <v>3607</v>
      </c>
      <c r="I942" t="s">
        <v>6882</v>
      </c>
      <c r="J942" t="s">
        <v>1649</v>
      </c>
      <c r="L942" t="s">
        <v>289</v>
      </c>
      <c r="M942" t="s">
        <v>7919</v>
      </c>
    </row>
    <row r="943" spans="6:13" x14ac:dyDescent="0.25">
      <c r="F943" t="s">
        <v>37</v>
      </c>
      <c r="G943" t="s">
        <v>5058</v>
      </c>
      <c r="I943" t="s">
        <v>2748</v>
      </c>
      <c r="J943" t="s">
        <v>3930</v>
      </c>
      <c r="L943" t="s">
        <v>253</v>
      </c>
      <c r="M943" t="s">
        <v>2187</v>
      </c>
    </row>
    <row r="944" spans="6:13" x14ac:dyDescent="0.25">
      <c r="F944" t="s">
        <v>4670</v>
      </c>
      <c r="G944" t="s">
        <v>658</v>
      </c>
      <c r="I944" t="s">
        <v>6239</v>
      </c>
      <c r="J944" t="s">
        <v>6240</v>
      </c>
      <c r="L944" t="s">
        <v>7324</v>
      </c>
      <c r="M944" t="s">
        <v>2198</v>
      </c>
    </row>
    <row r="945" spans="6:13" x14ac:dyDescent="0.25">
      <c r="F945" t="s">
        <v>315</v>
      </c>
      <c r="G945" t="s">
        <v>4546</v>
      </c>
      <c r="I945" t="s">
        <v>551</v>
      </c>
      <c r="J945" t="s">
        <v>2885</v>
      </c>
      <c r="L945" t="s">
        <v>48</v>
      </c>
      <c r="M945" t="s">
        <v>7954</v>
      </c>
    </row>
    <row r="946" spans="6:13" x14ac:dyDescent="0.25">
      <c r="F946" t="s">
        <v>4543</v>
      </c>
      <c r="G946" t="s">
        <v>3291</v>
      </c>
      <c r="I946" t="s">
        <v>5741</v>
      </c>
      <c r="J946" t="s">
        <v>5742</v>
      </c>
      <c r="L946" t="s">
        <v>49</v>
      </c>
      <c r="M946" t="s">
        <v>7168</v>
      </c>
    </row>
    <row r="947" spans="6:13" x14ac:dyDescent="0.25">
      <c r="F947" t="s">
        <v>309</v>
      </c>
      <c r="G947" t="s">
        <v>4919</v>
      </c>
      <c r="I947" t="s">
        <v>3861</v>
      </c>
      <c r="J947" t="s">
        <v>4033</v>
      </c>
      <c r="L947" t="s">
        <v>4438</v>
      </c>
      <c r="M947" t="s">
        <v>6957</v>
      </c>
    </row>
    <row r="948" spans="6:13" x14ac:dyDescent="0.25">
      <c r="F948" t="s">
        <v>2669</v>
      </c>
      <c r="G948" t="s">
        <v>5087</v>
      </c>
      <c r="I948" t="s">
        <v>2748</v>
      </c>
      <c r="J948" t="s">
        <v>2903</v>
      </c>
      <c r="L948" t="s">
        <v>253</v>
      </c>
      <c r="M948" t="s">
        <v>2298</v>
      </c>
    </row>
    <row r="949" spans="6:13" x14ac:dyDescent="0.25">
      <c r="F949" t="s">
        <v>484</v>
      </c>
      <c r="G949" t="s">
        <v>698</v>
      </c>
      <c r="I949" t="s">
        <v>394</v>
      </c>
      <c r="J949" t="s">
        <v>843</v>
      </c>
      <c r="L949" t="s">
        <v>37</v>
      </c>
      <c r="M949" t="s">
        <v>7238</v>
      </c>
    </row>
    <row r="950" spans="6:13" x14ac:dyDescent="0.25">
      <c r="F950" t="s">
        <v>585</v>
      </c>
      <c r="G950" t="s">
        <v>3506</v>
      </c>
      <c r="I950" t="s">
        <v>6355</v>
      </c>
      <c r="J950" t="s">
        <v>6356</v>
      </c>
      <c r="L950" t="s">
        <v>7570</v>
      </c>
      <c r="M950" t="s">
        <v>2001</v>
      </c>
    </row>
    <row r="951" spans="6:13" x14ac:dyDescent="0.25">
      <c r="F951" t="s">
        <v>4917</v>
      </c>
      <c r="G951" t="s">
        <v>4918</v>
      </c>
      <c r="I951" t="s">
        <v>122</v>
      </c>
      <c r="J951" t="s">
        <v>1511</v>
      </c>
      <c r="L951" t="s">
        <v>122</v>
      </c>
      <c r="M951" t="s">
        <v>7209</v>
      </c>
    </row>
    <row r="952" spans="6:13" x14ac:dyDescent="0.25">
      <c r="F952" t="s">
        <v>2748</v>
      </c>
      <c r="G952" t="s">
        <v>3407</v>
      </c>
      <c r="I952" t="s">
        <v>5631</v>
      </c>
      <c r="J952" t="s">
        <v>5632</v>
      </c>
      <c r="L952" t="s">
        <v>6977</v>
      </c>
      <c r="M952" t="s">
        <v>6978</v>
      </c>
    </row>
    <row r="953" spans="6:13" x14ac:dyDescent="0.25">
      <c r="F953" t="s">
        <v>2774</v>
      </c>
      <c r="G953" t="s">
        <v>3781</v>
      </c>
      <c r="I953" t="s">
        <v>5454</v>
      </c>
      <c r="J953" t="s">
        <v>1191</v>
      </c>
      <c r="L953" t="s">
        <v>7239</v>
      </c>
      <c r="M953" t="s">
        <v>1934</v>
      </c>
    </row>
    <row r="954" spans="6:13" x14ac:dyDescent="0.25">
      <c r="F954" t="s">
        <v>2748</v>
      </c>
      <c r="G954" t="s">
        <v>3639</v>
      </c>
      <c r="I954" t="s">
        <v>6069</v>
      </c>
      <c r="J954" t="s">
        <v>2542</v>
      </c>
      <c r="L954" t="s">
        <v>7776</v>
      </c>
      <c r="M954" t="s">
        <v>7777</v>
      </c>
    </row>
    <row r="955" spans="6:13" x14ac:dyDescent="0.25">
      <c r="F955" t="s">
        <v>2748</v>
      </c>
      <c r="G955" t="s">
        <v>3581</v>
      </c>
      <c r="I955" t="s">
        <v>5962</v>
      </c>
      <c r="J955" t="s">
        <v>5963</v>
      </c>
      <c r="L955" t="s">
        <v>49</v>
      </c>
      <c r="M955" t="s">
        <v>2049</v>
      </c>
    </row>
    <row r="956" spans="6:13" x14ac:dyDescent="0.25">
      <c r="F956" t="s">
        <v>2748</v>
      </c>
      <c r="G956" t="s">
        <v>3786</v>
      </c>
      <c r="I956" t="s">
        <v>5310</v>
      </c>
      <c r="J956" t="s">
        <v>6170</v>
      </c>
      <c r="L956" t="s">
        <v>253</v>
      </c>
      <c r="M956" t="s">
        <v>1857</v>
      </c>
    </row>
    <row r="957" spans="6:13" x14ac:dyDescent="0.25">
      <c r="F957" t="s">
        <v>2748</v>
      </c>
      <c r="G957" t="s">
        <v>3659</v>
      </c>
      <c r="I957" t="s">
        <v>5831</v>
      </c>
      <c r="J957" t="s">
        <v>1082</v>
      </c>
      <c r="L957" t="s">
        <v>462</v>
      </c>
      <c r="M957" t="s">
        <v>1780</v>
      </c>
    </row>
    <row r="958" spans="6:13" x14ac:dyDescent="0.25">
      <c r="F958" t="s">
        <v>2748</v>
      </c>
      <c r="G958" t="s">
        <v>3657</v>
      </c>
      <c r="I958" t="s">
        <v>37</v>
      </c>
      <c r="J958" t="s">
        <v>6131</v>
      </c>
      <c r="L958" t="s">
        <v>254</v>
      </c>
      <c r="M958" t="s">
        <v>7113</v>
      </c>
    </row>
    <row r="959" spans="6:13" x14ac:dyDescent="0.25">
      <c r="F959" t="s">
        <v>2748</v>
      </c>
      <c r="G959" t="s">
        <v>3469</v>
      </c>
      <c r="I959" t="s">
        <v>5838</v>
      </c>
      <c r="J959" t="s">
        <v>5839</v>
      </c>
      <c r="L959" t="s">
        <v>7239</v>
      </c>
      <c r="M959" t="s">
        <v>1737</v>
      </c>
    </row>
    <row r="960" spans="6:13" x14ac:dyDescent="0.25">
      <c r="F960" t="s">
        <v>2748</v>
      </c>
      <c r="G960" t="s">
        <v>3773</v>
      </c>
      <c r="I960" t="s">
        <v>5724</v>
      </c>
      <c r="J960" t="s">
        <v>1033</v>
      </c>
      <c r="L960" t="s">
        <v>37</v>
      </c>
      <c r="M960" t="s">
        <v>7124</v>
      </c>
    </row>
    <row r="961" spans="6:13" x14ac:dyDescent="0.25">
      <c r="F961" t="s">
        <v>401</v>
      </c>
      <c r="G961" t="s">
        <v>657</v>
      </c>
      <c r="I961" t="s">
        <v>548</v>
      </c>
      <c r="J961" t="s">
        <v>2809</v>
      </c>
      <c r="L961" t="s">
        <v>37</v>
      </c>
      <c r="M961" t="s">
        <v>3133</v>
      </c>
    </row>
    <row r="962" spans="6:13" x14ac:dyDescent="0.25">
      <c r="F962" t="s">
        <v>399</v>
      </c>
      <c r="G962" t="s">
        <v>3435</v>
      </c>
      <c r="I962" t="s">
        <v>6083</v>
      </c>
      <c r="J962" t="s">
        <v>6084</v>
      </c>
      <c r="L962" t="s">
        <v>7159</v>
      </c>
      <c r="M962" t="s">
        <v>2090</v>
      </c>
    </row>
    <row r="963" spans="6:13" x14ac:dyDescent="0.25">
      <c r="F963" t="s">
        <v>419</v>
      </c>
      <c r="G963" t="s">
        <v>743</v>
      </c>
      <c r="I963" t="s">
        <v>5665</v>
      </c>
      <c r="J963" t="s">
        <v>2480</v>
      </c>
      <c r="L963" t="s">
        <v>356</v>
      </c>
      <c r="M963" t="s">
        <v>7448</v>
      </c>
    </row>
    <row r="964" spans="6:13" x14ac:dyDescent="0.25">
      <c r="F964" t="s">
        <v>3861</v>
      </c>
      <c r="G964" t="s">
        <v>4388</v>
      </c>
      <c r="I964" t="s">
        <v>313</v>
      </c>
      <c r="J964" t="s">
        <v>1102</v>
      </c>
      <c r="L964" t="s">
        <v>254</v>
      </c>
      <c r="M964" t="s">
        <v>2242</v>
      </c>
    </row>
    <row r="965" spans="6:13" x14ac:dyDescent="0.25">
      <c r="F965" t="s">
        <v>484</v>
      </c>
      <c r="G965" t="s">
        <v>3328</v>
      </c>
      <c r="I965" t="s">
        <v>6370</v>
      </c>
      <c r="J965" t="s">
        <v>6371</v>
      </c>
      <c r="L965" t="s">
        <v>280</v>
      </c>
      <c r="M965" t="s">
        <v>1828</v>
      </c>
    </row>
    <row r="966" spans="6:13" x14ac:dyDescent="0.25">
      <c r="F966" t="s">
        <v>3861</v>
      </c>
      <c r="G966" t="s">
        <v>4327</v>
      </c>
      <c r="I966" t="s">
        <v>47</v>
      </c>
      <c r="J966" t="s">
        <v>5978</v>
      </c>
      <c r="L966" t="s">
        <v>313</v>
      </c>
      <c r="M966" t="s">
        <v>7984</v>
      </c>
    </row>
    <row r="967" spans="6:13" x14ac:dyDescent="0.25">
      <c r="F967" t="s">
        <v>4872</v>
      </c>
      <c r="G967" t="s">
        <v>4873</v>
      </c>
      <c r="I967" t="s">
        <v>401</v>
      </c>
      <c r="J967" t="s">
        <v>5370</v>
      </c>
      <c r="L967" t="s">
        <v>49</v>
      </c>
      <c r="M967" t="s">
        <v>7409</v>
      </c>
    </row>
    <row r="968" spans="6:13" x14ac:dyDescent="0.25">
      <c r="F968" t="s">
        <v>585</v>
      </c>
      <c r="G968" t="s">
        <v>727</v>
      </c>
      <c r="I968" t="s">
        <v>5523</v>
      </c>
      <c r="J968" t="s">
        <v>2467</v>
      </c>
      <c r="L968" t="s">
        <v>254</v>
      </c>
      <c r="M968" t="s">
        <v>2254</v>
      </c>
    </row>
    <row r="969" spans="6:13" x14ac:dyDescent="0.25">
      <c r="F969" t="s">
        <v>4555</v>
      </c>
      <c r="G969" t="s">
        <v>3302</v>
      </c>
      <c r="I969" t="s">
        <v>392</v>
      </c>
      <c r="J969" t="s">
        <v>2488</v>
      </c>
      <c r="L969" t="s">
        <v>7565</v>
      </c>
      <c r="M969" t="s">
        <v>2267</v>
      </c>
    </row>
    <row r="970" spans="6:13" x14ac:dyDescent="0.25">
      <c r="F970" t="s">
        <v>37</v>
      </c>
      <c r="G970" t="s">
        <v>5048</v>
      </c>
      <c r="I970" t="s">
        <v>4342</v>
      </c>
      <c r="J970" t="s">
        <v>5542</v>
      </c>
      <c r="L970" t="s">
        <v>313</v>
      </c>
      <c r="M970" t="s">
        <v>2128</v>
      </c>
    </row>
    <row r="971" spans="6:13" x14ac:dyDescent="0.25">
      <c r="F971" t="s">
        <v>356</v>
      </c>
      <c r="G971" t="s">
        <v>4372</v>
      </c>
      <c r="I971" t="s">
        <v>401</v>
      </c>
      <c r="J971" t="s">
        <v>6652</v>
      </c>
      <c r="L971" t="s">
        <v>254</v>
      </c>
      <c r="M971" t="s">
        <v>2305</v>
      </c>
    </row>
    <row r="972" spans="6:13" x14ac:dyDescent="0.25">
      <c r="F972" t="s">
        <v>2748</v>
      </c>
      <c r="G972" t="s">
        <v>3406</v>
      </c>
      <c r="I972" t="s">
        <v>5815</v>
      </c>
      <c r="J972" t="s">
        <v>5816</v>
      </c>
      <c r="L972" t="s">
        <v>286</v>
      </c>
      <c r="M972" t="s">
        <v>2194</v>
      </c>
    </row>
    <row r="973" spans="6:13" x14ac:dyDescent="0.25">
      <c r="F973" t="s">
        <v>2748</v>
      </c>
      <c r="G973" t="s">
        <v>3693</v>
      </c>
      <c r="I973" t="s">
        <v>254</v>
      </c>
      <c r="J973" t="s">
        <v>5773</v>
      </c>
      <c r="L973" t="s">
        <v>37</v>
      </c>
      <c r="M973" t="s">
        <v>6988</v>
      </c>
    </row>
    <row r="974" spans="6:13" x14ac:dyDescent="0.25">
      <c r="F974" t="s">
        <v>2748</v>
      </c>
      <c r="G974" t="s">
        <v>3389</v>
      </c>
      <c r="I974" t="s">
        <v>6447</v>
      </c>
      <c r="J974" t="s">
        <v>6448</v>
      </c>
      <c r="L974" t="s">
        <v>254</v>
      </c>
      <c r="M974" t="s">
        <v>7229</v>
      </c>
    </row>
    <row r="975" spans="6:13" x14ac:dyDescent="0.25">
      <c r="F975" t="s">
        <v>2748</v>
      </c>
      <c r="G975" t="s">
        <v>3705</v>
      </c>
      <c r="I975" t="s">
        <v>313</v>
      </c>
      <c r="J975" t="s">
        <v>1167</v>
      </c>
      <c r="L975" t="s">
        <v>313</v>
      </c>
      <c r="M975" t="s">
        <v>7294</v>
      </c>
    </row>
    <row r="976" spans="6:13" x14ac:dyDescent="0.25">
      <c r="F976" t="s">
        <v>2748</v>
      </c>
      <c r="G976" t="s">
        <v>3312</v>
      </c>
      <c r="I976" t="s">
        <v>6445</v>
      </c>
      <c r="J976" t="s">
        <v>6446</v>
      </c>
      <c r="L976" t="s">
        <v>397</v>
      </c>
      <c r="M976" t="s">
        <v>7305</v>
      </c>
    </row>
    <row r="977" spans="6:13" x14ac:dyDescent="0.25">
      <c r="F977" t="s">
        <v>2748</v>
      </c>
      <c r="G977" t="s">
        <v>3744</v>
      </c>
      <c r="I977" t="s">
        <v>2748</v>
      </c>
      <c r="J977" t="s">
        <v>5303</v>
      </c>
      <c r="L977" t="s">
        <v>48</v>
      </c>
      <c r="M977" t="s">
        <v>2146</v>
      </c>
    </row>
    <row r="978" spans="6:13" x14ac:dyDescent="0.25">
      <c r="F978" t="s">
        <v>2748</v>
      </c>
      <c r="G978" t="s">
        <v>3624</v>
      </c>
      <c r="I978" t="s">
        <v>2748</v>
      </c>
      <c r="J978" t="s">
        <v>2895</v>
      </c>
      <c r="L978" t="s">
        <v>397</v>
      </c>
      <c r="M978" t="s">
        <v>7046</v>
      </c>
    </row>
    <row r="979" spans="6:13" x14ac:dyDescent="0.25">
      <c r="F979" t="s">
        <v>356</v>
      </c>
      <c r="G979" t="s">
        <v>4385</v>
      </c>
      <c r="I979" t="s">
        <v>2741</v>
      </c>
      <c r="J979" t="s">
        <v>2943</v>
      </c>
      <c r="L979" t="s">
        <v>2359</v>
      </c>
      <c r="M979" t="s">
        <v>4290</v>
      </c>
    </row>
    <row r="980" spans="6:13" x14ac:dyDescent="0.25">
      <c r="F980" t="s">
        <v>2674</v>
      </c>
      <c r="G980" t="s">
        <v>3352</v>
      </c>
      <c r="I980" t="s">
        <v>2748</v>
      </c>
      <c r="J980" t="s">
        <v>2989</v>
      </c>
      <c r="L980" t="s">
        <v>551</v>
      </c>
      <c r="M980" t="s">
        <v>7769</v>
      </c>
    </row>
    <row r="981" spans="6:13" x14ac:dyDescent="0.25">
      <c r="F981" t="s">
        <v>4558</v>
      </c>
      <c r="G981" t="s">
        <v>4559</v>
      </c>
      <c r="I981" t="s">
        <v>6506</v>
      </c>
      <c r="J981" t="s">
        <v>6507</v>
      </c>
      <c r="L981" t="s">
        <v>551</v>
      </c>
      <c r="M981" t="s">
        <v>7240</v>
      </c>
    </row>
    <row r="982" spans="6:13" x14ac:dyDescent="0.25">
      <c r="F982" t="s">
        <v>5002</v>
      </c>
      <c r="G982" t="s">
        <v>5003</v>
      </c>
      <c r="I982" t="s">
        <v>394</v>
      </c>
      <c r="J982" t="s">
        <v>1120</v>
      </c>
      <c r="L982" t="s">
        <v>551</v>
      </c>
      <c r="M982" t="s">
        <v>7247</v>
      </c>
    </row>
    <row r="983" spans="6:13" x14ac:dyDescent="0.25">
      <c r="F983" t="s">
        <v>4917</v>
      </c>
      <c r="G983" t="s">
        <v>4978</v>
      </c>
      <c r="I983" t="s">
        <v>253</v>
      </c>
      <c r="J983" t="s">
        <v>6193</v>
      </c>
      <c r="L983" t="s">
        <v>286</v>
      </c>
      <c r="M983" t="s">
        <v>2211</v>
      </c>
    </row>
    <row r="984" spans="6:13" x14ac:dyDescent="0.25">
      <c r="F984" t="s">
        <v>585</v>
      </c>
      <c r="G984" t="s">
        <v>3305</v>
      </c>
      <c r="I984" t="s">
        <v>6660</v>
      </c>
      <c r="J984" t="s">
        <v>1536</v>
      </c>
      <c r="L984" t="s">
        <v>313</v>
      </c>
      <c r="M984" t="s">
        <v>2281</v>
      </c>
    </row>
    <row r="985" spans="6:13" x14ac:dyDescent="0.25">
      <c r="F985" t="s">
        <v>4830</v>
      </c>
      <c r="G985" t="s">
        <v>4831</v>
      </c>
      <c r="I985" t="s">
        <v>289</v>
      </c>
      <c r="J985" t="s">
        <v>6372</v>
      </c>
      <c r="L985" t="s">
        <v>548</v>
      </c>
      <c r="M985" t="s">
        <v>1762</v>
      </c>
    </row>
    <row r="986" spans="6:13" x14ac:dyDescent="0.25">
      <c r="F986" t="s">
        <v>4736</v>
      </c>
      <c r="G986" t="s">
        <v>4737</v>
      </c>
      <c r="I986" t="s">
        <v>5593</v>
      </c>
      <c r="J986" t="s">
        <v>956</v>
      </c>
      <c r="L986" t="s">
        <v>551</v>
      </c>
      <c r="M986" t="s">
        <v>7090</v>
      </c>
    </row>
    <row r="987" spans="6:13" x14ac:dyDescent="0.25">
      <c r="F987" t="s">
        <v>4580</v>
      </c>
      <c r="G987" t="s">
        <v>3337</v>
      </c>
      <c r="I987" t="s">
        <v>5947</v>
      </c>
      <c r="J987" t="s">
        <v>5948</v>
      </c>
      <c r="L987" t="s">
        <v>3861</v>
      </c>
      <c r="M987" t="s">
        <v>4150</v>
      </c>
    </row>
    <row r="988" spans="6:13" x14ac:dyDescent="0.25">
      <c r="F988" t="s">
        <v>37</v>
      </c>
      <c r="G988" t="s">
        <v>5061</v>
      </c>
      <c r="I988" t="s">
        <v>6259</v>
      </c>
      <c r="J988" t="s">
        <v>6260</v>
      </c>
      <c r="L988" t="s">
        <v>254</v>
      </c>
      <c r="M988" t="s">
        <v>2338</v>
      </c>
    </row>
    <row r="989" spans="6:13" x14ac:dyDescent="0.25">
      <c r="F989" t="s">
        <v>4808</v>
      </c>
      <c r="G989" t="s">
        <v>3596</v>
      </c>
      <c r="I989" t="s">
        <v>311</v>
      </c>
      <c r="J989" t="s">
        <v>1475</v>
      </c>
      <c r="L989" t="s">
        <v>7066</v>
      </c>
      <c r="M989" t="s">
        <v>7378</v>
      </c>
    </row>
    <row r="990" spans="6:13" x14ac:dyDescent="0.25">
      <c r="F990" t="s">
        <v>2748</v>
      </c>
      <c r="G990" t="s">
        <v>3760</v>
      </c>
      <c r="I990" t="s">
        <v>6679</v>
      </c>
      <c r="J990" t="s">
        <v>1543</v>
      </c>
      <c r="L990" t="s">
        <v>286</v>
      </c>
      <c r="M990" t="s">
        <v>2207</v>
      </c>
    </row>
    <row r="991" spans="6:13" x14ac:dyDescent="0.25">
      <c r="F991" t="s">
        <v>2748</v>
      </c>
      <c r="G991" t="s">
        <v>3650</v>
      </c>
      <c r="I991" t="s">
        <v>280</v>
      </c>
      <c r="J991" t="s">
        <v>2824</v>
      </c>
      <c r="L991" t="s">
        <v>7982</v>
      </c>
      <c r="M991" t="s">
        <v>2007</v>
      </c>
    </row>
    <row r="992" spans="6:13" x14ac:dyDescent="0.25">
      <c r="F992" t="s">
        <v>2748</v>
      </c>
      <c r="G992" t="s">
        <v>3364</v>
      </c>
      <c r="I992" t="s">
        <v>3861</v>
      </c>
      <c r="J992" t="s">
        <v>3877</v>
      </c>
      <c r="L992" t="s">
        <v>359</v>
      </c>
      <c r="M992" t="s">
        <v>4201</v>
      </c>
    </row>
    <row r="993" spans="6:13" x14ac:dyDescent="0.25">
      <c r="F993" t="s">
        <v>2748</v>
      </c>
      <c r="G993" t="s">
        <v>3788</v>
      </c>
      <c r="I993" t="s">
        <v>253</v>
      </c>
      <c r="J993" t="s">
        <v>6279</v>
      </c>
      <c r="L993" t="s">
        <v>548</v>
      </c>
      <c r="M993" t="s">
        <v>2360</v>
      </c>
    </row>
    <row r="994" spans="6:13" x14ac:dyDescent="0.25">
      <c r="F994" t="s">
        <v>2748</v>
      </c>
      <c r="G994" t="s">
        <v>3425</v>
      </c>
      <c r="I994" t="s">
        <v>315</v>
      </c>
      <c r="J994" t="s">
        <v>1151</v>
      </c>
      <c r="L994" t="s">
        <v>315</v>
      </c>
      <c r="M994" t="s">
        <v>1942</v>
      </c>
    </row>
    <row r="995" spans="6:13" x14ac:dyDescent="0.25">
      <c r="F995" t="s">
        <v>2748</v>
      </c>
      <c r="G995" t="s">
        <v>3670</v>
      </c>
      <c r="I995" t="s">
        <v>6243</v>
      </c>
      <c r="J995" t="s">
        <v>6244</v>
      </c>
      <c r="L995" t="s">
        <v>7154</v>
      </c>
      <c r="M995" t="s">
        <v>2582</v>
      </c>
    </row>
    <row r="996" spans="6:13" x14ac:dyDescent="0.25">
      <c r="F996" t="s">
        <v>2748</v>
      </c>
      <c r="G996" t="s">
        <v>3326</v>
      </c>
      <c r="I996" t="s">
        <v>6670</v>
      </c>
      <c r="J996" t="s">
        <v>6822</v>
      </c>
      <c r="L996" t="s">
        <v>37</v>
      </c>
      <c r="M996" t="s">
        <v>7669</v>
      </c>
    </row>
    <row r="997" spans="6:13" x14ac:dyDescent="0.25">
      <c r="F997" t="s">
        <v>2748</v>
      </c>
      <c r="G997" t="s">
        <v>3715</v>
      </c>
      <c r="I997" t="s">
        <v>47</v>
      </c>
      <c r="J997" t="s">
        <v>5553</v>
      </c>
      <c r="L997" t="s">
        <v>37</v>
      </c>
      <c r="M997" t="s">
        <v>7098</v>
      </c>
    </row>
    <row r="998" spans="6:13" x14ac:dyDescent="0.25">
      <c r="F998" t="s">
        <v>2748</v>
      </c>
      <c r="G998" t="s">
        <v>3370</v>
      </c>
      <c r="I998" t="s">
        <v>5801</v>
      </c>
      <c r="J998" t="s">
        <v>6563</v>
      </c>
      <c r="L998" t="s">
        <v>311</v>
      </c>
      <c r="M998" t="s">
        <v>2023</v>
      </c>
    </row>
    <row r="999" spans="6:13" x14ac:dyDescent="0.25">
      <c r="F999" t="s">
        <v>5068</v>
      </c>
      <c r="G999" t="s">
        <v>4610</v>
      </c>
      <c r="I999" t="s">
        <v>315</v>
      </c>
      <c r="J999" t="s">
        <v>830</v>
      </c>
      <c r="L999" t="s">
        <v>392</v>
      </c>
      <c r="M999" t="s">
        <v>1679</v>
      </c>
    </row>
    <row r="1000" spans="6:13" x14ac:dyDescent="0.25">
      <c r="F1000" t="s">
        <v>2687</v>
      </c>
      <c r="G1000" t="s">
        <v>3502</v>
      </c>
      <c r="I1000" t="s">
        <v>5273</v>
      </c>
      <c r="J1000" t="s">
        <v>5274</v>
      </c>
      <c r="L1000" t="s">
        <v>7399</v>
      </c>
      <c r="M1000" t="s">
        <v>2079</v>
      </c>
    </row>
    <row r="1001" spans="6:13" x14ac:dyDescent="0.25">
      <c r="F1001" t="s">
        <v>484</v>
      </c>
      <c r="G1001" t="s">
        <v>3303</v>
      </c>
      <c r="I1001" t="s">
        <v>5310</v>
      </c>
      <c r="J1001" t="s">
        <v>6703</v>
      </c>
      <c r="L1001" t="s">
        <v>7737</v>
      </c>
      <c r="M1001" t="s">
        <v>7738</v>
      </c>
    </row>
    <row r="1002" spans="6:13" x14ac:dyDescent="0.25">
      <c r="F1002" t="s">
        <v>5118</v>
      </c>
      <c r="G1002" t="s">
        <v>4712</v>
      </c>
      <c r="I1002" t="s">
        <v>92</v>
      </c>
      <c r="J1002" t="s">
        <v>5300</v>
      </c>
      <c r="L1002" t="s">
        <v>397</v>
      </c>
      <c r="M1002" t="s">
        <v>7960</v>
      </c>
    </row>
    <row r="1003" spans="6:13" x14ac:dyDescent="0.25">
      <c r="F1003" t="s">
        <v>5152</v>
      </c>
      <c r="G1003" t="s">
        <v>4712</v>
      </c>
      <c r="I1003" t="s">
        <v>3861</v>
      </c>
      <c r="J1003" t="s">
        <v>4074</v>
      </c>
      <c r="L1003" t="s">
        <v>7771</v>
      </c>
      <c r="M1003" t="s">
        <v>1790</v>
      </c>
    </row>
    <row r="1004" spans="6:13" x14ac:dyDescent="0.25">
      <c r="F1004" t="s">
        <v>356</v>
      </c>
      <c r="G1004" t="s">
        <v>4353</v>
      </c>
      <c r="I1004" t="s">
        <v>5317</v>
      </c>
      <c r="J1004" t="s">
        <v>820</v>
      </c>
      <c r="L1004" t="s">
        <v>3861</v>
      </c>
      <c r="M1004" t="s">
        <v>4156</v>
      </c>
    </row>
    <row r="1005" spans="6:13" x14ac:dyDescent="0.25">
      <c r="F1005" t="s">
        <v>4802</v>
      </c>
      <c r="G1005" t="s">
        <v>5154</v>
      </c>
      <c r="I1005" t="s">
        <v>5361</v>
      </c>
      <c r="J1005" t="s">
        <v>841</v>
      </c>
      <c r="L1005" t="s">
        <v>397</v>
      </c>
      <c r="M1005" t="s">
        <v>7055</v>
      </c>
    </row>
    <row r="1006" spans="6:13" x14ac:dyDescent="0.25">
      <c r="F1006" t="s">
        <v>419</v>
      </c>
      <c r="G1006" t="s">
        <v>642</v>
      </c>
      <c r="I1006" t="s">
        <v>6515</v>
      </c>
      <c r="J1006" t="s">
        <v>6516</v>
      </c>
      <c r="L1006" t="s">
        <v>44</v>
      </c>
      <c r="M1006" t="s">
        <v>7505</v>
      </c>
    </row>
    <row r="1007" spans="6:13" x14ac:dyDescent="0.25">
      <c r="F1007" t="s">
        <v>315</v>
      </c>
      <c r="G1007" t="s">
        <v>4753</v>
      </c>
      <c r="I1007" t="s">
        <v>2748</v>
      </c>
      <c r="J1007" t="s">
        <v>2912</v>
      </c>
      <c r="L1007" t="s">
        <v>95</v>
      </c>
      <c r="M1007" t="s">
        <v>3251</v>
      </c>
    </row>
    <row r="1008" spans="6:13" x14ac:dyDescent="0.25">
      <c r="F1008" t="s">
        <v>39</v>
      </c>
      <c r="G1008" t="s">
        <v>4787</v>
      </c>
      <c r="I1008" t="s">
        <v>95</v>
      </c>
      <c r="J1008" t="s">
        <v>6702</v>
      </c>
      <c r="L1008" t="s">
        <v>254</v>
      </c>
      <c r="M1008" t="s">
        <v>2343</v>
      </c>
    </row>
    <row r="1009" spans="6:13" x14ac:dyDescent="0.25">
      <c r="F1009" t="s">
        <v>2748</v>
      </c>
      <c r="G1009" t="s">
        <v>3797</v>
      </c>
      <c r="I1009" t="s">
        <v>315</v>
      </c>
      <c r="J1009" t="s">
        <v>1194</v>
      </c>
      <c r="L1009" t="s">
        <v>548</v>
      </c>
      <c r="M1009" t="s">
        <v>7413</v>
      </c>
    </row>
    <row r="1010" spans="6:13" x14ac:dyDescent="0.25">
      <c r="F1010" t="s">
        <v>2748</v>
      </c>
      <c r="G1010" t="s">
        <v>3654</v>
      </c>
      <c r="I1010" t="s">
        <v>5367</v>
      </c>
      <c r="J1010" t="s">
        <v>5368</v>
      </c>
      <c r="L1010" t="s">
        <v>6931</v>
      </c>
      <c r="M1010" t="s">
        <v>6932</v>
      </c>
    </row>
    <row r="1011" spans="6:13" x14ac:dyDescent="0.25">
      <c r="F1011" t="s">
        <v>2748</v>
      </c>
      <c r="G1011" t="s">
        <v>3677</v>
      </c>
      <c r="I1011" t="s">
        <v>3910</v>
      </c>
      <c r="J1011" t="s">
        <v>6421</v>
      </c>
      <c r="L1011" t="s">
        <v>315</v>
      </c>
      <c r="M1011" t="s">
        <v>6974</v>
      </c>
    </row>
    <row r="1012" spans="6:13" x14ac:dyDescent="0.25">
      <c r="F1012" t="s">
        <v>2748</v>
      </c>
      <c r="G1012" t="s">
        <v>3802</v>
      </c>
      <c r="I1012" t="s">
        <v>6474</v>
      </c>
      <c r="J1012" t="s">
        <v>1428</v>
      </c>
      <c r="L1012" t="s">
        <v>7920</v>
      </c>
      <c r="M1012" t="s">
        <v>7921</v>
      </c>
    </row>
    <row r="1013" spans="6:13" x14ac:dyDescent="0.25">
      <c r="F1013" t="s">
        <v>2748</v>
      </c>
      <c r="G1013" t="s">
        <v>3477</v>
      </c>
      <c r="I1013" t="s">
        <v>5609</v>
      </c>
      <c r="J1013" t="s">
        <v>5610</v>
      </c>
      <c r="L1013" t="s">
        <v>254</v>
      </c>
      <c r="M1013" t="s">
        <v>2230</v>
      </c>
    </row>
    <row r="1014" spans="6:13" x14ac:dyDescent="0.25">
      <c r="F1014" t="s">
        <v>2748</v>
      </c>
      <c r="G1014" t="s">
        <v>3320</v>
      </c>
      <c r="I1014" t="s">
        <v>122</v>
      </c>
      <c r="J1014" t="s">
        <v>6374</v>
      </c>
      <c r="L1014" t="s">
        <v>3861</v>
      </c>
      <c r="M1014" t="s">
        <v>4275</v>
      </c>
    </row>
    <row r="1015" spans="6:13" x14ac:dyDescent="0.25">
      <c r="F1015" t="s">
        <v>2748</v>
      </c>
      <c r="G1015" t="s">
        <v>3601</v>
      </c>
      <c r="I1015" t="s">
        <v>5356</v>
      </c>
      <c r="J1015" t="s">
        <v>5357</v>
      </c>
      <c r="L1015" t="s">
        <v>313</v>
      </c>
      <c r="M1015" t="s">
        <v>1993</v>
      </c>
    </row>
    <row r="1016" spans="6:13" x14ac:dyDescent="0.25">
      <c r="F1016" t="s">
        <v>2748</v>
      </c>
      <c r="G1016" t="s">
        <v>3493</v>
      </c>
      <c r="I1016" t="s">
        <v>37</v>
      </c>
      <c r="J1016" t="s">
        <v>1265</v>
      </c>
      <c r="L1016" t="s">
        <v>2730</v>
      </c>
      <c r="M1016" t="s">
        <v>3144</v>
      </c>
    </row>
    <row r="1017" spans="6:13" x14ac:dyDescent="0.25">
      <c r="F1017" t="s">
        <v>2748</v>
      </c>
      <c r="G1017" t="s">
        <v>3345</v>
      </c>
      <c r="I1017" t="s">
        <v>5617</v>
      </c>
      <c r="J1017" t="s">
        <v>5618</v>
      </c>
      <c r="L1017" t="s">
        <v>399</v>
      </c>
      <c r="M1017" t="s">
        <v>7787</v>
      </c>
    </row>
    <row r="1018" spans="6:13" x14ac:dyDescent="0.25">
      <c r="F1018" t="s">
        <v>2748</v>
      </c>
      <c r="G1018" t="s">
        <v>3324</v>
      </c>
      <c r="I1018" t="s">
        <v>4637</v>
      </c>
      <c r="J1018" t="s">
        <v>6577</v>
      </c>
      <c r="L1018" t="s">
        <v>315</v>
      </c>
      <c r="M1018" t="s">
        <v>7780</v>
      </c>
    </row>
    <row r="1019" spans="6:13" x14ac:dyDescent="0.25">
      <c r="F1019" t="s">
        <v>2748</v>
      </c>
      <c r="G1019" t="s">
        <v>3350</v>
      </c>
      <c r="I1019" t="s">
        <v>45</v>
      </c>
      <c r="J1019" t="s">
        <v>5347</v>
      </c>
      <c r="L1019" t="s">
        <v>2727</v>
      </c>
      <c r="M1019" t="s">
        <v>7852</v>
      </c>
    </row>
    <row r="1020" spans="6:13" x14ac:dyDescent="0.25">
      <c r="F1020" t="s">
        <v>4810</v>
      </c>
      <c r="G1020" t="s">
        <v>4811</v>
      </c>
      <c r="I1020" t="s">
        <v>40</v>
      </c>
      <c r="J1020" t="s">
        <v>4026</v>
      </c>
      <c r="L1020" t="s">
        <v>5786</v>
      </c>
      <c r="M1020" t="s">
        <v>1884</v>
      </c>
    </row>
    <row r="1021" spans="6:13" x14ac:dyDescent="0.25">
      <c r="F1021" t="s">
        <v>313</v>
      </c>
      <c r="G1021" t="s">
        <v>4972</v>
      </c>
      <c r="I1021" t="s">
        <v>5455</v>
      </c>
      <c r="J1021" t="s">
        <v>893</v>
      </c>
      <c r="L1021" t="s">
        <v>7955</v>
      </c>
      <c r="M1021" t="s">
        <v>7956</v>
      </c>
    </row>
    <row r="1022" spans="6:13" x14ac:dyDescent="0.25">
      <c r="F1022" t="s">
        <v>583</v>
      </c>
      <c r="G1022" t="s">
        <v>3708</v>
      </c>
      <c r="I1022" t="s">
        <v>6185</v>
      </c>
      <c r="J1022" t="s">
        <v>6186</v>
      </c>
      <c r="L1022" t="s">
        <v>7525</v>
      </c>
      <c r="M1022" t="s">
        <v>7526</v>
      </c>
    </row>
    <row r="1023" spans="6:13" x14ac:dyDescent="0.25">
      <c r="F1023" t="s">
        <v>4154</v>
      </c>
      <c r="G1023" t="s">
        <v>4429</v>
      </c>
      <c r="I1023" t="s">
        <v>6056</v>
      </c>
      <c r="J1023" t="s">
        <v>6057</v>
      </c>
      <c r="L1023" t="s">
        <v>6931</v>
      </c>
      <c r="M1023" t="s">
        <v>2292</v>
      </c>
    </row>
    <row r="1024" spans="6:13" x14ac:dyDescent="0.25">
      <c r="F1024" t="s">
        <v>313</v>
      </c>
      <c r="G1024" t="s">
        <v>4923</v>
      </c>
      <c r="I1024" t="s">
        <v>401</v>
      </c>
      <c r="J1024" t="s">
        <v>1266</v>
      </c>
      <c r="L1024" t="s">
        <v>21</v>
      </c>
      <c r="M1024" t="s">
        <v>7421</v>
      </c>
    </row>
    <row r="1025" spans="6:13" x14ac:dyDescent="0.25">
      <c r="F1025" t="s">
        <v>4625</v>
      </c>
      <c r="G1025" t="s">
        <v>4626</v>
      </c>
      <c r="I1025" t="s">
        <v>5638</v>
      </c>
      <c r="J1025" t="s">
        <v>974</v>
      </c>
      <c r="L1025" t="s">
        <v>7922</v>
      </c>
      <c r="M1025" t="s">
        <v>2317</v>
      </c>
    </row>
    <row r="1026" spans="6:13" x14ac:dyDescent="0.25">
      <c r="F1026" t="s">
        <v>5005</v>
      </c>
      <c r="G1026" t="s">
        <v>5006</v>
      </c>
      <c r="I1026" t="s">
        <v>5400</v>
      </c>
      <c r="J1026" t="s">
        <v>868</v>
      </c>
      <c r="L1026" t="s">
        <v>37</v>
      </c>
      <c r="M1026" t="s">
        <v>1687</v>
      </c>
    </row>
    <row r="1027" spans="6:13" x14ac:dyDescent="0.25">
      <c r="F1027" t="s">
        <v>419</v>
      </c>
      <c r="G1027" t="s">
        <v>648</v>
      </c>
      <c r="I1027" t="s">
        <v>46</v>
      </c>
      <c r="J1027" t="s">
        <v>1240</v>
      </c>
      <c r="L1027" t="s">
        <v>7366</v>
      </c>
      <c r="M1027" t="s">
        <v>1925</v>
      </c>
    </row>
    <row r="1028" spans="6:13" x14ac:dyDescent="0.25">
      <c r="F1028" t="s">
        <v>581</v>
      </c>
      <c r="G1028" t="s">
        <v>3666</v>
      </c>
      <c r="I1028" t="s">
        <v>39</v>
      </c>
      <c r="J1028" t="s">
        <v>4072</v>
      </c>
      <c r="L1028" t="s">
        <v>309</v>
      </c>
      <c r="M1028" t="s">
        <v>7354</v>
      </c>
    </row>
    <row r="1029" spans="6:13" x14ac:dyDescent="0.25">
      <c r="F1029" t="s">
        <v>313</v>
      </c>
      <c r="G1029" t="s">
        <v>4979</v>
      </c>
      <c r="I1029" t="s">
        <v>90</v>
      </c>
      <c r="J1029" t="s">
        <v>5954</v>
      </c>
      <c r="L1029" t="s">
        <v>62</v>
      </c>
      <c r="M1029" t="s">
        <v>3098</v>
      </c>
    </row>
    <row r="1030" spans="6:13" x14ac:dyDescent="0.25">
      <c r="F1030" t="s">
        <v>4906</v>
      </c>
      <c r="G1030" t="s">
        <v>4907</v>
      </c>
      <c r="I1030" t="s">
        <v>313</v>
      </c>
      <c r="J1030" t="s">
        <v>2529</v>
      </c>
      <c r="L1030" t="s">
        <v>7416</v>
      </c>
      <c r="M1030" t="s">
        <v>7417</v>
      </c>
    </row>
    <row r="1031" spans="6:13" x14ac:dyDescent="0.25">
      <c r="F1031" t="s">
        <v>3861</v>
      </c>
      <c r="G1031" t="s">
        <v>4332</v>
      </c>
      <c r="I1031" t="s">
        <v>313</v>
      </c>
      <c r="J1031" t="s">
        <v>2454</v>
      </c>
      <c r="L1031" t="s">
        <v>7656</v>
      </c>
      <c r="M1031" t="s">
        <v>7657</v>
      </c>
    </row>
    <row r="1032" spans="6:13" x14ac:dyDescent="0.25">
      <c r="F1032" t="s">
        <v>4847</v>
      </c>
      <c r="G1032" t="s">
        <v>4848</v>
      </c>
      <c r="I1032" t="s">
        <v>5770</v>
      </c>
      <c r="J1032" t="s">
        <v>5771</v>
      </c>
      <c r="L1032" t="s">
        <v>3861</v>
      </c>
      <c r="M1032" t="s">
        <v>7255</v>
      </c>
    </row>
    <row r="1033" spans="6:13" x14ac:dyDescent="0.25">
      <c r="F1033" t="s">
        <v>2675</v>
      </c>
      <c r="G1033" t="s">
        <v>3329</v>
      </c>
      <c r="I1033" t="s">
        <v>6653</v>
      </c>
      <c r="J1033" t="s">
        <v>6654</v>
      </c>
      <c r="L1033" t="s">
        <v>7820</v>
      </c>
      <c r="M1033" t="s">
        <v>7821</v>
      </c>
    </row>
    <row r="1034" spans="6:13" x14ac:dyDescent="0.25">
      <c r="F1034" t="s">
        <v>39</v>
      </c>
      <c r="G1034" t="s">
        <v>4565</v>
      </c>
      <c r="I1034" t="s">
        <v>5604</v>
      </c>
      <c r="J1034" t="s">
        <v>6042</v>
      </c>
      <c r="L1034" t="s">
        <v>6952</v>
      </c>
      <c r="M1034" t="s">
        <v>6953</v>
      </c>
    </row>
    <row r="1035" spans="6:13" x14ac:dyDescent="0.25">
      <c r="F1035" t="s">
        <v>4837</v>
      </c>
      <c r="G1035" t="s">
        <v>4838</v>
      </c>
      <c r="I1035" t="s">
        <v>5479</v>
      </c>
      <c r="J1035" t="s">
        <v>5480</v>
      </c>
      <c r="L1035" t="s">
        <v>2727</v>
      </c>
      <c r="M1035" t="s">
        <v>7380</v>
      </c>
    </row>
    <row r="1036" spans="6:13" x14ac:dyDescent="0.25">
      <c r="F1036" t="s">
        <v>4870</v>
      </c>
      <c r="G1036" t="s">
        <v>723</v>
      </c>
      <c r="I1036" t="s">
        <v>311</v>
      </c>
      <c r="J1036" t="s">
        <v>1149</v>
      </c>
      <c r="L1036" t="s">
        <v>289</v>
      </c>
      <c r="M1036" t="s">
        <v>3172</v>
      </c>
    </row>
    <row r="1037" spans="6:13" x14ac:dyDescent="0.25">
      <c r="F1037" t="s">
        <v>585</v>
      </c>
      <c r="G1037" t="s">
        <v>3351</v>
      </c>
      <c r="I1037" t="s">
        <v>6451</v>
      </c>
      <c r="J1037" t="s">
        <v>6452</v>
      </c>
      <c r="L1037" t="s">
        <v>311</v>
      </c>
      <c r="M1037" t="s">
        <v>2005</v>
      </c>
    </row>
    <row r="1038" spans="6:13" x14ac:dyDescent="0.25">
      <c r="F1038" t="s">
        <v>4602</v>
      </c>
      <c r="G1038" t="s">
        <v>3362</v>
      </c>
      <c r="I1038" t="s">
        <v>318</v>
      </c>
      <c r="J1038" t="s">
        <v>6154</v>
      </c>
      <c r="L1038" t="s">
        <v>2724</v>
      </c>
      <c r="M1038" t="s">
        <v>6972</v>
      </c>
    </row>
    <row r="1039" spans="6:13" x14ac:dyDescent="0.25">
      <c r="F1039" t="s">
        <v>46</v>
      </c>
      <c r="G1039" t="s">
        <v>3338</v>
      </c>
      <c r="I1039" t="s">
        <v>311</v>
      </c>
      <c r="J1039" t="s">
        <v>1177</v>
      </c>
      <c r="L1039" t="s">
        <v>7480</v>
      </c>
      <c r="M1039" t="s">
        <v>2008</v>
      </c>
    </row>
    <row r="1040" spans="6:13" x14ac:dyDescent="0.25">
      <c r="F1040" t="s">
        <v>4710</v>
      </c>
      <c r="G1040" t="s">
        <v>4711</v>
      </c>
      <c r="I1040" t="s">
        <v>392</v>
      </c>
      <c r="J1040" t="s">
        <v>2459</v>
      </c>
      <c r="L1040" t="s">
        <v>313</v>
      </c>
      <c r="M1040" t="s">
        <v>2625</v>
      </c>
    </row>
    <row r="1041" spans="6:13" x14ac:dyDescent="0.25">
      <c r="F1041" t="s">
        <v>484</v>
      </c>
      <c r="G1041" t="s">
        <v>5137</v>
      </c>
      <c r="I1041" t="s">
        <v>286</v>
      </c>
      <c r="J1041" t="s">
        <v>999</v>
      </c>
      <c r="L1041" t="s">
        <v>313</v>
      </c>
      <c r="M1041" t="s">
        <v>2618</v>
      </c>
    </row>
    <row r="1042" spans="6:13" x14ac:dyDescent="0.25">
      <c r="F1042" t="s">
        <v>4943</v>
      </c>
      <c r="G1042" t="s">
        <v>4944</v>
      </c>
      <c r="I1042" t="s">
        <v>6067</v>
      </c>
      <c r="J1042" t="s">
        <v>4011</v>
      </c>
      <c r="L1042" t="s">
        <v>6980</v>
      </c>
      <c r="M1042" t="s">
        <v>3258</v>
      </c>
    </row>
    <row r="1043" spans="6:13" x14ac:dyDescent="0.25">
      <c r="F1043" t="s">
        <v>2669</v>
      </c>
      <c r="G1043" t="s">
        <v>5132</v>
      </c>
      <c r="I1043" t="s">
        <v>315</v>
      </c>
      <c r="J1043" t="s">
        <v>1595</v>
      </c>
      <c r="L1043" t="s">
        <v>313</v>
      </c>
      <c r="M1043" t="s">
        <v>1678</v>
      </c>
    </row>
    <row r="1044" spans="6:13" x14ac:dyDescent="0.25">
      <c r="F1044" t="s">
        <v>311</v>
      </c>
      <c r="G1044" t="s">
        <v>4902</v>
      </c>
      <c r="I1044" t="s">
        <v>315</v>
      </c>
      <c r="J1044" t="s">
        <v>1339</v>
      </c>
      <c r="L1044" t="s">
        <v>459</v>
      </c>
      <c r="M1044" t="s">
        <v>7725</v>
      </c>
    </row>
    <row r="1045" spans="6:13" x14ac:dyDescent="0.25">
      <c r="F1045" t="s">
        <v>4609</v>
      </c>
      <c r="G1045" t="s">
        <v>4683</v>
      </c>
      <c r="I1045" t="s">
        <v>313</v>
      </c>
      <c r="J1045" t="s">
        <v>2465</v>
      </c>
      <c r="L1045" t="s">
        <v>315</v>
      </c>
      <c r="M1045" t="s">
        <v>2584</v>
      </c>
    </row>
    <row r="1046" spans="6:13" x14ac:dyDescent="0.25">
      <c r="F1046" t="s">
        <v>4556</v>
      </c>
      <c r="G1046" t="s">
        <v>5041</v>
      </c>
      <c r="I1046" t="s">
        <v>254</v>
      </c>
      <c r="J1046" t="s">
        <v>1484</v>
      </c>
      <c r="L1046" t="s">
        <v>315</v>
      </c>
      <c r="M1046" t="s">
        <v>2587</v>
      </c>
    </row>
    <row r="1047" spans="6:13" x14ac:dyDescent="0.25">
      <c r="F1047" t="s">
        <v>37</v>
      </c>
      <c r="G1047" t="s">
        <v>5180</v>
      </c>
      <c r="I1047" t="s">
        <v>9</v>
      </c>
      <c r="J1047" t="s">
        <v>1173</v>
      </c>
      <c r="L1047" t="s">
        <v>311</v>
      </c>
      <c r="M1047" t="s">
        <v>1808</v>
      </c>
    </row>
    <row r="1048" spans="6:13" x14ac:dyDescent="0.25">
      <c r="F1048" t="s">
        <v>346</v>
      </c>
      <c r="G1048" t="s">
        <v>4568</v>
      </c>
      <c r="I1048" t="s">
        <v>46</v>
      </c>
      <c r="J1048" t="s">
        <v>1508</v>
      </c>
      <c r="L1048" t="s">
        <v>462</v>
      </c>
      <c r="M1048" t="s">
        <v>1801</v>
      </c>
    </row>
    <row r="1049" spans="6:13" x14ac:dyDescent="0.25">
      <c r="F1049" t="s">
        <v>37</v>
      </c>
      <c r="G1049" t="s">
        <v>5129</v>
      </c>
      <c r="I1049" t="s">
        <v>6204</v>
      </c>
      <c r="J1049" t="s">
        <v>6205</v>
      </c>
      <c r="L1049" t="s">
        <v>2727</v>
      </c>
      <c r="M1049" t="s">
        <v>7181</v>
      </c>
    </row>
    <row r="1050" spans="6:13" x14ac:dyDescent="0.25">
      <c r="F1050" t="s">
        <v>2733</v>
      </c>
      <c r="G1050" t="s">
        <v>3403</v>
      </c>
      <c r="I1050" t="s">
        <v>254</v>
      </c>
      <c r="J1050" t="s">
        <v>1196</v>
      </c>
      <c r="L1050" t="s">
        <v>37</v>
      </c>
      <c r="M1050" t="s">
        <v>7455</v>
      </c>
    </row>
    <row r="1051" spans="6:13" x14ac:dyDescent="0.25">
      <c r="F1051" t="s">
        <v>4436</v>
      </c>
      <c r="G1051" t="s">
        <v>4603</v>
      </c>
      <c r="I1051" t="s">
        <v>254</v>
      </c>
      <c r="J1051" t="s">
        <v>6426</v>
      </c>
      <c r="L1051" t="s">
        <v>254</v>
      </c>
      <c r="M1051" t="s">
        <v>1723</v>
      </c>
    </row>
    <row r="1052" spans="6:13" x14ac:dyDescent="0.25">
      <c r="F1052" t="s">
        <v>540</v>
      </c>
      <c r="G1052" t="s">
        <v>3745</v>
      </c>
      <c r="I1052" t="s">
        <v>283</v>
      </c>
      <c r="J1052" t="s">
        <v>1227</v>
      </c>
      <c r="L1052" t="s">
        <v>95</v>
      </c>
      <c r="M1052" t="s">
        <v>7604</v>
      </c>
    </row>
    <row r="1053" spans="6:13" x14ac:dyDescent="0.25">
      <c r="F1053" t="s">
        <v>4519</v>
      </c>
      <c r="G1053" t="s">
        <v>721</v>
      </c>
      <c r="I1053" t="s">
        <v>4555</v>
      </c>
      <c r="J1053" t="s">
        <v>6033</v>
      </c>
      <c r="L1053" t="s">
        <v>548</v>
      </c>
      <c r="M1053" t="s">
        <v>6909</v>
      </c>
    </row>
    <row r="1054" spans="6:13" x14ac:dyDescent="0.25">
      <c r="F1054" t="s">
        <v>95</v>
      </c>
      <c r="G1054" t="s">
        <v>2366</v>
      </c>
      <c r="I1054" t="s">
        <v>6811</v>
      </c>
      <c r="J1054" t="s">
        <v>6812</v>
      </c>
      <c r="L1054" t="s">
        <v>7312</v>
      </c>
      <c r="M1054" t="s">
        <v>7313</v>
      </c>
    </row>
    <row r="1055" spans="6:13" x14ac:dyDescent="0.25">
      <c r="F1055" t="s">
        <v>484</v>
      </c>
      <c r="G1055" t="s">
        <v>5141</v>
      </c>
      <c r="I1055" t="s">
        <v>6545</v>
      </c>
      <c r="J1055" t="s">
        <v>1476</v>
      </c>
      <c r="L1055" t="s">
        <v>6892</v>
      </c>
      <c r="M1055" t="s">
        <v>6994</v>
      </c>
    </row>
    <row r="1056" spans="6:13" x14ac:dyDescent="0.25">
      <c r="F1056" t="s">
        <v>122</v>
      </c>
      <c r="G1056" t="s">
        <v>3307</v>
      </c>
      <c r="I1056" t="s">
        <v>295</v>
      </c>
      <c r="J1056" t="s">
        <v>1080</v>
      </c>
      <c r="L1056" t="s">
        <v>401</v>
      </c>
      <c r="M1056" t="s">
        <v>2571</v>
      </c>
    </row>
    <row r="1057" spans="6:13" x14ac:dyDescent="0.25">
      <c r="F1057" t="s">
        <v>37</v>
      </c>
      <c r="G1057" t="s">
        <v>4973</v>
      </c>
      <c r="I1057" t="s">
        <v>6863</v>
      </c>
      <c r="J1057" t="s">
        <v>6864</v>
      </c>
      <c r="L1057" t="s">
        <v>313</v>
      </c>
      <c r="M1057" t="s">
        <v>7234</v>
      </c>
    </row>
    <row r="1058" spans="6:13" x14ac:dyDescent="0.25">
      <c r="F1058" t="s">
        <v>4959</v>
      </c>
      <c r="G1058" t="s">
        <v>771</v>
      </c>
      <c r="I1058" t="s">
        <v>3861</v>
      </c>
      <c r="J1058" t="s">
        <v>4105</v>
      </c>
      <c r="L1058" t="s">
        <v>289</v>
      </c>
      <c r="M1058" t="s">
        <v>2619</v>
      </c>
    </row>
    <row r="1059" spans="6:13" x14ac:dyDescent="0.25">
      <c r="F1059" t="s">
        <v>2748</v>
      </c>
      <c r="G1059" t="s">
        <v>3586</v>
      </c>
      <c r="I1059" t="s">
        <v>2748</v>
      </c>
      <c r="J1059" t="s">
        <v>2966</v>
      </c>
      <c r="L1059" t="s">
        <v>313</v>
      </c>
      <c r="M1059" t="s">
        <v>7983</v>
      </c>
    </row>
    <row r="1060" spans="6:13" x14ac:dyDescent="0.25">
      <c r="F1060" t="s">
        <v>37</v>
      </c>
      <c r="G1060" t="s">
        <v>5194</v>
      </c>
      <c r="I1060" t="s">
        <v>4519</v>
      </c>
      <c r="J1060" t="s">
        <v>5843</v>
      </c>
      <c r="L1060" t="s">
        <v>315</v>
      </c>
      <c r="M1060" t="s">
        <v>6979</v>
      </c>
    </row>
    <row r="1061" spans="6:13" x14ac:dyDescent="0.25">
      <c r="F1061" t="s">
        <v>95</v>
      </c>
      <c r="G1061" t="s">
        <v>707</v>
      </c>
      <c r="I1061" t="s">
        <v>6642</v>
      </c>
      <c r="J1061" t="s">
        <v>6643</v>
      </c>
      <c r="L1061" t="s">
        <v>7326</v>
      </c>
      <c r="M1061" t="s">
        <v>3156</v>
      </c>
    </row>
    <row r="1062" spans="6:13" x14ac:dyDescent="0.25">
      <c r="F1062" t="s">
        <v>2669</v>
      </c>
      <c r="G1062" t="s">
        <v>5100</v>
      </c>
      <c r="I1062" t="s">
        <v>5767</v>
      </c>
      <c r="J1062" t="s">
        <v>1057</v>
      </c>
      <c r="L1062" t="s">
        <v>462</v>
      </c>
      <c r="M1062" t="s">
        <v>2043</v>
      </c>
    </row>
    <row r="1063" spans="6:13" x14ac:dyDescent="0.25">
      <c r="F1063" t="s">
        <v>2674</v>
      </c>
      <c r="G1063" t="s">
        <v>3584</v>
      </c>
      <c r="I1063" t="s">
        <v>6682</v>
      </c>
      <c r="J1063" t="s">
        <v>6683</v>
      </c>
      <c r="L1063" t="s">
        <v>445</v>
      </c>
      <c r="M1063" t="s">
        <v>1843</v>
      </c>
    </row>
    <row r="1064" spans="6:13" x14ac:dyDescent="0.25">
      <c r="F1064" t="s">
        <v>5124</v>
      </c>
      <c r="G1064" t="s">
        <v>3491</v>
      </c>
      <c r="I1064" t="s">
        <v>518</v>
      </c>
      <c r="J1064" t="s">
        <v>2800</v>
      </c>
      <c r="L1064" t="s">
        <v>304</v>
      </c>
      <c r="M1064" t="s">
        <v>1728</v>
      </c>
    </row>
    <row r="1065" spans="6:13" x14ac:dyDescent="0.25">
      <c r="F1065" t="s">
        <v>5126</v>
      </c>
      <c r="G1065" t="s">
        <v>3491</v>
      </c>
      <c r="I1065" t="s">
        <v>313</v>
      </c>
      <c r="J1065" t="s">
        <v>6759</v>
      </c>
      <c r="L1065" t="s">
        <v>46</v>
      </c>
      <c r="M1065" t="s">
        <v>1926</v>
      </c>
    </row>
    <row r="1066" spans="6:13" x14ac:dyDescent="0.25">
      <c r="F1066" t="s">
        <v>2681</v>
      </c>
      <c r="G1066" t="s">
        <v>3319</v>
      </c>
      <c r="I1066" t="s">
        <v>39</v>
      </c>
      <c r="J1066" t="s">
        <v>4121</v>
      </c>
      <c r="L1066" t="s">
        <v>315</v>
      </c>
      <c r="M1066" t="s">
        <v>7478</v>
      </c>
    </row>
    <row r="1067" spans="6:13" x14ac:dyDescent="0.25">
      <c r="F1067" t="s">
        <v>2669</v>
      </c>
      <c r="G1067" t="s">
        <v>3791</v>
      </c>
      <c r="I1067" t="s">
        <v>5289</v>
      </c>
      <c r="J1067" t="s">
        <v>5290</v>
      </c>
      <c r="L1067" t="s">
        <v>313</v>
      </c>
      <c r="M1067" t="s">
        <v>7588</v>
      </c>
    </row>
    <row r="1068" spans="6:13" x14ac:dyDescent="0.25">
      <c r="F1068" t="s">
        <v>2674</v>
      </c>
      <c r="G1068" t="s">
        <v>3424</v>
      </c>
      <c r="I1068" t="s">
        <v>313</v>
      </c>
      <c r="J1068" t="s">
        <v>1401</v>
      </c>
      <c r="L1068" t="s">
        <v>253</v>
      </c>
      <c r="M1068" t="s">
        <v>7594</v>
      </c>
    </row>
    <row r="1069" spans="6:13" x14ac:dyDescent="0.25">
      <c r="F1069" t="s">
        <v>581</v>
      </c>
      <c r="G1069" t="s">
        <v>3775</v>
      </c>
      <c r="I1069" t="s">
        <v>401</v>
      </c>
      <c r="J1069" t="s">
        <v>948</v>
      </c>
      <c r="L1069" t="s">
        <v>37</v>
      </c>
      <c r="M1069" t="s">
        <v>3093</v>
      </c>
    </row>
    <row r="1070" spans="6:13" x14ac:dyDescent="0.25">
      <c r="F1070" t="s">
        <v>2359</v>
      </c>
      <c r="G1070" t="s">
        <v>4357</v>
      </c>
      <c r="I1070" t="s">
        <v>548</v>
      </c>
      <c r="J1070" t="s">
        <v>6492</v>
      </c>
      <c r="L1070" t="s">
        <v>462</v>
      </c>
      <c r="M1070" t="s">
        <v>7116</v>
      </c>
    </row>
    <row r="1071" spans="6:13" x14ac:dyDescent="0.25">
      <c r="F1071" t="s">
        <v>551</v>
      </c>
      <c r="G1071" t="s">
        <v>3290</v>
      </c>
      <c r="I1071" t="s">
        <v>5675</v>
      </c>
      <c r="J1071" t="s">
        <v>6609</v>
      </c>
      <c r="L1071" t="s">
        <v>7510</v>
      </c>
      <c r="M1071" t="s">
        <v>2271</v>
      </c>
    </row>
    <row r="1072" spans="6:13" x14ac:dyDescent="0.25">
      <c r="F1072" t="s">
        <v>484</v>
      </c>
      <c r="G1072" t="s">
        <v>5186</v>
      </c>
      <c r="I1072" t="s">
        <v>5680</v>
      </c>
      <c r="J1072" t="s">
        <v>3940</v>
      </c>
      <c r="L1072" t="s">
        <v>313</v>
      </c>
      <c r="M1072" t="s">
        <v>2097</v>
      </c>
    </row>
    <row r="1073" spans="6:13" x14ac:dyDescent="0.25">
      <c r="F1073" t="s">
        <v>2693</v>
      </c>
      <c r="G1073" t="s">
        <v>3452</v>
      </c>
      <c r="I1073" t="s">
        <v>278</v>
      </c>
      <c r="J1073" t="s">
        <v>921</v>
      </c>
      <c r="L1073" t="s">
        <v>548</v>
      </c>
      <c r="M1073" t="s">
        <v>7311</v>
      </c>
    </row>
    <row r="1074" spans="6:13" x14ac:dyDescent="0.25">
      <c r="F1074" t="s">
        <v>3861</v>
      </c>
      <c r="G1074" t="s">
        <v>4371</v>
      </c>
      <c r="I1074" t="s">
        <v>5668</v>
      </c>
      <c r="J1074" t="s">
        <v>5669</v>
      </c>
      <c r="L1074" t="s">
        <v>253</v>
      </c>
      <c r="M1074" t="s">
        <v>7740</v>
      </c>
    </row>
    <row r="1075" spans="6:13" x14ac:dyDescent="0.25">
      <c r="F1075" t="s">
        <v>548</v>
      </c>
      <c r="G1075" t="s">
        <v>4805</v>
      </c>
      <c r="I1075" t="s">
        <v>6126</v>
      </c>
      <c r="J1075" t="s">
        <v>2500</v>
      </c>
      <c r="L1075" t="s">
        <v>7687</v>
      </c>
      <c r="M1075" t="s">
        <v>1936</v>
      </c>
    </row>
    <row r="1076" spans="6:13" x14ac:dyDescent="0.25">
      <c r="F1076" t="s">
        <v>4666</v>
      </c>
      <c r="G1076" t="s">
        <v>655</v>
      </c>
      <c r="I1076" t="s">
        <v>5753</v>
      </c>
      <c r="J1076" t="s">
        <v>1045</v>
      </c>
      <c r="L1076" t="s">
        <v>254</v>
      </c>
      <c r="M1076" t="s">
        <v>7648</v>
      </c>
    </row>
    <row r="1077" spans="6:13" x14ac:dyDescent="0.25">
      <c r="F1077" t="s">
        <v>585</v>
      </c>
      <c r="G1077" t="s">
        <v>3325</v>
      </c>
      <c r="I1077" t="s">
        <v>6525</v>
      </c>
      <c r="J1077" t="s">
        <v>1466</v>
      </c>
      <c r="L1077" t="s">
        <v>309</v>
      </c>
      <c r="M1077" t="s">
        <v>7670</v>
      </c>
    </row>
    <row r="1078" spans="6:13" x14ac:dyDescent="0.25">
      <c r="F1078" t="s">
        <v>4342</v>
      </c>
      <c r="G1078" t="s">
        <v>4431</v>
      </c>
      <c r="I1078" t="s">
        <v>6135</v>
      </c>
      <c r="J1078" t="s">
        <v>6136</v>
      </c>
      <c r="L1078" t="s">
        <v>318</v>
      </c>
      <c r="M1078" t="s">
        <v>3269</v>
      </c>
    </row>
    <row r="1079" spans="6:13" x14ac:dyDescent="0.25">
      <c r="F1079" t="s">
        <v>399</v>
      </c>
      <c r="G1079" t="s">
        <v>3283</v>
      </c>
      <c r="I1079" t="s">
        <v>2745</v>
      </c>
      <c r="J1079" t="s">
        <v>2856</v>
      </c>
      <c r="L1079" t="s">
        <v>95</v>
      </c>
      <c r="M1079" t="s">
        <v>7028</v>
      </c>
    </row>
    <row r="1080" spans="6:13" x14ac:dyDescent="0.25">
      <c r="F1080" t="s">
        <v>4612</v>
      </c>
      <c r="G1080" t="s">
        <v>4613</v>
      </c>
      <c r="I1080" t="s">
        <v>254</v>
      </c>
      <c r="J1080" t="s">
        <v>6096</v>
      </c>
      <c r="L1080" t="s">
        <v>311</v>
      </c>
      <c r="M1080" t="s">
        <v>7080</v>
      </c>
    </row>
    <row r="1081" spans="6:13" x14ac:dyDescent="0.25">
      <c r="F1081" t="s">
        <v>95</v>
      </c>
      <c r="G1081" t="s">
        <v>4772</v>
      </c>
      <c r="I1081" t="s">
        <v>518</v>
      </c>
      <c r="J1081" t="s">
        <v>2892</v>
      </c>
      <c r="L1081" t="s">
        <v>548</v>
      </c>
      <c r="M1081" t="s">
        <v>2218</v>
      </c>
    </row>
    <row r="1082" spans="6:13" x14ac:dyDescent="0.25">
      <c r="F1082" t="s">
        <v>4748</v>
      </c>
      <c r="G1082" t="s">
        <v>3515</v>
      </c>
      <c r="I1082" t="s">
        <v>6389</v>
      </c>
      <c r="J1082" t="s">
        <v>6390</v>
      </c>
      <c r="L1082" t="s">
        <v>7686</v>
      </c>
      <c r="M1082" t="s">
        <v>3239</v>
      </c>
    </row>
    <row r="1083" spans="6:13" x14ac:dyDescent="0.25">
      <c r="F1083" t="s">
        <v>484</v>
      </c>
      <c r="G1083" t="s">
        <v>4604</v>
      </c>
      <c r="I1083" t="s">
        <v>3908</v>
      </c>
      <c r="J1083" t="s">
        <v>5707</v>
      </c>
      <c r="L1083" t="s">
        <v>2736</v>
      </c>
      <c r="M1083" t="s">
        <v>4214</v>
      </c>
    </row>
    <row r="1084" spans="6:13" x14ac:dyDescent="0.25">
      <c r="F1084" t="s">
        <v>2678</v>
      </c>
      <c r="G1084" t="s">
        <v>3289</v>
      </c>
      <c r="I1084" t="s">
        <v>6587</v>
      </c>
      <c r="J1084" t="s">
        <v>6588</v>
      </c>
      <c r="L1084" t="s">
        <v>3861</v>
      </c>
      <c r="M1084" t="s">
        <v>4179</v>
      </c>
    </row>
    <row r="1085" spans="6:13" x14ac:dyDescent="0.25">
      <c r="F1085" t="s">
        <v>2683</v>
      </c>
      <c r="G1085" t="s">
        <v>3608</v>
      </c>
      <c r="I1085" t="s">
        <v>3861</v>
      </c>
      <c r="J1085" t="s">
        <v>4052</v>
      </c>
      <c r="L1085" t="s">
        <v>95</v>
      </c>
      <c r="M1085" t="s">
        <v>7760</v>
      </c>
    </row>
    <row r="1086" spans="6:13" x14ac:dyDescent="0.25">
      <c r="F1086" t="s">
        <v>46</v>
      </c>
      <c r="G1086" t="s">
        <v>672</v>
      </c>
      <c r="I1086" t="s">
        <v>5262</v>
      </c>
      <c r="J1086" t="s">
        <v>793</v>
      </c>
      <c r="L1086" t="s">
        <v>7929</v>
      </c>
      <c r="M1086" t="s">
        <v>7930</v>
      </c>
    </row>
    <row r="1087" spans="6:13" x14ac:dyDescent="0.25">
      <c r="F1087" t="s">
        <v>2683</v>
      </c>
      <c r="G1087" t="s">
        <v>3714</v>
      </c>
      <c r="I1087" t="s">
        <v>313</v>
      </c>
      <c r="J1087" t="s">
        <v>1097</v>
      </c>
      <c r="L1087" t="s">
        <v>548</v>
      </c>
      <c r="M1087" t="s">
        <v>1724</v>
      </c>
    </row>
    <row r="1088" spans="6:13" x14ac:dyDescent="0.25">
      <c r="F1088" t="s">
        <v>137</v>
      </c>
      <c r="G1088" t="s">
        <v>599</v>
      </c>
      <c r="I1088" t="s">
        <v>394</v>
      </c>
      <c r="J1088" t="s">
        <v>2795</v>
      </c>
      <c r="L1088" t="s">
        <v>462</v>
      </c>
      <c r="M1088" t="s">
        <v>7185</v>
      </c>
    </row>
    <row r="1089" spans="6:13" x14ac:dyDescent="0.25">
      <c r="F1089" t="s">
        <v>2681</v>
      </c>
      <c r="G1089" t="s">
        <v>5171</v>
      </c>
      <c r="I1089" t="s">
        <v>253</v>
      </c>
      <c r="J1089" t="s">
        <v>5304</v>
      </c>
      <c r="L1089" t="s">
        <v>253</v>
      </c>
      <c r="M1089" t="s">
        <v>7199</v>
      </c>
    </row>
    <row r="1090" spans="6:13" x14ac:dyDescent="0.25">
      <c r="F1090" t="s">
        <v>37</v>
      </c>
      <c r="G1090" t="s">
        <v>5144</v>
      </c>
      <c r="I1090" t="s">
        <v>394</v>
      </c>
      <c r="J1090" t="s">
        <v>6347</v>
      </c>
      <c r="L1090" t="s">
        <v>313</v>
      </c>
      <c r="M1090" t="s">
        <v>1824</v>
      </c>
    </row>
    <row r="1091" spans="6:13" x14ac:dyDescent="0.25">
      <c r="F1091" t="s">
        <v>2774</v>
      </c>
      <c r="G1091" t="s">
        <v>3703</v>
      </c>
      <c r="I1091" t="s">
        <v>5387</v>
      </c>
      <c r="J1091" t="s">
        <v>1503</v>
      </c>
      <c r="L1091" t="s">
        <v>459</v>
      </c>
      <c r="M1091" t="s">
        <v>1860</v>
      </c>
    </row>
    <row r="1092" spans="6:13" x14ac:dyDescent="0.25">
      <c r="F1092" t="s">
        <v>4563</v>
      </c>
      <c r="G1092" t="s">
        <v>701</v>
      </c>
      <c r="I1092" t="s">
        <v>5801</v>
      </c>
      <c r="J1092" t="s">
        <v>5888</v>
      </c>
      <c r="L1092" t="s">
        <v>254</v>
      </c>
      <c r="M1092" t="s">
        <v>2050</v>
      </c>
    </row>
    <row r="1093" spans="6:13" x14ac:dyDescent="0.25">
      <c r="F1093" t="s">
        <v>95</v>
      </c>
      <c r="G1093" t="s">
        <v>4953</v>
      </c>
      <c r="I1093" t="s">
        <v>2748</v>
      </c>
      <c r="J1093" t="s">
        <v>2998</v>
      </c>
      <c r="L1093" t="s">
        <v>7445</v>
      </c>
      <c r="M1093" t="s">
        <v>1651</v>
      </c>
    </row>
    <row r="1094" spans="6:13" x14ac:dyDescent="0.25">
      <c r="F1094" t="s">
        <v>3861</v>
      </c>
      <c r="G1094" t="s">
        <v>4403</v>
      </c>
      <c r="I1094" t="s">
        <v>6300</v>
      </c>
      <c r="J1094" t="s">
        <v>1340</v>
      </c>
      <c r="L1094" t="s">
        <v>3861</v>
      </c>
      <c r="M1094" t="s">
        <v>4301</v>
      </c>
    </row>
    <row r="1095" spans="6:13" x14ac:dyDescent="0.25">
      <c r="F1095" t="s">
        <v>2674</v>
      </c>
      <c r="G1095" t="s">
        <v>3521</v>
      </c>
      <c r="I1095" t="s">
        <v>5885</v>
      </c>
      <c r="J1095" t="s">
        <v>1109</v>
      </c>
      <c r="L1095" t="s">
        <v>313</v>
      </c>
      <c r="M1095" t="s">
        <v>7241</v>
      </c>
    </row>
    <row r="1096" spans="6:13" x14ac:dyDescent="0.25">
      <c r="F1096" t="s">
        <v>399</v>
      </c>
      <c r="G1096" t="s">
        <v>737</v>
      </c>
      <c r="I1096" t="s">
        <v>289</v>
      </c>
      <c r="J1096" t="s">
        <v>2808</v>
      </c>
      <c r="L1096" t="s">
        <v>313</v>
      </c>
      <c r="M1096" t="s">
        <v>7241</v>
      </c>
    </row>
    <row r="1097" spans="6:13" x14ac:dyDescent="0.25">
      <c r="F1097" t="s">
        <v>2680</v>
      </c>
      <c r="G1097" t="s">
        <v>3602</v>
      </c>
      <c r="I1097" t="s">
        <v>2745</v>
      </c>
      <c r="J1097" t="s">
        <v>2973</v>
      </c>
      <c r="L1097" t="s">
        <v>356</v>
      </c>
      <c r="M1097" t="s">
        <v>7862</v>
      </c>
    </row>
    <row r="1098" spans="6:13" x14ac:dyDescent="0.25">
      <c r="F1098" t="s">
        <v>2682</v>
      </c>
      <c r="G1098" t="s">
        <v>3599</v>
      </c>
      <c r="I1098" t="s">
        <v>3896</v>
      </c>
      <c r="J1098" t="s">
        <v>4089</v>
      </c>
      <c r="L1098" t="s">
        <v>462</v>
      </c>
      <c r="M1098" t="s">
        <v>6990</v>
      </c>
    </row>
    <row r="1099" spans="6:13" x14ac:dyDescent="0.25">
      <c r="F1099" t="s">
        <v>2774</v>
      </c>
      <c r="G1099" t="s">
        <v>3461</v>
      </c>
      <c r="I1099" t="s">
        <v>356</v>
      </c>
      <c r="J1099" t="s">
        <v>4055</v>
      </c>
      <c r="L1099" t="s">
        <v>6914</v>
      </c>
      <c r="M1099" t="s">
        <v>4219</v>
      </c>
    </row>
    <row r="1100" spans="6:13" x14ac:dyDescent="0.25">
      <c r="F1100" t="s">
        <v>484</v>
      </c>
      <c r="G1100" t="s">
        <v>3649</v>
      </c>
      <c r="I1100" t="s">
        <v>6219</v>
      </c>
      <c r="J1100" t="s">
        <v>6220</v>
      </c>
      <c r="L1100" t="s">
        <v>459</v>
      </c>
      <c r="M1100" t="s">
        <v>2006</v>
      </c>
    </row>
    <row r="1101" spans="6:13" x14ac:dyDescent="0.25">
      <c r="F1101" t="s">
        <v>122</v>
      </c>
      <c r="G1101" t="s">
        <v>3405</v>
      </c>
      <c r="I1101" t="s">
        <v>37</v>
      </c>
      <c r="J1101" t="s">
        <v>2474</v>
      </c>
      <c r="L1101" t="s">
        <v>280</v>
      </c>
      <c r="M1101" t="s">
        <v>3151</v>
      </c>
    </row>
    <row r="1102" spans="6:13" x14ac:dyDescent="0.25">
      <c r="F1102" t="s">
        <v>2685</v>
      </c>
      <c r="G1102" t="s">
        <v>3411</v>
      </c>
      <c r="I1102" t="s">
        <v>5412</v>
      </c>
      <c r="J1102" t="s">
        <v>874</v>
      </c>
      <c r="L1102" t="s">
        <v>37</v>
      </c>
      <c r="M1102" t="s">
        <v>7798</v>
      </c>
    </row>
    <row r="1103" spans="6:13" x14ac:dyDescent="0.25">
      <c r="F1103" t="s">
        <v>548</v>
      </c>
      <c r="G1103" t="s">
        <v>4717</v>
      </c>
      <c r="I1103" t="s">
        <v>254</v>
      </c>
      <c r="J1103" t="s">
        <v>1438</v>
      </c>
      <c r="L1103" t="s">
        <v>548</v>
      </c>
      <c r="M1103" t="s">
        <v>2116</v>
      </c>
    </row>
    <row r="1104" spans="6:13" x14ac:dyDescent="0.25">
      <c r="F1104" t="s">
        <v>37</v>
      </c>
      <c r="G1104" t="s">
        <v>4963</v>
      </c>
      <c r="I1104" t="s">
        <v>2748</v>
      </c>
      <c r="J1104" t="s">
        <v>2894</v>
      </c>
      <c r="L1104" t="s">
        <v>392</v>
      </c>
      <c r="M1104" t="s">
        <v>3118</v>
      </c>
    </row>
    <row r="1105" spans="6:13" x14ac:dyDescent="0.25">
      <c r="F1105" t="s">
        <v>2745</v>
      </c>
      <c r="G1105" t="s">
        <v>3689</v>
      </c>
      <c r="I1105" t="s">
        <v>63</v>
      </c>
      <c r="J1105" t="s">
        <v>2511</v>
      </c>
      <c r="L1105" t="s">
        <v>2748</v>
      </c>
      <c r="M1105" t="s">
        <v>3110</v>
      </c>
    </row>
    <row r="1106" spans="6:13" x14ac:dyDescent="0.25">
      <c r="F1106" t="s">
        <v>4925</v>
      </c>
      <c r="G1106" t="s">
        <v>4926</v>
      </c>
      <c r="I1106" t="s">
        <v>394</v>
      </c>
      <c r="J1106" t="s">
        <v>5583</v>
      </c>
      <c r="L1106" t="s">
        <v>7503</v>
      </c>
      <c r="M1106" t="s">
        <v>7504</v>
      </c>
    </row>
    <row r="1107" spans="6:13" x14ac:dyDescent="0.25">
      <c r="F1107" t="s">
        <v>5127</v>
      </c>
      <c r="G1107" t="s">
        <v>3501</v>
      </c>
      <c r="I1107" t="s">
        <v>5636</v>
      </c>
      <c r="J1107" t="s">
        <v>5637</v>
      </c>
      <c r="L1107" t="s">
        <v>289</v>
      </c>
      <c r="M1107" t="s">
        <v>7661</v>
      </c>
    </row>
    <row r="1108" spans="6:13" x14ac:dyDescent="0.25">
      <c r="F1108" t="s">
        <v>2774</v>
      </c>
      <c r="G1108" t="s">
        <v>3437</v>
      </c>
      <c r="I1108" t="s">
        <v>3861</v>
      </c>
      <c r="J1108" t="s">
        <v>3960</v>
      </c>
      <c r="L1108" t="s">
        <v>48</v>
      </c>
      <c r="M1108" t="s">
        <v>7357</v>
      </c>
    </row>
    <row r="1109" spans="6:13" x14ac:dyDescent="0.25">
      <c r="F1109" t="s">
        <v>37</v>
      </c>
      <c r="G1109" t="s">
        <v>5148</v>
      </c>
      <c r="I1109" t="s">
        <v>5753</v>
      </c>
      <c r="J1109" t="s">
        <v>1366</v>
      </c>
      <c r="L1109" t="s">
        <v>46</v>
      </c>
      <c r="M1109" t="s">
        <v>7977</v>
      </c>
    </row>
    <row r="1110" spans="6:13" x14ac:dyDescent="0.25">
      <c r="F1110" t="s">
        <v>37</v>
      </c>
      <c r="G1110" t="s">
        <v>5193</v>
      </c>
      <c r="I1110" t="s">
        <v>5872</v>
      </c>
      <c r="J1110" t="s">
        <v>5873</v>
      </c>
      <c r="L1110" t="s">
        <v>122</v>
      </c>
      <c r="M1110" t="s">
        <v>7893</v>
      </c>
    </row>
    <row r="1111" spans="6:13" x14ac:dyDescent="0.25">
      <c r="F1111" t="s">
        <v>4342</v>
      </c>
      <c r="G1111" t="s">
        <v>4343</v>
      </c>
      <c r="I1111" t="s">
        <v>2739</v>
      </c>
      <c r="J1111" t="s">
        <v>6648</v>
      </c>
      <c r="L1111" t="s">
        <v>37</v>
      </c>
      <c r="M1111" t="s">
        <v>1711</v>
      </c>
    </row>
    <row r="1112" spans="6:13" x14ac:dyDescent="0.25">
      <c r="F1112" t="s">
        <v>37</v>
      </c>
      <c r="G1112" t="s">
        <v>4529</v>
      </c>
      <c r="I1112" t="s">
        <v>90</v>
      </c>
      <c r="J1112" t="s">
        <v>1200</v>
      </c>
      <c r="L1112" t="s">
        <v>280</v>
      </c>
      <c r="M1112" t="s">
        <v>7876</v>
      </c>
    </row>
    <row r="1113" spans="6:13" x14ac:dyDescent="0.25">
      <c r="F1113" t="s">
        <v>2748</v>
      </c>
      <c r="G1113" t="s">
        <v>3622</v>
      </c>
      <c r="I1113" t="s">
        <v>318</v>
      </c>
      <c r="J1113" t="s">
        <v>6750</v>
      </c>
      <c r="L1113" t="s">
        <v>2359</v>
      </c>
      <c r="M1113" t="s">
        <v>4281</v>
      </c>
    </row>
    <row r="1114" spans="6:13" x14ac:dyDescent="0.25">
      <c r="F1114" t="s">
        <v>4342</v>
      </c>
      <c r="G1114" t="s">
        <v>4367</v>
      </c>
      <c r="I1114" t="s">
        <v>254</v>
      </c>
      <c r="J1114" t="s">
        <v>8001</v>
      </c>
      <c r="L1114" t="s">
        <v>459</v>
      </c>
      <c r="M1114" t="s">
        <v>7718</v>
      </c>
    </row>
    <row r="1115" spans="6:13" x14ac:dyDescent="0.25">
      <c r="F1115" t="s">
        <v>4523</v>
      </c>
      <c r="G1115" t="s">
        <v>4705</v>
      </c>
      <c r="I1115" t="s">
        <v>254</v>
      </c>
      <c r="J1115" t="s">
        <v>1522</v>
      </c>
      <c r="L1115" t="s">
        <v>7253</v>
      </c>
      <c r="M1115" t="s">
        <v>7254</v>
      </c>
    </row>
    <row r="1116" spans="6:13" x14ac:dyDescent="0.25">
      <c r="F1116" t="s">
        <v>2752</v>
      </c>
      <c r="G1116" t="s">
        <v>3620</v>
      </c>
      <c r="I1116" t="s">
        <v>5315</v>
      </c>
      <c r="J1116" t="s">
        <v>1248</v>
      </c>
      <c r="L1116" t="s">
        <v>392</v>
      </c>
      <c r="M1116" t="s">
        <v>3199</v>
      </c>
    </row>
    <row r="1117" spans="6:13" x14ac:dyDescent="0.25">
      <c r="F1117" t="s">
        <v>2674</v>
      </c>
      <c r="G1117" t="s">
        <v>3473</v>
      </c>
      <c r="I1117" t="s">
        <v>5529</v>
      </c>
      <c r="J1117" t="s">
        <v>6028</v>
      </c>
      <c r="L1117" t="s">
        <v>462</v>
      </c>
      <c r="M1117" t="s">
        <v>2208</v>
      </c>
    </row>
    <row r="1118" spans="6:13" x14ac:dyDescent="0.25">
      <c r="F1118" t="s">
        <v>484</v>
      </c>
      <c r="G1118" t="s">
        <v>3449</v>
      </c>
      <c r="I1118" t="s">
        <v>254</v>
      </c>
      <c r="J1118" t="s">
        <v>6324</v>
      </c>
      <c r="L1118" t="s">
        <v>462</v>
      </c>
      <c r="M1118" t="s">
        <v>7913</v>
      </c>
    </row>
    <row r="1119" spans="6:13" x14ac:dyDescent="0.25">
      <c r="F1119" t="s">
        <v>2774</v>
      </c>
      <c r="G1119" t="s">
        <v>3306</v>
      </c>
      <c r="I1119" t="s">
        <v>95</v>
      </c>
      <c r="J1119" t="s">
        <v>5620</v>
      </c>
      <c r="L1119" t="s">
        <v>300</v>
      </c>
      <c r="M1119" t="s">
        <v>7180</v>
      </c>
    </row>
    <row r="1120" spans="6:13" x14ac:dyDescent="0.25">
      <c r="F1120" t="s">
        <v>2750</v>
      </c>
      <c r="G1120" t="s">
        <v>3460</v>
      </c>
      <c r="I1120" t="s">
        <v>5994</v>
      </c>
      <c r="J1120" t="s">
        <v>6248</v>
      </c>
      <c r="L1120" t="s">
        <v>37</v>
      </c>
      <c r="M1120" t="s">
        <v>1845</v>
      </c>
    </row>
    <row r="1121" spans="6:13" x14ac:dyDescent="0.25">
      <c r="F1121" t="s">
        <v>4757</v>
      </c>
      <c r="G1121" t="s">
        <v>3526</v>
      </c>
      <c r="I1121" t="s">
        <v>5296</v>
      </c>
      <c r="J1121" t="s">
        <v>5421</v>
      </c>
      <c r="L1121" t="s">
        <v>4751</v>
      </c>
      <c r="M1121" t="s">
        <v>3146</v>
      </c>
    </row>
    <row r="1122" spans="6:13" x14ac:dyDescent="0.25">
      <c r="F1122" t="s">
        <v>419</v>
      </c>
      <c r="G1122" t="s">
        <v>4752</v>
      </c>
      <c r="I1122" t="s">
        <v>95</v>
      </c>
      <c r="J1122" t="s">
        <v>6112</v>
      </c>
      <c r="L1122" t="s">
        <v>37</v>
      </c>
      <c r="M1122" t="s">
        <v>7836</v>
      </c>
    </row>
    <row r="1123" spans="6:13" x14ac:dyDescent="0.25">
      <c r="F1123" t="s">
        <v>4436</v>
      </c>
      <c r="G1123" t="s">
        <v>4536</v>
      </c>
      <c r="I1123" t="s">
        <v>5432</v>
      </c>
      <c r="J1123" t="s">
        <v>880</v>
      </c>
      <c r="L1123" t="s">
        <v>313</v>
      </c>
      <c r="M1123" t="s">
        <v>7015</v>
      </c>
    </row>
    <row r="1124" spans="6:13" x14ac:dyDescent="0.25">
      <c r="F1124" t="s">
        <v>4519</v>
      </c>
      <c r="G1124" t="s">
        <v>713</v>
      </c>
      <c r="I1124" t="s">
        <v>2359</v>
      </c>
      <c r="J1124" t="s">
        <v>6530</v>
      </c>
      <c r="L1124" t="s">
        <v>313</v>
      </c>
      <c r="M1124" t="s">
        <v>7015</v>
      </c>
    </row>
    <row r="1125" spans="6:13" x14ac:dyDescent="0.25">
      <c r="F1125" t="s">
        <v>2774</v>
      </c>
      <c r="G1125" t="s">
        <v>3646</v>
      </c>
      <c r="I1125" t="s">
        <v>63</v>
      </c>
      <c r="J1125" t="s">
        <v>3982</v>
      </c>
      <c r="L1125" t="s">
        <v>36</v>
      </c>
      <c r="M1125" t="s">
        <v>7681</v>
      </c>
    </row>
    <row r="1126" spans="6:13" x14ac:dyDescent="0.25">
      <c r="F1126" t="s">
        <v>2752</v>
      </c>
      <c r="G1126" t="s">
        <v>738</v>
      </c>
      <c r="I1126" t="s">
        <v>254</v>
      </c>
      <c r="J1126" t="s">
        <v>1385</v>
      </c>
      <c r="L1126" t="s">
        <v>6413</v>
      </c>
      <c r="M1126" t="s">
        <v>3268</v>
      </c>
    </row>
    <row r="1127" spans="6:13" x14ac:dyDescent="0.25">
      <c r="F1127" t="s">
        <v>37</v>
      </c>
      <c r="G1127" t="s">
        <v>5099</v>
      </c>
      <c r="I1127" t="s">
        <v>5321</v>
      </c>
      <c r="J1127" t="s">
        <v>6718</v>
      </c>
      <c r="L1127" t="s">
        <v>37</v>
      </c>
      <c r="M1127" t="s">
        <v>2133</v>
      </c>
    </row>
    <row r="1128" spans="6:13" x14ac:dyDescent="0.25">
      <c r="F1128" t="s">
        <v>336</v>
      </c>
      <c r="G1128" t="s">
        <v>768</v>
      </c>
      <c r="I1128" t="s">
        <v>6298</v>
      </c>
      <c r="J1128" t="s">
        <v>6299</v>
      </c>
      <c r="L1128" t="s">
        <v>36</v>
      </c>
      <c r="M1128" t="s">
        <v>7271</v>
      </c>
    </row>
    <row r="1129" spans="6:13" x14ac:dyDescent="0.25">
      <c r="F1129" t="s">
        <v>4523</v>
      </c>
      <c r="G1129" t="s">
        <v>4855</v>
      </c>
      <c r="I1129" t="s">
        <v>394</v>
      </c>
      <c r="J1129" t="s">
        <v>6050</v>
      </c>
      <c r="L1129" t="s">
        <v>2727</v>
      </c>
      <c r="M1129" t="s">
        <v>7286</v>
      </c>
    </row>
    <row r="1130" spans="6:13" x14ac:dyDescent="0.25">
      <c r="F1130" t="s">
        <v>484</v>
      </c>
      <c r="G1130" t="s">
        <v>740</v>
      </c>
      <c r="I1130" t="s">
        <v>318</v>
      </c>
      <c r="J1130" t="s">
        <v>6192</v>
      </c>
      <c r="L1130" t="s">
        <v>36</v>
      </c>
      <c r="M1130" t="s">
        <v>3164</v>
      </c>
    </row>
    <row r="1131" spans="6:13" x14ac:dyDescent="0.25">
      <c r="F1131" t="s">
        <v>3861</v>
      </c>
      <c r="G1131" t="s">
        <v>4351</v>
      </c>
      <c r="I1131" t="s">
        <v>5371</v>
      </c>
      <c r="J1131" t="s">
        <v>3898</v>
      </c>
      <c r="L1131" t="s">
        <v>3861</v>
      </c>
      <c r="M1131" t="s">
        <v>4178</v>
      </c>
    </row>
    <row r="1132" spans="6:13" x14ac:dyDescent="0.25">
      <c r="F1132" t="s">
        <v>46</v>
      </c>
      <c r="G1132" t="s">
        <v>3799</v>
      </c>
      <c r="I1132" t="s">
        <v>123</v>
      </c>
      <c r="J1132" t="s">
        <v>5360</v>
      </c>
      <c r="L1132" t="s">
        <v>37</v>
      </c>
      <c r="M1132" t="s">
        <v>6936</v>
      </c>
    </row>
    <row r="1133" spans="6:13" x14ac:dyDescent="0.25">
      <c r="F1133" t="s">
        <v>548</v>
      </c>
      <c r="G1133" t="s">
        <v>748</v>
      </c>
      <c r="I1133" t="s">
        <v>3908</v>
      </c>
      <c r="J1133" t="s">
        <v>5435</v>
      </c>
      <c r="L1133" t="s">
        <v>462</v>
      </c>
      <c r="M1133" t="s">
        <v>1722</v>
      </c>
    </row>
    <row r="1134" spans="6:13" x14ac:dyDescent="0.25">
      <c r="F1134" t="s">
        <v>2774</v>
      </c>
      <c r="G1134" t="s">
        <v>3334</v>
      </c>
      <c r="I1134" t="s">
        <v>5310</v>
      </c>
      <c r="J1134" t="s">
        <v>6480</v>
      </c>
      <c r="L1134" t="s">
        <v>548</v>
      </c>
      <c r="M1134" t="s">
        <v>7667</v>
      </c>
    </row>
    <row r="1135" spans="6:13" x14ac:dyDescent="0.25">
      <c r="F1135" t="s">
        <v>4438</v>
      </c>
      <c r="G1135" t="s">
        <v>4533</v>
      </c>
      <c r="I1135" t="s">
        <v>5801</v>
      </c>
      <c r="J1135" t="s">
        <v>5928</v>
      </c>
      <c r="L1135" t="s">
        <v>419</v>
      </c>
      <c r="M1135" t="s">
        <v>1986</v>
      </c>
    </row>
    <row r="1136" spans="6:13" x14ac:dyDescent="0.25">
      <c r="F1136" t="s">
        <v>4342</v>
      </c>
      <c r="G1136" t="s">
        <v>4352</v>
      </c>
      <c r="I1136" t="s">
        <v>2739</v>
      </c>
      <c r="J1136" t="s">
        <v>2867</v>
      </c>
      <c r="L1136" t="s">
        <v>6892</v>
      </c>
      <c r="M1136" t="s">
        <v>6893</v>
      </c>
    </row>
    <row r="1137" spans="6:13" x14ac:dyDescent="0.25">
      <c r="F1137" t="s">
        <v>5121</v>
      </c>
      <c r="G1137" t="s">
        <v>5122</v>
      </c>
      <c r="I1137" t="s">
        <v>254</v>
      </c>
      <c r="J1137" t="s">
        <v>5670</v>
      </c>
      <c r="L1137" t="s">
        <v>459</v>
      </c>
      <c r="M1137" t="s">
        <v>2083</v>
      </c>
    </row>
    <row r="1138" spans="6:13" x14ac:dyDescent="0.25">
      <c r="F1138" t="s">
        <v>419</v>
      </c>
      <c r="G1138" t="s">
        <v>4703</v>
      </c>
      <c r="I1138" t="s">
        <v>5644</v>
      </c>
      <c r="J1138" t="s">
        <v>2477</v>
      </c>
      <c r="L1138" t="s">
        <v>37</v>
      </c>
      <c r="M1138" t="s">
        <v>7911</v>
      </c>
    </row>
    <row r="1139" spans="6:13" x14ac:dyDescent="0.25">
      <c r="F1139" t="s">
        <v>37</v>
      </c>
      <c r="G1139" t="s">
        <v>5202</v>
      </c>
      <c r="I1139" t="s">
        <v>6627</v>
      </c>
      <c r="J1139" t="s">
        <v>4095</v>
      </c>
      <c r="L1139" t="s">
        <v>4168</v>
      </c>
      <c r="M1139" t="s">
        <v>4186</v>
      </c>
    </row>
    <row r="1140" spans="6:13" x14ac:dyDescent="0.25">
      <c r="F1140" t="s">
        <v>4523</v>
      </c>
      <c r="G1140" t="s">
        <v>4841</v>
      </c>
      <c r="I1140" t="s">
        <v>5529</v>
      </c>
      <c r="J1140" t="s">
        <v>5684</v>
      </c>
      <c r="L1140" t="s">
        <v>95</v>
      </c>
      <c r="M1140" t="s">
        <v>6951</v>
      </c>
    </row>
    <row r="1141" spans="6:13" x14ac:dyDescent="0.25">
      <c r="F1141" t="s">
        <v>2674</v>
      </c>
      <c r="G1141" t="s">
        <v>3470</v>
      </c>
      <c r="I1141" t="s">
        <v>123</v>
      </c>
      <c r="J1141" t="s">
        <v>6169</v>
      </c>
      <c r="L1141" t="s">
        <v>37</v>
      </c>
      <c r="M1141" t="s">
        <v>7815</v>
      </c>
    </row>
    <row r="1142" spans="6:13" x14ac:dyDescent="0.25">
      <c r="F1142" t="s">
        <v>4908</v>
      </c>
      <c r="G1142" t="s">
        <v>4909</v>
      </c>
      <c r="I1142" t="s">
        <v>6571</v>
      </c>
      <c r="J1142" t="s">
        <v>1492</v>
      </c>
      <c r="L1142" t="s">
        <v>2727</v>
      </c>
      <c r="M1142" t="s">
        <v>7899</v>
      </c>
    </row>
    <row r="1143" spans="6:13" x14ac:dyDescent="0.25">
      <c r="F1143" t="s">
        <v>2669</v>
      </c>
      <c r="G1143" t="s">
        <v>3478</v>
      </c>
      <c r="I1143" t="s">
        <v>6272</v>
      </c>
      <c r="J1143" t="s">
        <v>1323</v>
      </c>
      <c r="L1143" t="s">
        <v>4168</v>
      </c>
      <c r="M1143" t="s">
        <v>4299</v>
      </c>
    </row>
    <row r="1144" spans="6:13" x14ac:dyDescent="0.25">
      <c r="F1144" t="s">
        <v>3861</v>
      </c>
      <c r="G1144" t="s">
        <v>4399</v>
      </c>
      <c r="I1144" t="s">
        <v>356</v>
      </c>
      <c r="J1144" t="s">
        <v>3993</v>
      </c>
      <c r="L1144" t="s">
        <v>6937</v>
      </c>
      <c r="M1144" t="s">
        <v>6938</v>
      </c>
    </row>
    <row r="1145" spans="6:13" x14ac:dyDescent="0.25">
      <c r="F1145" t="s">
        <v>2677</v>
      </c>
      <c r="G1145" t="s">
        <v>3317</v>
      </c>
      <c r="I1145" t="s">
        <v>6024</v>
      </c>
      <c r="J1145" t="s">
        <v>6025</v>
      </c>
      <c r="L1145" t="s">
        <v>7811</v>
      </c>
      <c r="M1145" t="s">
        <v>7812</v>
      </c>
    </row>
    <row r="1146" spans="6:13" x14ac:dyDescent="0.25">
      <c r="F1146" t="s">
        <v>37</v>
      </c>
      <c r="G1146" t="s">
        <v>5201</v>
      </c>
      <c r="I1146" t="s">
        <v>47</v>
      </c>
      <c r="J1146" t="s">
        <v>1581</v>
      </c>
      <c r="L1146" t="s">
        <v>548</v>
      </c>
      <c r="M1146" t="s">
        <v>3150</v>
      </c>
    </row>
    <row r="1147" spans="6:13" x14ac:dyDescent="0.25">
      <c r="F1147" t="s">
        <v>95</v>
      </c>
      <c r="G1147" t="s">
        <v>4718</v>
      </c>
      <c r="I1147" t="s">
        <v>39</v>
      </c>
      <c r="J1147" t="s">
        <v>5958</v>
      </c>
      <c r="L1147" t="s">
        <v>95</v>
      </c>
      <c r="M1147" t="s">
        <v>7284</v>
      </c>
    </row>
    <row r="1148" spans="6:13" x14ac:dyDescent="0.25">
      <c r="F1148" t="s">
        <v>5163</v>
      </c>
      <c r="G1148" t="s">
        <v>729</v>
      </c>
      <c r="I1148" t="s">
        <v>6337</v>
      </c>
      <c r="J1148" t="s">
        <v>1361</v>
      </c>
      <c r="L1148" t="s">
        <v>548</v>
      </c>
      <c r="M1148" t="s">
        <v>7289</v>
      </c>
    </row>
    <row r="1149" spans="6:13" x14ac:dyDescent="0.25">
      <c r="F1149" t="s">
        <v>5184</v>
      </c>
      <c r="G1149" t="s">
        <v>729</v>
      </c>
      <c r="I1149" t="s">
        <v>95</v>
      </c>
      <c r="J1149" t="s">
        <v>6181</v>
      </c>
      <c r="L1149" t="s">
        <v>36</v>
      </c>
      <c r="M1149" t="s">
        <v>7592</v>
      </c>
    </row>
    <row r="1150" spans="6:13" x14ac:dyDescent="0.25">
      <c r="F1150" t="s">
        <v>4436</v>
      </c>
      <c r="G1150" t="s">
        <v>4569</v>
      </c>
      <c r="I1150" t="s">
        <v>313</v>
      </c>
      <c r="J1150" t="s">
        <v>903</v>
      </c>
      <c r="L1150" t="s">
        <v>46</v>
      </c>
      <c r="M1150" t="s">
        <v>2355</v>
      </c>
    </row>
    <row r="1151" spans="6:13" x14ac:dyDescent="0.25">
      <c r="F1151" t="s">
        <v>37</v>
      </c>
      <c r="G1151" t="s">
        <v>5056</v>
      </c>
      <c r="I1151" t="s">
        <v>5951</v>
      </c>
      <c r="J1151" t="s">
        <v>1464</v>
      </c>
      <c r="L1151" t="s">
        <v>37</v>
      </c>
      <c r="M1151" t="s">
        <v>7482</v>
      </c>
    </row>
    <row r="1152" spans="6:13" x14ac:dyDescent="0.25">
      <c r="F1152" t="s">
        <v>548</v>
      </c>
      <c r="G1152" t="s">
        <v>4839</v>
      </c>
      <c r="I1152" t="s">
        <v>254</v>
      </c>
      <c r="J1152" t="s">
        <v>3913</v>
      </c>
      <c r="L1152" t="s">
        <v>2727</v>
      </c>
      <c r="M1152" t="s">
        <v>7111</v>
      </c>
    </row>
    <row r="1153" spans="6:13" x14ac:dyDescent="0.25">
      <c r="F1153" t="s">
        <v>95</v>
      </c>
      <c r="G1153" t="s">
        <v>5000</v>
      </c>
      <c r="I1153" t="s">
        <v>254</v>
      </c>
      <c r="J1153" t="s">
        <v>5443</v>
      </c>
      <c r="L1153" t="s">
        <v>46</v>
      </c>
      <c r="M1153" t="s">
        <v>2070</v>
      </c>
    </row>
    <row r="1154" spans="6:13" x14ac:dyDescent="0.25">
      <c r="F1154" t="s">
        <v>2675</v>
      </c>
      <c r="G1154" t="s">
        <v>3532</v>
      </c>
      <c r="I1154" t="s">
        <v>95</v>
      </c>
      <c r="J1154" t="s">
        <v>6196</v>
      </c>
      <c r="L1154" t="s">
        <v>1</v>
      </c>
      <c r="M1154" t="s">
        <v>7641</v>
      </c>
    </row>
    <row r="1155" spans="6:13" x14ac:dyDescent="0.25">
      <c r="F1155" t="s">
        <v>2669</v>
      </c>
      <c r="G1155" t="s">
        <v>3279</v>
      </c>
      <c r="I1155" t="s">
        <v>2748</v>
      </c>
      <c r="J1155" t="s">
        <v>2789</v>
      </c>
      <c r="L1155" t="s">
        <v>37</v>
      </c>
      <c r="M1155" t="s">
        <v>7652</v>
      </c>
    </row>
    <row r="1156" spans="6:13" x14ac:dyDescent="0.25">
      <c r="F1156" t="s">
        <v>4691</v>
      </c>
      <c r="G1156" t="s">
        <v>4692</v>
      </c>
      <c r="I1156" t="s">
        <v>2748</v>
      </c>
      <c r="J1156" t="s">
        <v>7993</v>
      </c>
      <c r="L1156" t="s">
        <v>548</v>
      </c>
      <c r="M1156" t="s">
        <v>7665</v>
      </c>
    </row>
    <row r="1157" spans="6:13" x14ac:dyDescent="0.25">
      <c r="F1157" t="s">
        <v>2677</v>
      </c>
      <c r="G1157" t="s">
        <v>3378</v>
      </c>
      <c r="I1157" t="s">
        <v>4438</v>
      </c>
      <c r="J1157" t="s">
        <v>5967</v>
      </c>
      <c r="L1157" t="s">
        <v>393</v>
      </c>
      <c r="M1157" t="s">
        <v>7571</v>
      </c>
    </row>
    <row r="1158" spans="6:13" x14ac:dyDescent="0.25">
      <c r="F1158" t="s">
        <v>401</v>
      </c>
      <c r="G1158" t="s">
        <v>686</v>
      </c>
      <c r="I1158" t="s">
        <v>3861</v>
      </c>
      <c r="J1158" t="s">
        <v>4117</v>
      </c>
      <c r="L1158" t="s">
        <v>37</v>
      </c>
      <c r="M1158" t="s">
        <v>6958</v>
      </c>
    </row>
    <row r="1159" spans="6:13" x14ac:dyDescent="0.25">
      <c r="F1159" t="s">
        <v>2682</v>
      </c>
      <c r="G1159" t="s">
        <v>3343</v>
      </c>
      <c r="I1159" t="s">
        <v>37</v>
      </c>
      <c r="J1159" t="s">
        <v>1429</v>
      </c>
      <c r="L1159" t="s">
        <v>459</v>
      </c>
      <c r="M1159" t="s">
        <v>2291</v>
      </c>
    </row>
    <row r="1160" spans="6:13" x14ac:dyDescent="0.25">
      <c r="F1160" t="s">
        <v>2678</v>
      </c>
      <c r="G1160" t="s">
        <v>3793</v>
      </c>
      <c r="I1160" t="s">
        <v>6531</v>
      </c>
      <c r="J1160" t="s">
        <v>6532</v>
      </c>
      <c r="L1160" t="s">
        <v>2733</v>
      </c>
      <c r="M1160" t="s">
        <v>3139</v>
      </c>
    </row>
    <row r="1161" spans="6:13" x14ac:dyDescent="0.25">
      <c r="F1161" t="s">
        <v>4779</v>
      </c>
      <c r="G1161" t="s">
        <v>4780</v>
      </c>
      <c r="I1161" t="s">
        <v>393</v>
      </c>
      <c r="J1161" t="s">
        <v>5411</v>
      </c>
      <c r="L1161" t="s">
        <v>2733</v>
      </c>
      <c r="M1161" t="s">
        <v>3161</v>
      </c>
    </row>
    <row r="1162" spans="6:13" x14ac:dyDescent="0.25">
      <c r="F1162" t="s">
        <v>4974</v>
      </c>
      <c r="G1162" t="s">
        <v>4975</v>
      </c>
      <c r="I1162" t="s">
        <v>36</v>
      </c>
      <c r="J1162" t="s">
        <v>5439</v>
      </c>
      <c r="L1162" t="s">
        <v>36</v>
      </c>
      <c r="M1162" t="s">
        <v>7403</v>
      </c>
    </row>
    <row r="1163" spans="6:13" x14ac:dyDescent="0.25">
      <c r="F1163" t="s">
        <v>46</v>
      </c>
      <c r="G1163" t="s">
        <v>3589</v>
      </c>
      <c r="I1163" t="s">
        <v>5858</v>
      </c>
      <c r="J1163" t="s">
        <v>1095</v>
      </c>
      <c r="L1163" t="s">
        <v>2748</v>
      </c>
      <c r="M1163" t="s">
        <v>3142</v>
      </c>
    </row>
    <row r="1164" spans="6:13" x14ac:dyDescent="0.25">
      <c r="F1164" t="s">
        <v>5134</v>
      </c>
      <c r="G1164" t="s">
        <v>3517</v>
      </c>
      <c r="I1164" t="s">
        <v>315</v>
      </c>
      <c r="J1164" t="s">
        <v>2471</v>
      </c>
      <c r="L1164" t="s">
        <v>37</v>
      </c>
      <c r="M1164" t="s">
        <v>2099</v>
      </c>
    </row>
    <row r="1165" spans="6:13" x14ac:dyDescent="0.25">
      <c r="F1165" t="s">
        <v>4342</v>
      </c>
      <c r="G1165" t="s">
        <v>4396</v>
      </c>
      <c r="I1165" t="s">
        <v>5623</v>
      </c>
      <c r="J1165" t="s">
        <v>6775</v>
      </c>
      <c r="L1165" t="s">
        <v>253</v>
      </c>
      <c r="M1165" t="s">
        <v>2176</v>
      </c>
    </row>
    <row r="1166" spans="6:13" x14ac:dyDescent="0.25">
      <c r="F1166" t="s">
        <v>2774</v>
      </c>
      <c r="G1166" t="s">
        <v>3536</v>
      </c>
      <c r="I1166" t="s">
        <v>6163</v>
      </c>
      <c r="J1166" t="s">
        <v>6164</v>
      </c>
      <c r="L1166" t="s">
        <v>445</v>
      </c>
      <c r="M1166" t="s">
        <v>1966</v>
      </c>
    </row>
    <row r="1167" spans="6:13" x14ac:dyDescent="0.25">
      <c r="F1167" t="s">
        <v>4761</v>
      </c>
      <c r="G1167" t="s">
        <v>4762</v>
      </c>
      <c r="I1167" t="s">
        <v>392</v>
      </c>
      <c r="J1167" t="s">
        <v>2519</v>
      </c>
      <c r="L1167" t="s">
        <v>548</v>
      </c>
      <c r="M1167" t="s">
        <v>6906</v>
      </c>
    </row>
    <row r="1168" spans="6:13" x14ac:dyDescent="0.25">
      <c r="F1168" t="s">
        <v>37</v>
      </c>
      <c r="G1168" t="s">
        <v>5084</v>
      </c>
      <c r="I1168" t="s">
        <v>394</v>
      </c>
      <c r="J1168" t="s">
        <v>2995</v>
      </c>
      <c r="L1168" t="s">
        <v>254</v>
      </c>
      <c r="M1168" t="s">
        <v>1685</v>
      </c>
    </row>
    <row r="1169" spans="6:13" x14ac:dyDescent="0.25">
      <c r="F1169" t="s">
        <v>95</v>
      </c>
      <c r="G1169" t="s">
        <v>636</v>
      </c>
      <c r="I1169" t="s">
        <v>5417</v>
      </c>
      <c r="J1169" t="s">
        <v>876</v>
      </c>
      <c r="L1169" t="s">
        <v>1</v>
      </c>
      <c r="M1169" t="s">
        <v>7112</v>
      </c>
    </row>
    <row r="1170" spans="6:13" x14ac:dyDescent="0.25">
      <c r="F1170" t="s">
        <v>4562</v>
      </c>
      <c r="G1170" t="s">
        <v>614</v>
      </c>
      <c r="I1170" t="s">
        <v>47</v>
      </c>
      <c r="J1170" t="s">
        <v>810</v>
      </c>
      <c r="L1170" t="s">
        <v>37</v>
      </c>
      <c r="M1170" t="s">
        <v>7950</v>
      </c>
    </row>
    <row r="1171" spans="6:13" x14ac:dyDescent="0.25">
      <c r="F1171" t="s">
        <v>2748</v>
      </c>
      <c r="G1171" t="s">
        <v>3361</v>
      </c>
      <c r="I1171" t="s">
        <v>39</v>
      </c>
      <c r="J1171" t="s">
        <v>5929</v>
      </c>
      <c r="L1171" t="s">
        <v>7077</v>
      </c>
      <c r="M1171" t="s">
        <v>3113</v>
      </c>
    </row>
    <row r="1172" spans="6:13" x14ac:dyDescent="0.25">
      <c r="F1172" t="s">
        <v>2774</v>
      </c>
      <c r="G1172" t="s">
        <v>3692</v>
      </c>
      <c r="I1172" t="s">
        <v>5296</v>
      </c>
      <c r="J1172" t="s">
        <v>5732</v>
      </c>
      <c r="L1172" t="s">
        <v>280</v>
      </c>
      <c r="M1172" t="s">
        <v>7473</v>
      </c>
    </row>
    <row r="1173" spans="6:13" x14ac:dyDescent="0.25">
      <c r="F1173" t="s">
        <v>5165</v>
      </c>
      <c r="G1173" t="s">
        <v>3603</v>
      </c>
      <c r="I1173" t="s">
        <v>6093</v>
      </c>
      <c r="J1173" t="s">
        <v>1216</v>
      </c>
      <c r="L1173" t="s">
        <v>7356</v>
      </c>
      <c r="M1173" t="s">
        <v>1928</v>
      </c>
    </row>
    <row r="1174" spans="6:13" x14ac:dyDescent="0.25">
      <c r="F1174" t="s">
        <v>2774</v>
      </c>
      <c r="G1174" t="s">
        <v>3564</v>
      </c>
      <c r="I1174" t="s">
        <v>6419</v>
      </c>
      <c r="J1174" t="s">
        <v>1405</v>
      </c>
      <c r="L1174" t="s">
        <v>5743</v>
      </c>
      <c r="M1174" t="s">
        <v>3085</v>
      </c>
    </row>
    <row r="1175" spans="6:13" x14ac:dyDescent="0.25">
      <c r="F1175" t="s">
        <v>4675</v>
      </c>
      <c r="G1175" t="s">
        <v>660</v>
      </c>
      <c r="I1175" t="s">
        <v>15</v>
      </c>
      <c r="J1175" t="s">
        <v>2992</v>
      </c>
      <c r="L1175" t="s">
        <v>7213</v>
      </c>
      <c r="M1175" t="s">
        <v>1763</v>
      </c>
    </row>
    <row r="1176" spans="6:13" x14ac:dyDescent="0.25">
      <c r="F1176" t="s">
        <v>4810</v>
      </c>
      <c r="G1176" t="s">
        <v>4888</v>
      </c>
      <c r="I1176" t="s">
        <v>5886</v>
      </c>
      <c r="J1176" t="s">
        <v>5887</v>
      </c>
      <c r="L1176" t="s">
        <v>5451</v>
      </c>
      <c r="M1176" t="s">
        <v>2078</v>
      </c>
    </row>
    <row r="1177" spans="6:13" x14ac:dyDescent="0.25">
      <c r="F1177" t="s">
        <v>4860</v>
      </c>
      <c r="G1177" t="s">
        <v>720</v>
      </c>
      <c r="I1177" t="s">
        <v>3861</v>
      </c>
      <c r="J1177" t="s">
        <v>4044</v>
      </c>
      <c r="L1177" t="s">
        <v>459</v>
      </c>
      <c r="M1177" t="s">
        <v>1865</v>
      </c>
    </row>
    <row r="1178" spans="6:13" x14ac:dyDescent="0.25">
      <c r="F1178" t="s">
        <v>2677</v>
      </c>
      <c r="G1178" t="s">
        <v>3783</v>
      </c>
      <c r="I1178" t="s">
        <v>6767</v>
      </c>
      <c r="J1178" t="s">
        <v>6768</v>
      </c>
      <c r="L1178" t="s">
        <v>459</v>
      </c>
      <c r="M1178" t="s">
        <v>7102</v>
      </c>
    </row>
    <row r="1179" spans="6:13" x14ac:dyDescent="0.25">
      <c r="F1179" t="s">
        <v>4620</v>
      </c>
      <c r="G1179" t="s">
        <v>4791</v>
      </c>
      <c r="I1179" t="s">
        <v>6500</v>
      </c>
      <c r="J1179" t="s">
        <v>6501</v>
      </c>
      <c r="L1179" t="s">
        <v>459</v>
      </c>
      <c r="M1179" t="s">
        <v>2335</v>
      </c>
    </row>
    <row r="1180" spans="6:13" x14ac:dyDescent="0.25">
      <c r="F1180" t="s">
        <v>4611</v>
      </c>
      <c r="G1180" t="s">
        <v>769</v>
      </c>
      <c r="I1180" t="s">
        <v>313</v>
      </c>
      <c r="J1180" t="s">
        <v>882</v>
      </c>
      <c r="L1180" t="s">
        <v>46</v>
      </c>
      <c r="M1180" t="s">
        <v>2183</v>
      </c>
    </row>
    <row r="1181" spans="6:13" x14ac:dyDescent="0.25">
      <c r="F1181" t="s">
        <v>4820</v>
      </c>
      <c r="G1181" t="s">
        <v>4905</v>
      </c>
      <c r="I1181" t="s">
        <v>37</v>
      </c>
      <c r="J1181" t="s">
        <v>1075</v>
      </c>
      <c r="L1181" t="s">
        <v>7778</v>
      </c>
      <c r="M1181" t="s">
        <v>7779</v>
      </c>
    </row>
    <row r="1182" spans="6:13" x14ac:dyDescent="0.25">
      <c r="F1182" t="s">
        <v>2677</v>
      </c>
      <c r="G1182" t="s">
        <v>3428</v>
      </c>
      <c r="I1182" t="s">
        <v>6449</v>
      </c>
      <c r="J1182" t="s">
        <v>1413</v>
      </c>
      <c r="L1182" t="s">
        <v>36</v>
      </c>
      <c r="M1182" t="s">
        <v>7292</v>
      </c>
    </row>
    <row r="1183" spans="6:13" x14ac:dyDescent="0.25">
      <c r="F1183" t="s">
        <v>4948</v>
      </c>
      <c r="G1183" t="s">
        <v>4949</v>
      </c>
      <c r="I1183" t="s">
        <v>315</v>
      </c>
      <c r="J1183" t="s">
        <v>2508</v>
      </c>
      <c r="L1183" t="s">
        <v>2736</v>
      </c>
      <c r="M1183" t="s">
        <v>3208</v>
      </c>
    </row>
    <row r="1184" spans="6:13" x14ac:dyDescent="0.25">
      <c r="F1184" t="s">
        <v>4620</v>
      </c>
      <c r="G1184" t="s">
        <v>4621</v>
      </c>
      <c r="I1184" t="s">
        <v>313</v>
      </c>
      <c r="J1184" t="s">
        <v>2376</v>
      </c>
      <c r="L1184" t="s">
        <v>459</v>
      </c>
      <c r="M1184" t="s">
        <v>2590</v>
      </c>
    </row>
    <row r="1185" spans="6:13" x14ac:dyDescent="0.25">
      <c r="F1185" t="s">
        <v>4912</v>
      </c>
      <c r="G1185" t="s">
        <v>3694</v>
      </c>
      <c r="I1185" t="s">
        <v>254</v>
      </c>
      <c r="J1185" t="s">
        <v>3961</v>
      </c>
      <c r="L1185" t="s">
        <v>95</v>
      </c>
      <c r="M1185" t="s">
        <v>7683</v>
      </c>
    </row>
    <row r="1186" spans="6:13" x14ac:dyDescent="0.25">
      <c r="F1186" t="s">
        <v>551</v>
      </c>
      <c r="G1186" t="s">
        <v>3355</v>
      </c>
      <c r="I1186" t="s">
        <v>397</v>
      </c>
      <c r="J1186" t="s">
        <v>3884</v>
      </c>
      <c r="L1186" t="s">
        <v>4168</v>
      </c>
      <c r="M1186" t="s">
        <v>4243</v>
      </c>
    </row>
    <row r="1187" spans="6:13" x14ac:dyDescent="0.25">
      <c r="F1187" t="s">
        <v>2745</v>
      </c>
      <c r="G1187" t="s">
        <v>3344</v>
      </c>
      <c r="I1187" t="s">
        <v>5321</v>
      </c>
      <c r="J1187" t="s">
        <v>6376</v>
      </c>
      <c r="L1187" t="s">
        <v>7346</v>
      </c>
      <c r="M1187" t="s">
        <v>7347</v>
      </c>
    </row>
    <row r="1188" spans="6:13" x14ac:dyDescent="0.25">
      <c r="F1188" t="s">
        <v>257</v>
      </c>
      <c r="G1188" t="s">
        <v>675</v>
      </c>
      <c r="I1188" t="s">
        <v>5524</v>
      </c>
      <c r="J1188" t="s">
        <v>3921</v>
      </c>
      <c r="L1188" t="s">
        <v>37</v>
      </c>
      <c r="M1188" t="s">
        <v>1914</v>
      </c>
    </row>
    <row r="1189" spans="6:13" x14ac:dyDescent="0.25">
      <c r="F1189" t="s">
        <v>4523</v>
      </c>
      <c r="G1189" t="s">
        <v>4939</v>
      </c>
      <c r="I1189" t="s">
        <v>95</v>
      </c>
      <c r="J1189" t="s">
        <v>5238</v>
      </c>
      <c r="L1189" t="s">
        <v>7947</v>
      </c>
      <c r="M1189" t="s">
        <v>2041</v>
      </c>
    </row>
    <row r="1190" spans="6:13" x14ac:dyDescent="0.25">
      <c r="F1190" t="s">
        <v>3861</v>
      </c>
      <c r="G1190" t="s">
        <v>4428</v>
      </c>
      <c r="I1190" t="s">
        <v>37</v>
      </c>
      <c r="J1190" t="s">
        <v>1099</v>
      </c>
      <c r="L1190" t="s">
        <v>459</v>
      </c>
      <c r="M1190" t="s">
        <v>2114</v>
      </c>
    </row>
    <row r="1191" spans="6:13" x14ac:dyDescent="0.25">
      <c r="F1191" t="s">
        <v>2673</v>
      </c>
      <c r="G1191" t="s">
        <v>3795</v>
      </c>
      <c r="I1191" t="s">
        <v>315</v>
      </c>
      <c r="J1191" t="s">
        <v>2547</v>
      </c>
      <c r="L1191" t="s">
        <v>137</v>
      </c>
      <c r="M1191" t="s">
        <v>7192</v>
      </c>
    </row>
    <row r="1192" spans="6:13" x14ac:dyDescent="0.25">
      <c r="F1192" t="s">
        <v>4519</v>
      </c>
      <c r="G1192" t="s">
        <v>712</v>
      </c>
      <c r="I1192" t="s">
        <v>6725</v>
      </c>
      <c r="J1192" t="s">
        <v>4118</v>
      </c>
      <c r="L1192" t="s">
        <v>254</v>
      </c>
      <c r="M1192" t="s">
        <v>2063</v>
      </c>
    </row>
    <row r="1193" spans="6:13" x14ac:dyDescent="0.25">
      <c r="F1193" t="s">
        <v>37</v>
      </c>
      <c r="G1193" t="s">
        <v>5219</v>
      </c>
      <c r="I1193" t="s">
        <v>6695</v>
      </c>
      <c r="J1193" t="s">
        <v>6696</v>
      </c>
      <c r="L1193" t="s">
        <v>4250</v>
      </c>
      <c r="M1193" t="s">
        <v>7596</v>
      </c>
    </row>
    <row r="1194" spans="6:13" x14ac:dyDescent="0.25">
      <c r="F1194" t="s">
        <v>4523</v>
      </c>
      <c r="G1194" t="s">
        <v>4836</v>
      </c>
      <c r="I1194" t="s">
        <v>548</v>
      </c>
      <c r="J1194" t="s">
        <v>2821</v>
      </c>
      <c r="L1194" t="s">
        <v>2359</v>
      </c>
      <c r="M1194" t="s">
        <v>7230</v>
      </c>
    </row>
    <row r="1195" spans="6:13" x14ac:dyDescent="0.25">
      <c r="F1195" t="s">
        <v>37</v>
      </c>
      <c r="G1195" t="s">
        <v>5039</v>
      </c>
      <c r="I1195" t="s">
        <v>95</v>
      </c>
      <c r="J1195" t="s">
        <v>5247</v>
      </c>
      <c r="L1195" t="s">
        <v>293</v>
      </c>
      <c r="M1195" t="s">
        <v>7419</v>
      </c>
    </row>
    <row r="1196" spans="6:13" x14ac:dyDescent="0.25">
      <c r="F1196" t="s">
        <v>5115</v>
      </c>
      <c r="G1196" t="s">
        <v>4704</v>
      </c>
      <c r="I1196" t="s">
        <v>397</v>
      </c>
      <c r="J1196" t="s">
        <v>1223</v>
      </c>
      <c r="L1196" t="s">
        <v>7848</v>
      </c>
      <c r="M1196" t="s">
        <v>7849</v>
      </c>
    </row>
    <row r="1197" spans="6:13" x14ac:dyDescent="0.25">
      <c r="F1197" t="s">
        <v>4748</v>
      </c>
      <c r="G1197" t="s">
        <v>4749</v>
      </c>
      <c r="I1197" t="s">
        <v>283</v>
      </c>
      <c r="J1197" t="s">
        <v>2468</v>
      </c>
      <c r="L1197" t="s">
        <v>283</v>
      </c>
      <c r="M1197" t="s">
        <v>3231</v>
      </c>
    </row>
    <row r="1198" spans="6:13" x14ac:dyDescent="0.25">
      <c r="F1198" t="s">
        <v>39</v>
      </c>
      <c r="G1198" t="s">
        <v>4589</v>
      </c>
      <c r="I1198" t="s">
        <v>2359</v>
      </c>
      <c r="J1198" t="s">
        <v>3894</v>
      </c>
      <c r="L1198" t="s">
        <v>313</v>
      </c>
      <c r="M1198" t="s">
        <v>7838</v>
      </c>
    </row>
    <row r="1199" spans="6:13" x14ac:dyDescent="0.25">
      <c r="F1199" t="s">
        <v>4523</v>
      </c>
      <c r="G1199" t="s">
        <v>4636</v>
      </c>
      <c r="I1199" t="s">
        <v>315</v>
      </c>
      <c r="J1199" t="s">
        <v>2493</v>
      </c>
      <c r="L1199" t="s">
        <v>254</v>
      </c>
      <c r="M1199" t="s">
        <v>2354</v>
      </c>
    </row>
    <row r="1200" spans="6:13" x14ac:dyDescent="0.25">
      <c r="F1200" t="s">
        <v>5174</v>
      </c>
      <c r="G1200" t="s">
        <v>4863</v>
      </c>
      <c r="I1200" t="s">
        <v>254</v>
      </c>
      <c r="J1200" t="s">
        <v>5252</v>
      </c>
      <c r="L1200" t="s">
        <v>7562</v>
      </c>
      <c r="M1200" t="s">
        <v>7563</v>
      </c>
    </row>
    <row r="1201" spans="6:13" x14ac:dyDescent="0.25">
      <c r="F1201" t="s">
        <v>39</v>
      </c>
      <c r="G1201" t="s">
        <v>4897</v>
      </c>
      <c r="I1201" t="s">
        <v>6559</v>
      </c>
      <c r="J1201" t="s">
        <v>6560</v>
      </c>
      <c r="L1201" t="s">
        <v>49</v>
      </c>
      <c r="M1201" t="s">
        <v>7723</v>
      </c>
    </row>
    <row r="1202" spans="6:13" x14ac:dyDescent="0.25">
      <c r="F1202" t="s">
        <v>2674</v>
      </c>
      <c r="G1202" t="s">
        <v>3630</v>
      </c>
      <c r="I1202" t="s">
        <v>551</v>
      </c>
      <c r="J1202" t="s">
        <v>1496</v>
      </c>
      <c r="L1202" t="s">
        <v>551</v>
      </c>
      <c r="M1202" t="s">
        <v>7904</v>
      </c>
    </row>
    <row r="1203" spans="6:13" x14ac:dyDescent="0.25">
      <c r="F1203" t="s">
        <v>4318</v>
      </c>
      <c r="G1203" t="s">
        <v>4381</v>
      </c>
      <c r="I1203" t="s">
        <v>551</v>
      </c>
      <c r="J1203" t="s">
        <v>8003</v>
      </c>
      <c r="L1203" t="s">
        <v>551</v>
      </c>
      <c r="M1203" t="s">
        <v>7904</v>
      </c>
    </row>
    <row r="1204" spans="6:13" x14ac:dyDescent="0.25">
      <c r="F1204" t="s">
        <v>548</v>
      </c>
      <c r="G1204" t="s">
        <v>4775</v>
      </c>
      <c r="I1204" t="s">
        <v>3861</v>
      </c>
      <c r="J1204" t="s">
        <v>4131</v>
      </c>
      <c r="L1204" t="s">
        <v>7866</v>
      </c>
      <c r="M1204" t="s">
        <v>2164</v>
      </c>
    </row>
    <row r="1205" spans="6:13" x14ac:dyDescent="0.25">
      <c r="F1205" t="s">
        <v>37</v>
      </c>
      <c r="G1205" t="s">
        <v>5218</v>
      </c>
      <c r="I1205" t="s">
        <v>5582</v>
      </c>
      <c r="J1205" t="s">
        <v>949</v>
      </c>
      <c r="L1205" t="s">
        <v>95</v>
      </c>
      <c r="M1205" t="s">
        <v>3242</v>
      </c>
    </row>
    <row r="1206" spans="6:13" x14ac:dyDescent="0.25">
      <c r="F1206" t="s">
        <v>2685</v>
      </c>
      <c r="G1206" t="s">
        <v>3591</v>
      </c>
      <c r="I1206" t="s">
        <v>6449</v>
      </c>
      <c r="J1206" t="s">
        <v>1440</v>
      </c>
      <c r="L1206" t="s">
        <v>253</v>
      </c>
      <c r="M1206" t="s">
        <v>1832</v>
      </c>
    </row>
    <row r="1207" spans="6:13" x14ac:dyDescent="0.25">
      <c r="F1207" t="s">
        <v>4982</v>
      </c>
      <c r="G1207" t="s">
        <v>3792</v>
      </c>
      <c r="I1207" t="s">
        <v>254</v>
      </c>
      <c r="J1207" t="s">
        <v>5506</v>
      </c>
      <c r="L1207" t="s">
        <v>37</v>
      </c>
      <c r="M1207" t="s">
        <v>7189</v>
      </c>
    </row>
    <row r="1208" spans="6:13" x14ac:dyDescent="0.25">
      <c r="F1208" t="s">
        <v>484</v>
      </c>
      <c r="G1208" t="s">
        <v>5047</v>
      </c>
      <c r="I1208" t="s">
        <v>254</v>
      </c>
      <c r="J1208" t="s">
        <v>6478</v>
      </c>
      <c r="L1208" t="s">
        <v>2359</v>
      </c>
      <c r="M1208" t="s">
        <v>4203</v>
      </c>
    </row>
    <row r="1209" spans="6:13" x14ac:dyDescent="0.25">
      <c r="F1209" t="s">
        <v>484</v>
      </c>
      <c r="G1209" t="s">
        <v>5049</v>
      </c>
      <c r="I1209" t="s">
        <v>401</v>
      </c>
      <c r="J1209" t="s">
        <v>5585</v>
      </c>
      <c r="L1209" t="s">
        <v>459</v>
      </c>
      <c r="M1209" t="s">
        <v>2093</v>
      </c>
    </row>
    <row r="1210" spans="6:13" x14ac:dyDescent="0.25">
      <c r="F1210" t="s">
        <v>4320</v>
      </c>
      <c r="G1210" t="s">
        <v>4321</v>
      </c>
      <c r="I1210" t="s">
        <v>123</v>
      </c>
      <c r="J1210" t="s">
        <v>6791</v>
      </c>
      <c r="L1210" t="s">
        <v>254</v>
      </c>
      <c r="M1210" t="s">
        <v>1836</v>
      </c>
    </row>
    <row r="1211" spans="6:13" x14ac:dyDescent="0.25">
      <c r="F1211" t="s">
        <v>36</v>
      </c>
      <c r="G1211" t="s">
        <v>4786</v>
      </c>
      <c r="I1211" t="s">
        <v>5338</v>
      </c>
      <c r="J1211" t="s">
        <v>5339</v>
      </c>
      <c r="L1211" t="s">
        <v>289</v>
      </c>
      <c r="M1211" t="s">
        <v>7684</v>
      </c>
    </row>
    <row r="1212" spans="6:13" x14ac:dyDescent="0.25">
      <c r="F1212" t="s">
        <v>4758</v>
      </c>
      <c r="G1212" t="s">
        <v>3527</v>
      </c>
      <c r="I1212" t="s">
        <v>3861</v>
      </c>
      <c r="J1212" t="s">
        <v>3985</v>
      </c>
      <c r="L1212" t="s">
        <v>280</v>
      </c>
      <c r="M1212" t="s">
        <v>7946</v>
      </c>
    </row>
    <row r="1213" spans="6:13" x14ac:dyDescent="0.25">
      <c r="F1213" t="s">
        <v>37</v>
      </c>
      <c r="G1213" t="s">
        <v>5167</v>
      </c>
      <c r="I1213" t="s">
        <v>313</v>
      </c>
      <c r="J1213" t="s">
        <v>783</v>
      </c>
      <c r="L1213" t="s">
        <v>7545</v>
      </c>
      <c r="M1213" t="s">
        <v>2051</v>
      </c>
    </row>
    <row r="1214" spans="6:13" x14ac:dyDescent="0.25">
      <c r="F1214" t="s">
        <v>37</v>
      </c>
      <c r="G1214" t="s">
        <v>678</v>
      </c>
      <c r="I1214" t="s">
        <v>5315</v>
      </c>
      <c r="J1214" t="s">
        <v>1367</v>
      </c>
      <c r="L1214" t="s">
        <v>47</v>
      </c>
      <c r="M1214" t="s">
        <v>7396</v>
      </c>
    </row>
    <row r="1215" spans="6:13" x14ac:dyDescent="0.25">
      <c r="F1215" t="s">
        <v>37</v>
      </c>
      <c r="G1215" t="s">
        <v>5102</v>
      </c>
      <c r="I1215" t="s">
        <v>123</v>
      </c>
      <c r="J1215" t="s">
        <v>6484</v>
      </c>
      <c r="L1215" t="s">
        <v>7394</v>
      </c>
      <c r="M1215" t="s">
        <v>3230</v>
      </c>
    </row>
    <row r="1216" spans="6:13" x14ac:dyDescent="0.25">
      <c r="F1216" t="s">
        <v>4523</v>
      </c>
      <c r="G1216" t="s">
        <v>4743</v>
      </c>
      <c r="I1216" t="s">
        <v>6735</v>
      </c>
      <c r="J1216" t="s">
        <v>1576</v>
      </c>
      <c r="L1216" t="s">
        <v>3924</v>
      </c>
      <c r="M1216" t="s">
        <v>4206</v>
      </c>
    </row>
    <row r="1217" spans="6:13" x14ac:dyDescent="0.25">
      <c r="F1217" t="s">
        <v>46</v>
      </c>
      <c r="G1217" t="s">
        <v>3685</v>
      </c>
      <c r="I1217" t="s">
        <v>2748</v>
      </c>
      <c r="J1217" t="s">
        <v>2913</v>
      </c>
      <c r="L1217" t="s">
        <v>289</v>
      </c>
      <c r="M1217" t="s">
        <v>2606</v>
      </c>
    </row>
    <row r="1218" spans="6:13" x14ac:dyDescent="0.25">
      <c r="F1218" t="s">
        <v>3861</v>
      </c>
      <c r="G1218" t="s">
        <v>4330</v>
      </c>
      <c r="I1218" t="s">
        <v>2748</v>
      </c>
      <c r="J1218" t="s">
        <v>3969</v>
      </c>
      <c r="L1218" t="s">
        <v>4198</v>
      </c>
      <c r="M1218" t="s">
        <v>4291</v>
      </c>
    </row>
    <row r="1219" spans="6:13" x14ac:dyDescent="0.25">
      <c r="F1219" t="s">
        <v>48</v>
      </c>
      <c r="G1219" t="s">
        <v>4832</v>
      </c>
      <c r="I1219" t="s">
        <v>5846</v>
      </c>
      <c r="J1219" t="s">
        <v>1088</v>
      </c>
      <c r="L1219" t="s">
        <v>3861</v>
      </c>
      <c r="M1219" t="s">
        <v>4297</v>
      </c>
    </row>
    <row r="1220" spans="6:13" x14ac:dyDescent="0.25">
      <c r="F1220" t="s">
        <v>37</v>
      </c>
      <c r="G1220" t="s">
        <v>4623</v>
      </c>
      <c r="I1220" t="s">
        <v>95</v>
      </c>
      <c r="J1220" t="s">
        <v>5591</v>
      </c>
      <c r="L1220" t="s">
        <v>7042</v>
      </c>
      <c r="M1220" t="s">
        <v>1889</v>
      </c>
    </row>
    <row r="1221" spans="6:13" x14ac:dyDescent="0.25">
      <c r="F1221" t="s">
        <v>4959</v>
      </c>
      <c r="G1221" t="s">
        <v>757</v>
      </c>
      <c r="I1221" t="s">
        <v>3916</v>
      </c>
      <c r="J1221" t="s">
        <v>4097</v>
      </c>
      <c r="L1221" t="s">
        <v>4198</v>
      </c>
      <c r="M1221" t="s">
        <v>4274</v>
      </c>
    </row>
    <row r="1222" spans="6:13" x14ac:dyDescent="0.25">
      <c r="F1222" t="s">
        <v>4318</v>
      </c>
      <c r="G1222" t="s">
        <v>4419</v>
      </c>
      <c r="I1222" t="s">
        <v>2773</v>
      </c>
      <c r="J1222" t="s">
        <v>2916</v>
      </c>
      <c r="L1222" t="s">
        <v>2727</v>
      </c>
      <c r="M1222" t="s">
        <v>7449</v>
      </c>
    </row>
    <row r="1223" spans="6:13" x14ac:dyDescent="0.25">
      <c r="F1223" t="s">
        <v>2677</v>
      </c>
      <c r="G1223" t="s">
        <v>3763</v>
      </c>
      <c r="I1223" t="s">
        <v>5852</v>
      </c>
      <c r="J1223" t="s">
        <v>5998</v>
      </c>
      <c r="L1223" t="s">
        <v>459</v>
      </c>
      <c r="M1223" t="s">
        <v>2323</v>
      </c>
    </row>
    <row r="1224" spans="6:13" x14ac:dyDescent="0.25">
      <c r="F1224" t="s">
        <v>37</v>
      </c>
      <c r="G1224" t="s">
        <v>5072</v>
      </c>
      <c r="I1224" t="s">
        <v>2745</v>
      </c>
      <c r="J1224" t="s">
        <v>2777</v>
      </c>
      <c r="L1224" t="s">
        <v>137</v>
      </c>
      <c r="M1224" t="s">
        <v>7085</v>
      </c>
    </row>
    <row r="1225" spans="6:13" x14ac:dyDescent="0.25">
      <c r="F1225" t="s">
        <v>2687</v>
      </c>
      <c r="G1225" t="s">
        <v>3750</v>
      </c>
      <c r="I1225" t="s">
        <v>313</v>
      </c>
      <c r="J1225" t="s">
        <v>1441</v>
      </c>
      <c r="L1225" t="s">
        <v>462</v>
      </c>
      <c r="M1225" t="s">
        <v>2152</v>
      </c>
    </row>
    <row r="1226" spans="6:13" x14ac:dyDescent="0.25">
      <c r="F1226" t="s">
        <v>95</v>
      </c>
      <c r="G1226" t="s">
        <v>4726</v>
      </c>
      <c r="I1226" t="s">
        <v>2743</v>
      </c>
      <c r="J1226" t="s">
        <v>4073</v>
      </c>
      <c r="L1226" t="s">
        <v>452</v>
      </c>
      <c r="M1226" t="s">
        <v>2037</v>
      </c>
    </row>
    <row r="1227" spans="6:13" x14ac:dyDescent="0.25">
      <c r="F1227" t="s">
        <v>95</v>
      </c>
      <c r="G1227" t="s">
        <v>3718</v>
      </c>
      <c r="I1227" t="s">
        <v>2743</v>
      </c>
      <c r="J1227" t="s">
        <v>2993</v>
      </c>
      <c r="L1227" t="s">
        <v>462</v>
      </c>
      <c r="M1227" t="s">
        <v>2197</v>
      </c>
    </row>
    <row r="1228" spans="6:13" x14ac:dyDescent="0.25">
      <c r="F1228" t="s">
        <v>5176</v>
      </c>
      <c r="G1228" t="s">
        <v>5177</v>
      </c>
      <c r="I1228" t="s">
        <v>2733</v>
      </c>
      <c r="J1228" t="s">
        <v>2896</v>
      </c>
      <c r="L1228" t="s">
        <v>551</v>
      </c>
      <c r="M1228" t="s">
        <v>7188</v>
      </c>
    </row>
    <row r="1229" spans="6:13" x14ac:dyDescent="0.25">
      <c r="F1229" t="s">
        <v>2752</v>
      </c>
      <c r="G1229" t="s">
        <v>4699</v>
      </c>
      <c r="I1229" t="s">
        <v>2743</v>
      </c>
      <c r="J1229" t="s">
        <v>2869</v>
      </c>
      <c r="L1229" t="s">
        <v>551</v>
      </c>
      <c r="M1229" t="s">
        <v>7188</v>
      </c>
    </row>
    <row r="1230" spans="6:13" x14ac:dyDescent="0.25">
      <c r="F1230" t="s">
        <v>2733</v>
      </c>
      <c r="G1230" t="s">
        <v>3573</v>
      </c>
      <c r="I1230" t="s">
        <v>2730</v>
      </c>
      <c r="J1230" t="s">
        <v>2831</v>
      </c>
      <c r="L1230" t="s">
        <v>95</v>
      </c>
      <c r="M1230" t="s">
        <v>7801</v>
      </c>
    </row>
    <row r="1231" spans="6:13" x14ac:dyDescent="0.25">
      <c r="F1231" t="s">
        <v>2748</v>
      </c>
      <c r="G1231" t="s">
        <v>3812</v>
      </c>
      <c r="I1231" t="s">
        <v>6790</v>
      </c>
      <c r="J1231" t="s">
        <v>1599</v>
      </c>
      <c r="L1231" t="s">
        <v>289</v>
      </c>
      <c r="M1231" t="s">
        <v>2600</v>
      </c>
    </row>
    <row r="1232" spans="6:13" x14ac:dyDescent="0.25">
      <c r="F1232" t="s">
        <v>37</v>
      </c>
      <c r="G1232" t="s">
        <v>717</v>
      </c>
      <c r="I1232" t="s">
        <v>17</v>
      </c>
      <c r="J1232" t="s">
        <v>5428</v>
      </c>
      <c r="L1232" t="s">
        <v>4198</v>
      </c>
      <c r="M1232" t="s">
        <v>4247</v>
      </c>
    </row>
    <row r="1233" spans="6:13" x14ac:dyDescent="0.25">
      <c r="F1233" t="s">
        <v>4320</v>
      </c>
      <c r="G1233" t="s">
        <v>4375</v>
      </c>
      <c r="I1233" t="s">
        <v>6014</v>
      </c>
      <c r="J1233" t="s">
        <v>1174</v>
      </c>
      <c r="L1233" t="s">
        <v>280</v>
      </c>
      <c r="M1233" t="s">
        <v>1749</v>
      </c>
    </row>
    <row r="1234" spans="6:13" x14ac:dyDescent="0.25">
      <c r="F1234" t="s">
        <v>37</v>
      </c>
      <c r="G1234" t="s">
        <v>5044</v>
      </c>
      <c r="I1234" t="s">
        <v>313</v>
      </c>
      <c r="J1234" t="s">
        <v>894</v>
      </c>
      <c r="L1234" t="s">
        <v>2748</v>
      </c>
      <c r="M1234" t="s">
        <v>3267</v>
      </c>
    </row>
    <row r="1235" spans="6:13" x14ac:dyDescent="0.25">
      <c r="F1235" t="s">
        <v>2681</v>
      </c>
      <c r="G1235" t="s">
        <v>3347</v>
      </c>
      <c r="I1235" t="s">
        <v>5481</v>
      </c>
      <c r="J1235" t="s">
        <v>900</v>
      </c>
      <c r="L1235" t="s">
        <v>122</v>
      </c>
      <c r="M1235" t="s">
        <v>7587</v>
      </c>
    </row>
    <row r="1236" spans="6:13" x14ac:dyDescent="0.25">
      <c r="F1236" t="s">
        <v>46</v>
      </c>
      <c r="G1236" t="s">
        <v>3309</v>
      </c>
      <c r="I1236" t="s">
        <v>122</v>
      </c>
      <c r="J1236" t="s">
        <v>2538</v>
      </c>
      <c r="L1236" t="s">
        <v>2727</v>
      </c>
      <c r="M1236" t="s">
        <v>7097</v>
      </c>
    </row>
    <row r="1237" spans="6:13" x14ac:dyDescent="0.25">
      <c r="F1237" t="s">
        <v>484</v>
      </c>
      <c r="G1237" t="s">
        <v>5173</v>
      </c>
      <c r="I1237" t="s">
        <v>254</v>
      </c>
      <c r="J1237" t="s">
        <v>4012</v>
      </c>
      <c r="L1237" t="s">
        <v>45</v>
      </c>
      <c r="M1237" t="s">
        <v>1949</v>
      </c>
    </row>
    <row r="1238" spans="6:13" x14ac:dyDescent="0.25">
      <c r="F1238" t="s">
        <v>37</v>
      </c>
      <c r="G1238" t="s">
        <v>4740</v>
      </c>
      <c r="I1238" t="s">
        <v>518</v>
      </c>
      <c r="J1238" t="s">
        <v>5884</v>
      </c>
      <c r="L1238" t="s">
        <v>289</v>
      </c>
      <c r="M1238" t="s">
        <v>7826</v>
      </c>
    </row>
    <row r="1239" spans="6:13" x14ac:dyDescent="0.25">
      <c r="F1239" t="s">
        <v>4436</v>
      </c>
      <c r="G1239" t="s">
        <v>4771</v>
      </c>
      <c r="I1239" t="s">
        <v>123</v>
      </c>
      <c r="J1239" t="s">
        <v>6618</v>
      </c>
      <c r="L1239" t="s">
        <v>7784</v>
      </c>
      <c r="M1239" t="s">
        <v>7785</v>
      </c>
    </row>
    <row r="1240" spans="6:13" x14ac:dyDescent="0.25">
      <c r="F1240" t="s">
        <v>4722</v>
      </c>
      <c r="G1240" t="s">
        <v>679</v>
      </c>
      <c r="I1240" t="s">
        <v>5733</v>
      </c>
      <c r="J1240" t="s">
        <v>1036</v>
      </c>
      <c r="L1240" t="s">
        <v>122</v>
      </c>
      <c r="M1240" t="s">
        <v>6889</v>
      </c>
    </row>
    <row r="1241" spans="6:13" x14ac:dyDescent="0.25">
      <c r="F1241" t="s">
        <v>37</v>
      </c>
      <c r="G1241" t="s">
        <v>676</v>
      </c>
      <c r="I1241" t="s">
        <v>6595</v>
      </c>
      <c r="J1241" t="s">
        <v>1509</v>
      </c>
      <c r="L1241" t="s">
        <v>3861</v>
      </c>
      <c r="M1241" t="s">
        <v>4180</v>
      </c>
    </row>
    <row r="1242" spans="6:13" x14ac:dyDescent="0.25">
      <c r="F1242" t="s">
        <v>2677</v>
      </c>
      <c r="G1242" t="s">
        <v>3408</v>
      </c>
      <c r="I1242" t="s">
        <v>95</v>
      </c>
      <c r="J1242" t="s">
        <v>5658</v>
      </c>
      <c r="L1242" t="s">
        <v>393</v>
      </c>
      <c r="M1242" t="s">
        <v>7625</v>
      </c>
    </row>
    <row r="1243" spans="6:13" x14ac:dyDescent="0.25">
      <c r="F1243" t="s">
        <v>2730</v>
      </c>
      <c r="G1243" t="s">
        <v>3697</v>
      </c>
      <c r="I1243" t="s">
        <v>95</v>
      </c>
      <c r="J1243" t="s">
        <v>2988</v>
      </c>
      <c r="L1243" t="s">
        <v>2727</v>
      </c>
      <c r="M1243" t="s">
        <v>7513</v>
      </c>
    </row>
    <row r="1244" spans="6:13" x14ac:dyDescent="0.25">
      <c r="F1244" t="s">
        <v>2677</v>
      </c>
      <c r="G1244" t="s">
        <v>3617</v>
      </c>
      <c r="I1244" t="s">
        <v>6624</v>
      </c>
      <c r="J1244" t="s">
        <v>6625</v>
      </c>
      <c r="L1244" t="s">
        <v>289</v>
      </c>
      <c r="M1244" t="s">
        <v>2602</v>
      </c>
    </row>
    <row r="1245" spans="6:13" x14ac:dyDescent="0.25">
      <c r="F1245" t="s">
        <v>2678</v>
      </c>
      <c r="G1245" t="s">
        <v>3297</v>
      </c>
      <c r="I1245" t="s">
        <v>397</v>
      </c>
      <c r="J1245" t="s">
        <v>6029</v>
      </c>
      <c r="L1245" t="s">
        <v>37</v>
      </c>
      <c r="M1245" t="s">
        <v>7290</v>
      </c>
    </row>
    <row r="1246" spans="6:13" x14ac:dyDescent="0.25">
      <c r="F1246" t="s">
        <v>3861</v>
      </c>
      <c r="G1246" t="s">
        <v>4325</v>
      </c>
      <c r="I1246" t="s">
        <v>4872</v>
      </c>
      <c r="J1246" t="s">
        <v>6359</v>
      </c>
      <c r="L1246" t="s">
        <v>2359</v>
      </c>
      <c r="M1246" t="s">
        <v>7360</v>
      </c>
    </row>
    <row r="1247" spans="6:13" x14ac:dyDescent="0.25">
      <c r="F1247" t="s">
        <v>2677</v>
      </c>
      <c r="G1247" t="s">
        <v>3296</v>
      </c>
      <c r="I1247" t="s">
        <v>254</v>
      </c>
      <c r="J1247" t="s">
        <v>6582</v>
      </c>
      <c r="L1247" t="s">
        <v>7049</v>
      </c>
      <c r="M1247" t="s">
        <v>7270</v>
      </c>
    </row>
    <row r="1248" spans="6:13" x14ac:dyDescent="0.25">
      <c r="F1248" t="s">
        <v>4523</v>
      </c>
      <c r="G1248" t="s">
        <v>4801</v>
      </c>
      <c r="I1248" t="s">
        <v>338</v>
      </c>
      <c r="J1248" t="s">
        <v>2799</v>
      </c>
      <c r="L1248" t="s">
        <v>6187</v>
      </c>
      <c r="M1248" t="s">
        <v>1999</v>
      </c>
    </row>
    <row r="1249" spans="6:13" x14ac:dyDescent="0.25">
      <c r="F1249" t="s">
        <v>46</v>
      </c>
      <c r="G1249" t="s">
        <v>3618</v>
      </c>
      <c r="I1249" t="s">
        <v>289</v>
      </c>
      <c r="J1249" t="s">
        <v>940</v>
      </c>
      <c r="L1249" t="s">
        <v>459</v>
      </c>
      <c r="M1249" t="s">
        <v>2303</v>
      </c>
    </row>
    <row r="1250" spans="6:13" x14ac:dyDescent="0.25">
      <c r="F1250" t="s">
        <v>4523</v>
      </c>
      <c r="G1250" t="s">
        <v>4614</v>
      </c>
      <c r="I1250" t="s">
        <v>5371</v>
      </c>
      <c r="J1250" t="s">
        <v>1561</v>
      </c>
      <c r="L1250" t="s">
        <v>311</v>
      </c>
      <c r="M1250" t="s">
        <v>1673</v>
      </c>
    </row>
    <row r="1251" spans="6:13" x14ac:dyDescent="0.25">
      <c r="F1251" t="s">
        <v>2687</v>
      </c>
      <c r="G1251" t="s">
        <v>3439</v>
      </c>
      <c r="I1251" t="s">
        <v>6876</v>
      </c>
      <c r="J1251" t="s">
        <v>1646</v>
      </c>
      <c r="L1251" t="s">
        <v>7142</v>
      </c>
      <c r="M1251" t="s">
        <v>7515</v>
      </c>
    </row>
    <row r="1252" spans="6:13" x14ac:dyDescent="0.25">
      <c r="F1252" t="s">
        <v>37</v>
      </c>
      <c r="G1252" t="s">
        <v>633</v>
      </c>
      <c r="I1252" t="s">
        <v>3916</v>
      </c>
      <c r="J1252" t="s">
        <v>3917</v>
      </c>
      <c r="L1252" t="s">
        <v>459</v>
      </c>
      <c r="M1252" t="s">
        <v>2203</v>
      </c>
    </row>
    <row r="1253" spans="6:13" x14ac:dyDescent="0.25">
      <c r="F1253" t="s">
        <v>2677</v>
      </c>
      <c r="G1253" t="s">
        <v>3393</v>
      </c>
      <c r="I1253" t="s">
        <v>5396</v>
      </c>
      <c r="J1253" t="s">
        <v>2460</v>
      </c>
      <c r="L1253" t="s">
        <v>1</v>
      </c>
      <c r="M1253" t="s">
        <v>7572</v>
      </c>
    </row>
    <row r="1254" spans="6:13" x14ac:dyDescent="0.25">
      <c r="F1254" t="s">
        <v>5038</v>
      </c>
      <c r="G1254" t="s">
        <v>4619</v>
      </c>
      <c r="I1254" t="s">
        <v>276</v>
      </c>
      <c r="J1254" t="s">
        <v>1296</v>
      </c>
      <c r="L1254" t="s">
        <v>459</v>
      </c>
      <c r="M1254" t="s">
        <v>2021</v>
      </c>
    </row>
    <row r="1255" spans="6:13" x14ac:dyDescent="0.25">
      <c r="F1255" t="s">
        <v>5075</v>
      </c>
      <c r="G1255" t="s">
        <v>4619</v>
      </c>
      <c r="I1255" t="s">
        <v>95</v>
      </c>
      <c r="J1255" t="s">
        <v>5257</v>
      </c>
      <c r="L1255" t="s">
        <v>393</v>
      </c>
      <c r="M1255" t="s">
        <v>7014</v>
      </c>
    </row>
    <row r="1256" spans="6:13" x14ac:dyDescent="0.25">
      <c r="F1256" t="s">
        <v>256</v>
      </c>
      <c r="G1256" t="s">
        <v>4969</v>
      </c>
      <c r="I1256" t="s">
        <v>95</v>
      </c>
      <c r="J1256" t="s">
        <v>5661</v>
      </c>
      <c r="L1256" t="s">
        <v>137</v>
      </c>
      <c r="M1256" t="s">
        <v>7914</v>
      </c>
    </row>
    <row r="1257" spans="6:13" x14ac:dyDescent="0.25">
      <c r="F1257" t="s">
        <v>484</v>
      </c>
      <c r="G1257" t="s">
        <v>3377</v>
      </c>
      <c r="I1257" t="s">
        <v>122</v>
      </c>
      <c r="J1257" t="s">
        <v>2472</v>
      </c>
      <c r="L1257" t="s">
        <v>2727</v>
      </c>
      <c r="M1257" t="s">
        <v>2592</v>
      </c>
    </row>
    <row r="1258" spans="6:13" x14ac:dyDescent="0.25">
      <c r="F1258" t="s">
        <v>5013</v>
      </c>
      <c r="G1258" t="s">
        <v>5014</v>
      </c>
      <c r="I1258" t="s">
        <v>278</v>
      </c>
      <c r="J1258" t="s">
        <v>1378</v>
      </c>
      <c r="L1258" t="s">
        <v>37</v>
      </c>
      <c r="M1258" t="s">
        <v>7153</v>
      </c>
    </row>
    <row r="1259" spans="6:13" x14ac:dyDescent="0.25">
      <c r="F1259" t="s">
        <v>4890</v>
      </c>
      <c r="G1259" t="s">
        <v>4891</v>
      </c>
      <c r="I1259" t="s">
        <v>122</v>
      </c>
      <c r="J1259" t="s">
        <v>2535</v>
      </c>
      <c r="L1259" t="s">
        <v>7139</v>
      </c>
      <c r="M1259" t="s">
        <v>2180</v>
      </c>
    </row>
    <row r="1260" spans="6:13" x14ac:dyDescent="0.25">
      <c r="F1260" t="s">
        <v>2677</v>
      </c>
      <c r="G1260" t="s">
        <v>3543</v>
      </c>
      <c r="I1260" t="s">
        <v>4</v>
      </c>
      <c r="J1260" t="s">
        <v>1449</v>
      </c>
      <c r="L1260" t="s">
        <v>7758</v>
      </c>
      <c r="M1260" t="s">
        <v>7759</v>
      </c>
    </row>
    <row r="1261" spans="6:13" x14ac:dyDescent="0.25">
      <c r="F1261" t="s">
        <v>4523</v>
      </c>
      <c r="G1261" t="s">
        <v>4910</v>
      </c>
      <c r="I1261" t="s">
        <v>5573</v>
      </c>
      <c r="J1261" t="s">
        <v>5574</v>
      </c>
      <c r="L1261" t="s">
        <v>401</v>
      </c>
      <c r="M1261" t="s">
        <v>7951</v>
      </c>
    </row>
    <row r="1262" spans="6:13" x14ac:dyDescent="0.25">
      <c r="F1262" t="s">
        <v>5077</v>
      </c>
      <c r="G1262" t="s">
        <v>3379</v>
      </c>
      <c r="I1262" t="s">
        <v>397</v>
      </c>
      <c r="J1262" t="s">
        <v>5910</v>
      </c>
      <c r="L1262" t="s">
        <v>338</v>
      </c>
      <c r="M1262" t="s">
        <v>1759</v>
      </c>
    </row>
    <row r="1263" spans="6:13" x14ac:dyDescent="0.25">
      <c r="F1263" t="s">
        <v>5213</v>
      </c>
      <c r="G1263" t="s">
        <v>3766</v>
      </c>
      <c r="I1263" t="s">
        <v>3916</v>
      </c>
      <c r="J1263" t="s">
        <v>4123</v>
      </c>
      <c r="L1263" t="s">
        <v>7039</v>
      </c>
      <c r="M1263" t="s">
        <v>7040</v>
      </c>
    </row>
    <row r="1264" spans="6:13" x14ac:dyDescent="0.25">
      <c r="F1264" t="s">
        <v>49</v>
      </c>
      <c r="G1264" t="s">
        <v>4644</v>
      </c>
      <c r="I1264" t="s">
        <v>90</v>
      </c>
      <c r="J1264" t="s">
        <v>1016</v>
      </c>
      <c r="L1264" t="s">
        <v>7871</v>
      </c>
      <c r="M1264" t="s">
        <v>3229</v>
      </c>
    </row>
    <row r="1265" spans="6:13" x14ac:dyDescent="0.25">
      <c r="F1265" t="s">
        <v>4523</v>
      </c>
      <c r="G1265" t="s">
        <v>4700</v>
      </c>
      <c r="I1265" t="s">
        <v>63</v>
      </c>
      <c r="J1265" t="s">
        <v>4066</v>
      </c>
      <c r="L1265" t="s">
        <v>289</v>
      </c>
      <c r="M1265" t="s">
        <v>2137</v>
      </c>
    </row>
    <row r="1266" spans="6:13" x14ac:dyDescent="0.25">
      <c r="F1266" t="s">
        <v>2680</v>
      </c>
      <c r="G1266" t="s">
        <v>3699</v>
      </c>
      <c r="I1266" t="s">
        <v>6734</v>
      </c>
      <c r="J1266" t="s">
        <v>1575</v>
      </c>
      <c r="L1266" t="s">
        <v>459</v>
      </c>
      <c r="M1266" t="s">
        <v>2363</v>
      </c>
    </row>
    <row r="1267" spans="6:13" x14ac:dyDescent="0.25">
      <c r="F1267" t="s">
        <v>4523</v>
      </c>
      <c r="G1267" t="s">
        <v>4961</v>
      </c>
      <c r="I1267" t="s">
        <v>5351</v>
      </c>
      <c r="J1267" t="s">
        <v>5352</v>
      </c>
      <c r="L1267" t="s">
        <v>315</v>
      </c>
      <c r="M1267" t="s">
        <v>1972</v>
      </c>
    </row>
    <row r="1268" spans="6:13" x14ac:dyDescent="0.25">
      <c r="F1268" t="s">
        <v>2748</v>
      </c>
      <c r="G1268" t="s">
        <v>3576</v>
      </c>
      <c r="I1268" t="s">
        <v>5338</v>
      </c>
      <c r="J1268" t="s">
        <v>6203</v>
      </c>
      <c r="L1268" t="s">
        <v>7468</v>
      </c>
      <c r="M1268" t="s">
        <v>1938</v>
      </c>
    </row>
    <row r="1269" spans="6:13" x14ac:dyDescent="0.25">
      <c r="F1269" t="s">
        <v>46</v>
      </c>
      <c r="G1269" t="s">
        <v>649</v>
      </c>
      <c r="I1269" t="s">
        <v>280</v>
      </c>
      <c r="J1269" t="s">
        <v>6541</v>
      </c>
      <c r="L1269" t="s">
        <v>315</v>
      </c>
      <c r="M1269" t="s">
        <v>1694</v>
      </c>
    </row>
    <row r="1270" spans="6:13" x14ac:dyDescent="0.25">
      <c r="F1270" t="s">
        <v>4681</v>
      </c>
      <c r="G1270" t="s">
        <v>4682</v>
      </c>
      <c r="I1270" t="s">
        <v>393</v>
      </c>
      <c r="J1270" t="s">
        <v>6574</v>
      </c>
      <c r="L1270" t="s">
        <v>289</v>
      </c>
      <c r="M1270" t="s">
        <v>2302</v>
      </c>
    </row>
    <row r="1271" spans="6:13" x14ac:dyDescent="0.25">
      <c r="F1271" t="s">
        <v>551</v>
      </c>
      <c r="G1271" t="s">
        <v>3456</v>
      </c>
      <c r="I1271" t="s">
        <v>5305</v>
      </c>
      <c r="J1271" t="s">
        <v>2455</v>
      </c>
      <c r="L1271" t="s">
        <v>461</v>
      </c>
      <c r="M1271" t="s">
        <v>7556</v>
      </c>
    </row>
    <row r="1272" spans="6:13" x14ac:dyDescent="0.25">
      <c r="F1272" t="s">
        <v>4523</v>
      </c>
      <c r="G1272" t="s">
        <v>4915</v>
      </c>
      <c r="I1272" t="s">
        <v>5387</v>
      </c>
      <c r="J1272" t="s">
        <v>858</v>
      </c>
      <c r="L1272" t="s">
        <v>7420</v>
      </c>
      <c r="M1272" t="s">
        <v>1964</v>
      </c>
    </row>
    <row r="1273" spans="6:13" x14ac:dyDescent="0.25">
      <c r="F1273" t="s">
        <v>4318</v>
      </c>
      <c r="G1273" t="s">
        <v>4379</v>
      </c>
      <c r="I1273" t="s">
        <v>5309</v>
      </c>
      <c r="J1273" t="s">
        <v>2786</v>
      </c>
      <c r="L1273" t="s">
        <v>2724</v>
      </c>
      <c r="M1273" t="s">
        <v>2579</v>
      </c>
    </row>
    <row r="1274" spans="6:13" x14ac:dyDescent="0.25">
      <c r="F1274" t="s">
        <v>399</v>
      </c>
      <c r="G1274" t="s">
        <v>684</v>
      </c>
      <c r="I1274" t="s">
        <v>286</v>
      </c>
      <c r="J1274" t="s">
        <v>1444</v>
      </c>
      <c r="L1274" t="s">
        <v>289</v>
      </c>
      <c r="M1274" t="s">
        <v>1956</v>
      </c>
    </row>
    <row r="1275" spans="6:13" x14ac:dyDescent="0.25">
      <c r="F1275" t="s">
        <v>4898</v>
      </c>
      <c r="G1275" t="s">
        <v>3688</v>
      </c>
      <c r="I1275" t="s">
        <v>6058</v>
      </c>
      <c r="J1275" t="s">
        <v>2861</v>
      </c>
      <c r="L1275" t="s">
        <v>2739</v>
      </c>
      <c r="M1275" t="s">
        <v>3256</v>
      </c>
    </row>
    <row r="1276" spans="6:13" x14ac:dyDescent="0.25">
      <c r="F1276" t="s">
        <v>5159</v>
      </c>
      <c r="G1276" t="s">
        <v>4806</v>
      </c>
      <c r="I1276" t="s">
        <v>92</v>
      </c>
      <c r="J1276" t="s">
        <v>1604</v>
      </c>
      <c r="L1276" t="s">
        <v>459</v>
      </c>
      <c r="M1276" t="s">
        <v>1953</v>
      </c>
    </row>
    <row r="1277" spans="6:13" x14ac:dyDescent="0.25">
      <c r="F1277" t="s">
        <v>5191</v>
      </c>
      <c r="G1277" t="s">
        <v>4806</v>
      </c>
      <c r="I1277" t="s">
        <v>122</v>
      </c>
      <c r="J1277" t="s">
        <v>2456</v>
      </c>
      <c r="L1277" t="s">
        <v>286</v>
      </c>
      <c r="M1277" t="s">
        <v>7353</v>
      </c>
    </row>
    <row r="1278" spans="6:13" x14ac:dyDescent="0.25">
      <c r="F1278" t="s">
        <v>4828</v>
      </c>
      <c r="G1278" t="s">
        <v>4829</v>
      </c>
      <c r="I1278" t="s">
        <v>5445</v>
      </c>
      <c r="J1278" t="s">
        <v>5446</v>
      </c>
      <c r="L1278" t="s">
        <v>4168</v>
      </c>
      <c r="M1278" t="s">
        <v>7653</v>
      </c>
    </row>
    <row r="1279" spans="6:13" x14ac:dyDescent="0.25">
      <c r="F1279" t="s">
        <v>2670</v>
      </c>
      <c r="G1279" t="s">
        <v>3546</v>
      </c>
      <c r="I1279" t="s">
        <v>360</v>
      </c>
      <c r="J1279" t="s">
        <v>4043</v>
      </c>
      <c r="L1279" t="s">
        <v>95</v>
      </c>
      <c r="M1279" t="s">
        <v>7668</v>
      </c>
    </row>
    <row r="1280" spans="6:13" x14ac:dyDescent="0.25">
      <c r="F1280" t="s">
        <v>2674</v>
      </c>
      <c r="G1280" t="s">
        <v>3625</v>
      </c>
      <c r="I1280" t="s">
        <v>6598</v>
      </c>
      <c r="J1280" t="s">
        <v>6599</v>
      </c>
      <c r="L1280" t="s">
        <v>399</v>
      </c>
      <c r="M1280" t="s">
        <v>7666</v>
      </c>
    </row>
    <row r="1281" spans="6:13" x14ac:dyDescent="0.25">
      <c r="F1281" t="s">
        <v>2669</v>
      </c>
      <c r="G1281" t="s">
        <v>3441</v>
      </c>
      <c r="I1281" t="s">
        <v>91</v>
      </c>
      <c r="J1281" t="s">
        <v>6748</v>
      </c>
      <c r="L1281" t="s">
        <v>7560</v>
      </c>
      <c r="M1281" t="s">
        <v>7561</v>
      </c>
    </row>
    <row r="1282" spans="6:13" x14ac:dyDescent="0.25">
      <c r="F1282" t="s">
        <v>548</v>
      </c>
      <c r="G1282" t="s">
        <v>3505</v>
      </c>
      <c r="I1282" t="s">
        <v>6757</v>
      </c>
      <c r="J1282" t="s">
        <v>6758</v>
      </c>
      <c r="L1282" t="s">
        <v>254</v>
      </c>
      <c r="M1282" t="s">
        <v>7613</v>
      </c>
    </row>
    <row r="1283" spans="6:13" x14ac:dyDescent="0.25">
      <c r="F1283" t="s">
        <v>5175</v>
      </c>
      <c r="G1283" t="s">
        <v>725</v>
      </c>
      <c r="I1283" t="s">
        <v>9</v>
      </c>
      <c r="J1283" t="s">
        <v>2874</v>
      </c>
      <c r="L1283" t="s">
        <v>4152</v>
      </c>
      <c r="M1283" t="s">
        <v>4309</v>
      </c>
    </row>
    <row r="1284" spans="6:13" x14ac:dyDescent="0.25">
      <c r="F1284" t="s">
        <v>551</v>
      </c>
      <c r="G1284" t="s">
        <v>3313</v>
      </c>
      <c r="I1284" t="s">
        <v>5675</v>
      </c>
      <c r="J1284" t="s">
        <v>5715</v>
      </c>
      <c r="L1284" t="s">
        <v>318</v>
      </c>
      <c r="M1284" t="s">
        <v>3197</v>
      </c>
    </row>
    <row r="1285" spans="6:13" x14ac:dyDescent="0.25">
      <c r="F1285" t="s">
        <v>2677</v>
      </c>
      <c r="G1285" t="s">
        <v>3365</v>
      </c>
      <c r="I1285" t="s">
        <v>356</v>
      </c>
      <c r="J1285" t="s">
        <v>5820</v>
      </c>
      <c r="L1285" t="s">
        <v>7463</v>
      </c>
      <c r="M1285" t="s">
        <v>3209</v>
      </c>
    </row>
    <row r="1286" spans="6:13" x14ac:dyDescent="0.25">
      <c r="F1286" t="s">
        <v>4318</v>
      </c>
      <c r="G1286" t="s">
        <v>4347</v>
      </c>
      <c r="I1286" t="s">
        <v>91</v>
      </c>
      <c r="J1286" t="s">
        <v>6741</v>
      </c>
      <c r="L1286" t="s">
        <v>4168</v>
      </c>
      <c r="M1286" t="s">
        <v>4202</v>
      </c>
    </row>
    <row r="1287" spans="6:13" x14ac:dyDescent="0.25">
      <c r="F1287" t="s">
        <v>2679</v>
      </c>
      <c r="G1287" t="s">
        <v>3442</v>
      </c>
      <c r="I1287" t="s">
        <v>254</v>
      </c>
      <c r="J1287" t="s">
        <v>5251</v>
      </c>
      <c r="L1287" t="s">
        <v>309</v>
      </c>
      <c r="M1287" t="s">
        <v>1911</v>
      </c>
    </row>
    <row r="1288" spans="6:13" x14ac:dyDescent="0.25">
      <c r="F1288" t="s">
        <v>3861</v>
      </c>
      <c r="G1288" t="s">
        <v>4329</v>
      </c>
      <c r="I1288" t="s">
        <v>548</v>
      </c>
      <c r="J1288" t="s">
        <v>2947</v>
      </c>
      <c r="L1288" t="s">
        <v>338</v>
      </c>
      <c r="M1288" t="s">
        <v>2270</v>
      </c>
    </row>
    <row r="1289" spans="6:13" x14ac:dyDescent="0.25">
      <c r="F1289" t="s">
        <v>2677</v>
      </c>
      <c r="G1289" t="s">
        <v>3416</v>
      </c>
      <c r="I1289" t="s">
        <v>5634</v>
      </c>
      <c r="J1289" t="s">
        <v>5635</v>
      </c>
      <c r="L1289" t="s">
        <v>399</v>
      </c>
      <c r="M1289" t="s">
        <v>7537</v>
      </c>
    </row>
    <row r="1290" spans="6:13" x14ac:dyDescent="0.25">
      <c r="F1290" t="s">
        <v>36</v>
      </c>
      <c r="G1290" t="s">
        <v>4987</v>
      </c>
      <c r="I1290" t="s">
        <v>254</v>
      </c>
      <c r="J1290" t="s">
        <v>862</v>
      </c>
      <c r="L1290" t="s">
        <v>4763</v>
      </c>
      <c r="M1290" t="s">
        <v>2324</v>
      </c>
    </row>
    <row r="1291" spans="6:13" x14ac:dyDescent="0.25">
      <c r="F1291" t="s">
        <v>2680</v>
      </c>
      <c r="G1291" t="s">
        <v>3462</v>
      </c>
      <c r="I1291" t="s">
        <v>2743</v>
      </c>
      <c r="J1291" t="s">
        <v>4132</v>
      </c>
      <c r="L1291" t="s">
        <v>309</v>
      </c>
      <c r="M1291" t="s">
        <v>2039</v>
      </c>
    </row>
    <row r="1292" spans="6:13" x14ac:dyDescent="0.25">
      <c r="F1292" t="s">
        <v>4820</v>
      </c>
      <c r="G1292" t="s">
        <v>4821</v>
      </c>
      <c r="I1292" t="s">
        <v>2743</v>
      </c>
      <c r="J1292" t="s">
        <v>2972</v>
      </c>
      <c r="L1292" t="s">
        <v>2727</v>
      </c>
      <c r="M1292" t="s">
        <v>3227</v>
      </c>
    </row>
    <row r="1293" spans="6:13" x14ac:dyDescent="0.25">
      <c r="F1293" t="s">
        <v>4747</v>
      </c>
      <c r="G1293" t="s">
        <v>3513</v>
      </c>
      <c r="I1293" t="s">
        <v>2745</v>
      </c>
      <c r="J1293" t="s">
        <v>2969</v>
      </c>
      <c r="L1293" t="s">
        <v>7035</v>
      </c>
      <c r="M1293" t="s">
        <v>1743</v>
      </c>
    </row>
    <row r="1294" spans="6:13" x14ac:dyDescent="0.25">
      <c r="F1294" t="s">
        <v>4620</v>
      </c>
      <c r="G1294" t="s">
        <v>4968</v>
      </c>
      <c r="I1294" t="s">
        <v>2743</v>
      </c>
      <c r="J1294" t="s">
        <v>2949</v>
      </c>
      <c r="L1294" t="s">
        <v>459</v>
      </c>
      <c r="M1294" t="s">
        <v>1859</v>
      </c>
    </row>
    <row r="1295" spans="6:13" x14ac:dyDescent="0.25">
      <c r="F1295" t="s">
        <v>4691</v>
      </c>
      <c r="G1295" t="s">
        <v>4996</v>
      </c>
      <c r="I1295" t="s">
        <v>2743</v>
      </c>
      <c r="J1295" t="s">
        <v>3979</v>
      </c>
      <c r="L1295" t="s">
        <v>7635</v>
      </c>
      <c r="M1295" t="s">
        <v>1835</v>
      </c>
    </row>
    <row r="1296" spans="6:13" x14ac:dyDescent="0.25">
      <c r="F1296" t="s">
        <v>4853</v>
      </c>
      <c r="G1296" t="s">
        <v>4854</v>
      </c>
      <c r="I1296" t="s">
        <v>254</v>
      </c>
      <c r="J1296" t="s">
        <v>1412</v>
      </c>
      <c r="L1296" t="s">
        <v>289</v>
      </c>
      <c r="M1296" t="s">
        <v>1736</v>
      </c>
    </row>
    <row r="1297" spans="6:13" x14ac:dyDescent="0.25">
      <c r="F1297" t="s">
        <v>5091</v>
      </c>
      <c r="G1297" t="s">
        <v>4651</v>
      </c>
      <c r="I1297" t="s">
        <v>392</v>
      </c>
      <c r="J1297" t="s">
        <v>4128</v>
      </c>
      <c r="L1297" t="s">
        <v>95</v>
      </c>
      <c r="M1297" t="s">
        <v>7173</v>
      </c>
    </row>
    <row r="1298" spans="6:13" x14ac:dyDescent="0.25">
      <c r="F1298" t="s">
        <v>48</v>
      </c>
      <c r="G1298" t="s">
        <v>4709</v>
      </c>
      <c r="I1298" t="s">
        <v>5554</v>
      </c>
      <c r="J1298" t="s">
        <v>5555</v>
      </c>
      <c r="L1298" t="s">
        <v>7484</v>
      </c>
      <c r="M1298" t="s">
        <v>2033</v>
      </c>
    </row>
    <row r="1299" spans="6:13" x14ac:dyDescent="0.25">
      <c r="I1299" t="s">
        <v>91</v>
      </c>
      <c r="J1299" t="s">
        <v>6269</v>
      </c>
      <c r="L1299" t="s">
        <v>392</v>
      </c>
      <c r="M1299" t="s">
        <v>3232</v>
      </c>
    </row>
    <row r="1300" spans="6:13" x14ac:dyDescent="0.25">
      <c r="I1300" t="s">
        <v>315</v>
      </c>
      <c r="J1300" t="s">
        <v>2845</v>
      </c>
      <c r="L1300" t="s">
        <v>315</v>
      </c>
      <c r="M1300" t="s">
        <v>2297</v>
      </c>
    </row>
    <row r="1301" spans="6:13" x14ac:dyDescent="0.25">
      <c r="I1301" t="s">
        <v>313</v>
      </c>
      <c r="J1301" t="s">
        <v>1535</v>
      </c>
      <c r="L1301" t="s">
        <v>551</v>
      </c>
      <c r="M1301" t="s">
        <v>7322</v>
      </c>
    </row>
    <row r="1302" spans="6:13" x14ac:dyDescent="0.25">
      <c r="I1302" t="s">
        <v>6004</v>
      </c>
      <c r="J1302" t="s">
        <v>6860</v>
      </c>
      <c r="L1302" t="s">
        <v>2748</v>
      </c>
      <c r="M1302" t="s">
        <v>3254</v>
      </c>
    </row>
    <row r="1303" spans="6:13" x14ac:dyDescent="0.25">
      <c r="I1303" t="s">
        <v>5681</v>
      </c>
      <c r="J1303" t="s">
        <v>6510</v>
      </c>
      <c r="L1303" t="s">
        <v>37</v>
      </c>
      <c r="M1303" t="s">
        <v>7105</v>
      </c>
    </row>
    <row r="1304" spans="6:13" x14ac:dyDescent="0.25">
      <c r="I1304" t="s">
        <v>2730</v>
      </c>
      <c r="J1304" t="s">
        <v>2812</v>
      </c>
      <c r="L1304" t="s">
        <v>3861</v>
      </c>
      <c r="M1304" t="s">
        <v>4256</v>
      </c>
    </row>
    <row r="1305" spans="6:13" x14ac:dyDescent="0.25">
      <c r="I1305" t="s">
        <v>313</v>
      </c>
      <c r="J1305" t="s">
        <v>6795</v>
      </c>
      <c r="L1305" t="s">
        <v>286</v>
      </c>
      <c r="M1305" t="s">
        <v>7804</v>
      </c>
    </row>
    <row r="1306" spans="6:13" x14ac:dyDescent="0.25">
      <c r="I1306" t="s">
        <v>5614</v>
      </c>
      <c r="J1306" t="s">
        <v>965</v>
      </c>
      <c r="L1306" t="s">
        <v>392</v>
      </c>
      <c r="M1306" t="s">
        <v>2608</v>
      </c>
    </row>
    <row r="1307" spans="6:13" x14ac:dyDescent="0.25">
      <c r="I1307" t="s">
        <v>315</v>
      </c>
      <c r="J1307" t="s">
        <v>2872</v>
      </c>
      <c r="L1307" t="s">
        <v>459</v>
      </c>
      <c r="M1307" t="s">
        <v>1833</v>
      </c>
    </row>
    <row r="1308" spans="6:13" x14ac:dyDescent="0.25">
      <c r="I1308" t="s">
        <v>289</v>
      </c>
      <c r="J1308" t="s">
        <v>790</v>
      </c>
      <c r="L1308" t="s">
        <v>7321</v>
      </c>
      <c r="M1308" t="s">
        <v>3155</v>
      </c>
    </row>
    <row r="1309" spans="6:13" x14ac:dyDescent="0.25">
      <c r="I1309" t="s">
        <v>90</v>
      </c>
      <c r="J1309" t="s">
        <v>1270</v>
      </c>
      <c r="L1309" t="s">
        <v>293</v>
      </c>
      <c r="M1309" t="s">
        <v>7603</v>
      </c>
    </row>
    <row r="1310" spans="6:13" x14ac:dyDescent="0.25">
      <c r="I1310" t="s">
        <v>37</v>
      </c>
      <c r="J1310" t="s">
        <v>1582</v>
      </c>
      <c r="L1310" t="s">
        <v>1</v>
      </c>
      <c r="M1310" t="s">
        <v>7868</v>
      </c>
    </row>
    <row r="1311" spans="6:13" x14ac:dyDescent="0.25">
      <c r="I1311" t="s">
        <v>6333</v>
      </c>
      <c r="J1311" t="s">
        <v>1360</v>
      </c>
      <c r="L1311" t="s">
        <v>4438</v>
      </c>
      <c r="M1311" t="s">
        <v>7589</v>
      </c>
    </row>
    <row r="1312" spans="6:13" x14ac:dyDescent="0.25">
      <c r="I1312" t="s">
        <v>17</v>
      </c>
      <c r="J1312" t="s">
        <v>5749</v>
      </c>
      <c r="L1312" t="s">
        <v>459</v>
      </c>
      <c r="M1312" t="s">
        <v>1775</v>
      </c>
    </row>
    <row r="1313" spans="9:13" x14ac:dyDescent="0.25">
      <c r="I1313" t="s">
        <v>5414</v>
      </c>
      <c r="J1313" t="s">
        <v>6351</v>
      </c>
      <c r="L1313" t="s">
        <v>6937</v>
      </c>
      <c r="M1313" t="s">
        <v>6973</v>
      </c>
    </row>
    <row r="1314" spans="9:13" x14ac:dyDescent="0.25">
      <c r="I1314" t="s">
        <v>278</v>
      </c>
      <c r="J1314" t="s">
        <v>1502</v>
      </c>
      <c r="L1314" t="s">
        <v>37</v>
      </c>
      <c r="M1314" t="s">
        <v>7636</v>
      </c>
    </row>
    <row r="1315" spans="9:13" x14ac:dyDescent="0.25">
      <c r="I1315" t="s">
        <v>5951</v>
      </c>
      <c r="J1315" t="s">
        <v>5952</v>
      </c>
      <c r="L1315" t="s">
        <v>7159</v>
      </c>
      <c r="M1315" t="s">
        <v>2136</v>
      </c>
    </row>
    <row r="1316" spans="9:13" x14ac:dyDescent="0.25">
      <c r="I1316" t="s">
        <v>6002</v>
      </c>
      <c r="J1316" t="s">
        <v>2494</v>
      </c>
      <c r="L1316" t="s">
        <v>289</v>
      </c>
      <c r="M1316" t="s">
        <v>7330</v>
      </c>
    </row>
    <row r="1317" spans="9:13" x14ac:dyDescent="0.25">
      <c r="I1317" t="s">
        <v>5847</v>
      </c>
      <c r="J1317" t="s">
        <v>5848</v>
      </c>
      <c r="L1317" t="s">
        <v>1</v>
      </c>
      <c r="M1317" t="s">
        <v>7934</v>
      </c>
    </row>
    <row r="1318" spans="9:13" x14ac:dyDescent="0.25">
      <c r="I1318" t="s">
        <v>313</v>
      </c>
      <c r="J1318" t="s">
        <v>1610</v>
      </c>
      <c r="L1318" t="s">
        <v>7698</v>
      </c>
      <c r="M1318" t="s">
        <v>1792</v>
      </c>
    </row>
    <row r="1319" spans="9:13" x14ac:dyDescent="0.25">
      <c r="I1319" t="s">
        <v>90</v>
      </c>
      <c r="J1319" t="s">
        <v>1086</v>
      </c>
      <c r="L1319" t="s">
        <v>286</v>
      </c>
      <c r="M1319" t="s">
        <v>7892</v>
      </c>
    </row>
    <row r="1320" spans="9:13" x14ac:dyDescent="0.25">
      <c r="I1320" t="s">
        <v>253</v>
      </c>
      <c r="J1320" t="s">
        <v>5594</v>
      </c>
      <c r="L1320" t="s">
        <v>286</v>
      </c>
      <c r="M1320" t="s">
        <v>7169</v>
      </c>
    </row>
    <row r="1321" spans="9:13" x14ac:dyDescent="0.25">
      <c r="I1321" t="s">
        <v>5236</v>
      </c>
      <c r="J1321" t="s">
        <v>5900</v>
      </c>
      <c r="L1321" t="s">
        <v>254</v>
      </c>
      <c r="M1321" t="s">
        <v>1894</v>
      </c>
    </row>
    <row r="1322" spans="9:13" x14ac:dyDescent="0.25">
      <c r="I1322" t="s">
        <v>313</v>
      </c>
      <c r="J1322" t="s">
        <v>6804</v>
      </c>
      <c r="L1322" t="s">
        <v>3861</v>
      </c>
      <c r="M1322" t="s">
        <v>4244</v>
      </c>
    </row>
    <row r="1323" spans="9:13" x14ac:dyDescent="0.25">
      <c r="I1323" t="s">
        <v>6729</v>
      </c>
      <c r="J1323" t="s">
        <v>6730</v>
      </c>
      <c r="L1323" t="s">
        <v>6999</v>
      </c>
      <c r="M1323" t="s">
        <v>2259</v>
      </c>
    </row>
    <row r="1324" spans="9:13" x14ac:dyDescent="0.25">
      <c r="I1324" t="s">
        <v>254</v>
      </c>
      <c r="J1324" t="s">
        <v>6861</v>
      </c>
      <c r="L1324" t="s">
        <v>36</v>
      </c>
      <c r="M1324" t="s">
        <v>6921</v>
      </c>
    </row>
    <row r="1325" spans="9:13" x14ac:dyDescent="0.25">
      <c r="I1325" t="s">
        <v>407</v>
      </c>
      <c r="J1325" t="s">
        <v>6481</v>
      </c>
      <c r="L1325" t="s">
        <v>459</v>
      </c>
      <c r="M1325" t="s">
        <v>2325</v>
      </c>
    </row>
    <row r="1326" spans="9:13" x14ac:dyDescent="0.25">
      <c r="I1326" t="s">
        <v>14</v>
      </c>
      <c r="J1326" t="s">
        <v>2518</v>
      </c>
      <c r="L1326" t="s">
        <v>3861</v>
      </c>
      <c r="M1326" t="s">
        <v>4266</v>
      </c>
    </row>
    <row r="1327" spans="9:13" x14ac:dyDescent="0.25">
      <c r="I1327" t="s">
        <v>6167</v>
      </c>
      <c r="J1327" t="s">
        <v>2873</v>
      </c>
      <c r="L1327" t="s">
        <v>286</v>
      </c>
      <c r="M1327" t="s">
        <v>7577</v>
      </c>
    </row>
    <row r="1328" spans="9:13" x14ac:dyDescent="0.25">
      <c r="I1328" t="s">
        <v>392</v>
      </c>
      <c r="J1328" t="s">
        <v>2526</v>
      </c>
      <c r="L1328" t="s">
        <v>313</v>
      </c>
      <c r="M1328" t="s">
        <v>1712</v>
      </c>
    </row>
    <row r="1329" spans="9:13" x14ac:dyDescent="0.25">
      <c r="I1329" t="s">
        <v>289</v>
      </c>
      <c r="J1329" t="s">
        <v>6690</v>
      </c>
      <c r="L1329" t="s">
        <v>17</v>
      </c>
      <c r="M1329" t="s">
        <v>7654</v>
      </c>
    </row>
    <row r="1330" spans="9:13" x14ac:dyDescent="0.25">
      <c r="I1330" t="s">
        <v>336</v>
      </c>
      <c r="J1330" t="s">
        <v>1481</v>
      </c>
      <c r="L1330" t="s">
        <v>2745</v>
      </c>
      <c r="M1330" t="s">
        <v>3145</v>
      </c>
    </row>
    <row r="1331" spans="9:13" x14ac:dyDescent="0.25">
      <c r="I1331" t="s">
        <v>356</v>
      </c>
      <c r="J1331" t="s">
        <v>5551</v>
      </c>
      <c r="L1331" t="s">
        <v>37</v>
      </c>
      <c r="M1331" t="s">
        <v>7147</v>
      </c>
    </row>
    <row r="1332" spans="9:13" x14ac:dyDescent="0.25">
      <c r="I1332" t="s">
        <v>313</v>
      </c>
      <c r="J1332" t="s">
        <v>8007</v>
      </c>
      <c r="L1332" t="s">
        <v>254</v>
      </c>
      <c r="M1332" t="s">
        <v>1822</v>
      </c>
    </row>
    <row r="1333" spans="9:13" x14ac:dyDescent="0.25">
      <c r="I1333" t="s">
        <v>465</v>
      </c>
      <c r="J1333" t="s">
        <v>1453</v>
      </c>
      <c r="L1333" t="s">
        <v>459</v>
      </c>
      <c r="M1333" t="s">
        <v>2236</v>
      </c>
    </row>
    <row r="1334" spans="9:13" x14ac:dyDescent="0.25">
      <c r="I1334" t="s">
        <v>6842</v>
      </c>
      <c r="J1334" t="s">
        <v>1629</v>
      </c>
      <c r="L1334" t="s">
        <v>459</v>
      </c>
      <c r="M1334" t="s">
        <v>1873</v>
      </c>
    </row>
    <row r="1335" spans="9:13" x14ac:dyDescent="0.25">
      <c r="I1335" t="s">
        <v>404</v>
      </c>
      <c r="J1335" t="s">
        <v>1213</v>
      </c>
      <c r="L1335" t="s">
        <v>4557</v>
      </c>
      <c r="M1335" t="s">
        <v>1713</v>
      </c>
    </row>
    <row r="1336" spans="9:13" x14ac:dyDescent="0.25">
      <c r="I1336" t="s">
        <v>404</v>
      </c>
      <c r="J1336" t="s">
        <v>2974</v>
      </c>
      <c r="L1336" t="s">
        <v>7316</v>
      </c>
      <c r="M1336" t="s">
        <v>1902</v>
      </c>
    </row>
    <row r="1337" spans="9:13" x14ac:dyDescent="0.25">
      <c r="I1337" t="s">
        <v>5529</v>
      </c>
      <c r="J1337" t="s">
        <v>5530</v>
      </c>
      <c r="L1337" t="s">
        <v>7450</v>
      </c>
      <c r="M1337" t="s">
        <v>1791</v>
      </c>
    </row>
    <row r="1338" spans="9:13" x14ac:dyDescent="0.25">
      <c r="I1338" t="s">
        <v>46</v>
      </c>
      <c r="J1338" t="s">
        <v>1287</v>
      </c>
      <c r="L1338" t="s">
        <v>2727</v>
      </c>
      <c r="M1338" t="s">
        <v>2118</v>
      </c>
    </row>
    <row r="1339" spans="9:13" x14ac:dyDescent="0.25">
      <c r="I1339" t="s">
        <v>6379</v>
      </c>
      <c r="J1339" t="s">
        <v>2525</v>
      </c>
      <c r="L1339" t="s">
        <v>2739</v>
      </c>
      <c r="M1339" t="s">
        <v>3253</v>
      </c>
    </row>
    <row r="1340" spans="9:13" x14ac:dyDescent="0.25">
      <c r="I1340" t="s">
        <v>6708</v>
      </c>
      <c r="J1340" t="s">
        <v>1568</v>
      </c>
      <c r="L1340" t="s">
        <v>289</v>
      </c>
      <c r="M1340" t="s">
        <v>7590</v>
      </c>
    </row>
    <row r="1341" spans="9:13" x14ac:dyDescent="0.25">
      <c r="I1341" t="s">
        <v>5336</v>
      </c>
      <c r="J1341" t="s">
        <v>5337</v>
      </c>
      <c r="L1341" t="s">
        <v>254</v>
      </c>
      <c r="M1341" t="s">
        <v>2172</v>
      </c>
    </row>
    <row r="1342" spans="9:13" x14ac:dyDescent="0.25">
      <c r="I1342" t="s">
        <v>5308</v>
      </c>
      <c r="J1342" t="s">
        <v>6605</v>
      </c>
      <c r="L1342" t="s">
        <v>313</v>
      </c>
      <c r="M1342" t="s">
        <v>1750</v>
      </c>
    </row>
    <row r="1343" spans="9:13" x14ac:dyDescent="0.25">
      <c r="I1343" t="s">
        <v>399</v>
      </c>
      <c r="J1343" t="s">
        <v>5699</v>
      </c>
      <c r="L1343" t="s">
        <v>286</v>
      </c>
      <c r="M1343" t="s">
        <v>7708</v>
      </c>
    </row>
    <row r="1344" spans="9:13" x14ac:dyDescent="0.25">
      <c r="I1344" t="s">
        <v>5904</v>
      </c>
      <c r="J1344" t="s">
        <v>5905</v>
      </c>
      <c r="L1344" t="s">
        <v>7390</v>
      </c>
      <c r="M1344" t="s">
        <v>1692</v>
      </c>
    </row>
    <row r="1345" spans="9:13" x14ac:dyDescent="0.25">
      <c r="I1345" t="s">
        <v>313</v>
      </c>
      <c r="J1345" t="s">
        <v>989</v>
      </c>
      <c r="L1345" t="s">
        <v>254</v>
      </c>
      <c r="M1345" t="s">
        <v>2085</v>
      </c>
    </row>
    <row r="1346" spans="9:13" x14ac:dyDescent="0.25">
      <c r="I1346" t="s">
        <v>6128</v>
      </c>
      <c r="J1346" t="s">
        <v>6867</v>
      </c>
      <c r="L1346" t="s">
        <v>47</v>
      </c>
      <c r="M1346" t="s">
        <v>7288</v>
      </c>
    </row>
    <row r="1347" spans="9:13" x14ac:dyDescent="0.25">
      <c r="I1347" t="s">
        <v>63</v>
      </c>
      <c r="J1347" t="s">
        <v>2541</v>
      </c>
      <c r="L1347" t="s">
        <v>286</v>
      </c>
      <c r="M1347" t="s">
        <v>7053</v>
      </c>
    </row>
    <row r="1348" spans="9:13" x14ac:dyDescent="0.25">
      <c r="I1348" t="s">
        <v>46</v>
      </c>
      <c r="J1348" t="s">
        <v>5964</v>
      </c>
      <c r="L1348" t="s">
        <v>286</v>
      </c>
      <c r="M1348" t="s">
        <v>7073</v>
      </c>
    </row>
    <row r="1349" spans="9:13" x14ac:dyDescent="0.25">
      <c r="I1349" t="s">
        <v>393</v>
      </c>
      <c r="J1349" t="s">
        <v>6774</v>
      </c>
      <c r="L1349" t="s">
        <v>3861</v>
      </c>
      <c r="M1349" t="s">
        <v>4278</v>
      </c>
    </row>
    <row r="1350" spans="9:13" x14ac:dyDescent="0.25">
      <c r="I1350" t="s">
        <v>5893</v>
      </c>
      <c r="J1350" t="s">
        <v>1112</v>
      </c>
      <c r="L1350" t="s">
        <v>401</v>
      </c>
      <c r="M1350" t="s">
        <v>2258</v>
      </c>
    </row>
    <row r="1351" spans="9:13" x14ac:dyDescent="0.25">
      <c r="I1351" t="s">
        <v>338</v>
      </c>
      <c r="J1351" t="s">
        <v>847</v>
      </c>
      <c r="L1351" t="s">
        <v>95</v>
      </c>
      <c r="M1351" t="s">
        <v>7343</v>
      </c>
    </row>
    <row r="1352" spans="9:13" x14ac:dyDescent="0.25">
      <c r="I1352" t="s">
        <v>276</v>
      </c>
      <c r="J1352" t="s">
        <v>1228</v>
      </c>
      <c r="L1352" t="s">
        <v>3861</v>
      </c>
      <c r="M1352" t="s">
        <v>4181</v>
      </c>
    </row>
    <row r="1353" spans="9:13" x14ac:dyDescent="0.25">
      <c r="I1353" t="s">
        <v>254</v>
      </c>
      <c r="J1353" t="s">
        <v>1597</v>
      </c>
      <c r="L1353" t="s">
        <v>7517</v>
      </c>
      <c r="M1353" t="s">
        <v>2040</v>
      </c>
    </row>
    <row r="1354" spans="9:13" x14ac:dyDescent="0.25">
      <c r="I1354" t="s">
        <v>5315</v>
      </c>
      <c r="J1354" t="s">
        <v>1495</v>
      </c>
      <c r="L1354" t="s">
        <v>5828</v>
      </c>
      <c r="M1354" t="s">
        <v>7096</v>
      </c>
    </row>
    <row r="1355" spans="9:13" x14ac:dyDescent="0.25">
      <c r="I1355" t="s">
        <v>3861</v>
      </c>
      <c r="J1355" t="s">
        <v>4082</v>
      </c>
      <c r="L1355" t="s">
        <v>254</v>
      </c>
      <c r="M1355" t="s">
        <v>7023</v>
      </c>
    </row>
    <row r="1356" spans="9:13" x14ac:dyDescent="0.25">
      <c r="I1356" t="s">
        <v>5338</v>
      </c>
      <c r="J1356" t="s">
        <v>6710</v>
      </c>
      <c r="L1356" t="s">
        <v>394</v>
      </c>
      <c r="M1356" t="s">
        <v>2261</v>
      </c>
    </row>
    <row r="1357" spans="9:13" x14ac:dyDescent="0.25">
      <c r="I1357" t="s">
        <v>17</v>
      </c>
      <c r="J1357" t="s">
        <v>5519</v>
      </c>
      <c r="L1357" t="s">
        <v>37</v>
      </c>
      <c r="M1357" t="s">
        <v>3169</v>
      </c>
    </row>
    <row r="1358" spans="9:13" x14ac:dyDescent="0.25">
      <c r="I1358" t="s">
        <v>404</v>
      </c>
      <c r="J1358" t="s">
        <v>2883</v>
      </c>
      <c r="L1358" t="s">
        <v>9</v>
      </c>
      <c r="M1358" t="s">
        <v>7148</v>
      </c>
    </row>
    <row r="1359" spans="9:13" x14ac:dyDescent="0.25">
      <c r="I1359" t="s">
        <v>3861</v>
      </c>
      <c r="J1359" t="s">
        <v>3934</v>
      </c>
      <c r="L1359" t="s">
        <v>313</v>
      </c>
      <c r="M1359" t="s">
        <v>2100</v>
      </c>
    </row>
    <row r="1360" spans="9:13" x14ac:dyDescent="0.25">
      <c r="I1360" t="s">
        <v>63</v>
      </c>
      <c r="J1360" t="s">
        <v>4134</v>
      </c>
      <c r="L1360" t="s">
        <v>2724</v>
      </c>
      <c r="M1360" t="s">
        <v>7923</v>
      </c>
    </row>
    <row r="1361" spans="9:13" x14ac:dyDescent="0.25">
      <c r="I1361" t="s">
        <v>3896</v>
      </c>
      <c r="J1361" t="s">
        <v>3897</v>
      </c>
      <c r="L1361" t="s">
        <v>7355</v>
      </c>
      <c r="M1361" t="s">
        <v>3216</v>
      </c>
    </row>
    <row r="1362" spans="9:13" x14ac:dyDescent="0.25">
      <c r="I1362" t="s">
        <v>2748</v>
      </c>
      <c r="J1362" t="s">
        <v>6597</v>
      </c>
      <c r="L1362" t="s">
        <v>459</v>
      </c>
      <c r="M1362" t="s">
        <v>2091</v>
      </c>
    </row>
    <row r="1363" spans="9:13" x14ac:dyDescent="0.25">
      <c r="I1363" t="s">
        <v>286</v>
      </c>
      <c r="J1363" t="s">
        <v>920</v>
      </c>
      <c r="L1363" t="s">
        <v>37</v>
      </c>
      <c r="M1363" t="s">
        <v>7385</v>
      </c>
    </row>
    <row r="1364" spans="9:13" x14ac:dyDescent="0.25">
      <c r="I1364" t="s">
        <v>17</v>
      </c>
      <c r="J1364" t="s">
        <v>1637</v>
      </c>
      <c r="L1364" t="s">
        <v>254</v>
      </c>
      <c r="M1364" t="s">
        <v>1729</v>
      </c>
    </row>
    <row r="1365" spans="9:13" x14ac:dyDescent="0.25">
      <c r="I1365" t="s">
        <v>318</v>
      </c>
      <c r="J1365" t="s">
        <v>5572</v>
      </c>
      <c r="L1365" t="s">
        <v>7276</v>
      </c>
      <c r="M1365" t="s">
        <v>7277</v>
      </c>
    </row>
    <row r="1366" spans="9:13" x14ac:dyDescent="0.25">
      <c r="I1366" t="s">
        <v>2748</v>
      </c>
      <c r="J1366" t="s">
        <v>6045</v>
      </c>
      <c r="L1366" t="s">
        <v>401</v>
      </c>
      <c r="M1366" t="s">
        <v>7171</v>
      </c>
    </row>
    <row r="1367" spans="9:13" x14ac:dyDescent="0.25">
      <c r="I1367" t="s">
        <v>2748</v>
      </c>
      <c r="J1367" t="s">
        <v>6364</v>
      </c>
      <c r="L1367" t="s">
        <v>313</v>
      </c>
      <c r="M1367" t="s">
        <v>1656</v>
      </c>
    </row>
    <row r="1368" spans="9:13" x14ac:dyDescent="0.25">
      <c r="I1368" t="s">
        <v>5616</v>
      </c>
      <c r="J1368" t="s">
        <v>6853</v>
      </c>
      <c r="L1368" t="s">
        <v>254</v>
      </c>
      <c r="M1368" t="s">
        <v>7100</v>
      </c>
    </row>
    <row r="1369" spans="9:13" x14ac:dyDescent="0.25">
      <c r="I1369" t="s">
        <v>289</v>
      </c>
      <c r="J1369" t="s">
        <v>5716</v>
      </c>
      <c r="L1369" t="s">
        <v>401</v>
      </c>
      <c r="M1369" t="s">
        <v>7325</v>
      </c>
    </row>
    <row r="1370" spans="9:13" x14ac:dyDescent="0.25">
      <c r="I1370" t="s">
        <v>356</v>
      </c>
      <c r="J1370" t="s">
        <v>6402</v>
      </c>
      <c r="L1370" t="s">
        <v>7071</v>
      </c>
      <c r="M1370" t="s">
        <v>1760</v>
      </c>
    </row>
    <row r="1371" spans="9:13" x14ac:dyDescent="0.25">
      <c r="I1371" t="s">
        <v>91</v>
      </c>
      <c r="J1371" t="s">
        <v>887</v>
      </c>
      <c r="L1371" t="s">
        <v>286</v>
      </c>
      <c r="M1371" t="s">
        <v>7695</v>
      </c>
    </row>
    <row r="1372" spans="9:13" x14ac:dyDescent="0.25">
      <c r="I1372" t="s">
        <v>289</v>
      </c>
      <c r="J1372" t="s">
        <v>5817</v>
      </c>
      <c r="L1372" t="s">
        <v>462</v>
      </c>
      <c r="M1372" t="s">
        <v>2351</v>
      </c>
    </row>
    <row r="1373" spans="9:13" x14ac:dyDescent="0.25">
      <c r="I1373" t="s">
        <v>5491</v>
      </c>
      <c r="J1373" t="s">
        <v>6146</v>
      </c>
      <c r="L1373" t="s">
        <v>401</v>
      </c>
      <c r="M1373" t="s">
        <v>7228</v>
      </c>
    </row>
    <row r="1374" spans="9:13" x14ac:dyDescent="0.25">
      <c r="I1374" t="s">
        <v>6580</v>
      </c>
      <c r="J1374" t="s">
        <v>1498</v>
      </c>
      <c r="L1374" t="s">
        <v>7575</v>
      </c>
      <c r="M1374" t="s">
        <v>7576</v>
      </c>
    </row>
    <row r="1375" spans="9:13" x14ac:dyDescent="0.25">
      <c r="I1375" t="s">
        <v>5401</v>
      </c>
      <c r="J1375" t="s">
        <v>2461</v>
      </c>
      <c r="L1375" t="s">
        <v>5917</v>
      </c>
      <c r="M1375" t="s">
        <v>1788</v>
      </c>
    </row>
    <row r="1376" spans="9:13" x14ac:dyDescent="0.25">
      <c r="I1376" t="s">
        <v>49</v>
      </c>
      <c r="J1376" t="s">
        <v>6003</v>
      </c>
      <c r="L1376" t="s">
        <v>254</v>
      </c>
      <c r="M1376" t="s">
        <v>6947</v>
      </c>
    </row>
    <row r="1377" spans="9:13" x14ac:dyDescent="0.25">
      <c r="I1377" t="s">
        <v>5393</v>
      </c>
      <c r="J1377" t="s">
        <v>863</v>
      </c>
      <c r="L1377" t="s">
        <v>7517</v>
      </c>
      <c r="M1377" t="s">
        <v>2138</v>
      </c>
    </row>
    <row r="1378" spans="9:13" x14ac:dyDescent="0.25">
      <c r="I1378" t="s">
        <v>5338</v>
      </c>
      <c r="J1378" t="s">
        <v>5395</v>
      </c>
      <c r="L1378" t="s">
        <v>254</v>
      </c>
      <c r="M1378" t="s">
        <v>2130</v>
      </c>
    </row>
    <row r="1379" spans="9:13" x14ac:dyDescent="0.25">
      <c r="I1379" t="s">
        <v>2739</v>
      </c>
      <c r="J1379" t="s">
        <v>2828</v>
      </c>
      <c r="L1379" t="s">
        <v>4826</v>
      </c>
      <c r="M1379" t="s">
        <v>4251</v>
      </c>
    </row>
    <row r="1380" spans="9:13" x14ac:dyDescent="0.25">
      <c r="I1380" t="s">
        <v>254</v>
      </c>
      <c r="J1380" t="s">
        <v>975</v>
      </c>
      <c r="L1380" t="s">
        <v>7405</v>
      </c>
      <c r="M1380" t="s">
        <v>1839</v>
      </c>
    </row>
    <row r="1381" spans="9:13" x14ac:dyDescent="0.25">
      <c r="I1381" t="s">
        <v>4342</v>
      </c>
      <c r="J1381" t="s">
        <v>5708</v>
      </c>
      <c r="L1381" t="s">
        <v>47</v>
      </c>
      <c r="M1381" t="s">
        <v>7856</v>
      </c>
    </row>
    <row r="1382" spans="9:13" x14ac:dyDescent="0.25">
      <c r="I1382" t="s">
        <v>5750</v>
      </c>
      <c r="J1382" t="s">
        <v>5751</v>
      </c>
      <c r="L1382" t="s">
        <v>280</v>
      </c>
      <c r="M1382" t="s">
        <v>7299</v>
      </c>
    </row>
    <row r="1383" spans="9:13" x14ac:dyDescent="0.25">
      <c r="I1383" t="s">
        <v>346</v>
      </c>
      <c r="J1383" t="s">
        <v>1460</v>
      </c>
      <c r="L1383" t="s">
        <v>123</v>
      </c>
      <c r="M1383" t="s">
        <v>7494</v>
      </c>
    </row>
    <row r="1384" spans="9:13" x14ac:dyDescent="0.25">
      <c r="I1384" t="s">
        <v>48</v>
      </c>
      <c r="J1384" t="s">
        <v>811</v>
      </c>
      <c r="L1384" t="s">
        <v>5372</v>
      </c>
      <c r="M1384" t="s">
        <v>4155</v>
      </c>
    </row>
    <row r="1385" spans="9:13" x14ac:dyDescent="0.25">
      <c r="I1385" t="s">
        <v>313</v>
      </c>
      <c r="J1385" t="s">
        <v>6399</v>
      </c>
      <c r="L1385" t="s">
        <v>2773</v>
      </c>
      <c r="M1385" t="s">
        <v>3181</v>
      </c>
    </row>
    <row r="1386" spans="9:13" x14ac:dyDescent="0.25">
      <c r="I1386" t="s">
        <v>5834</v>
      </c>
      <c r="J1386" t="s">
        <v>5835</v>
      </c>
      <c r="L1386" t="s">
        <v>7018</v>
      </c>
      <c r="M1386" t="s">
        <v>7019</v>
      </c>
    </row>
    <row r="1387" spans="9:13" x14ac:dyDescent="0.25">
      <c r="I1387" t="s">
        <v>6298</v>
      </c>
      <c r="J1387" t="s">
        <v>6765</v>
      </c>
      <c r="L1387" t="s">
        <v>289</v>
      </c>
      <c r="M1387" t="s">
        <v>2631</v>
      </c>
    </row>
    <row r="1388" spans="9:13" x14ac:dyDescent="0.25">
      <c r="I1388" t="s">
        <v>122</v>
      </c>
      <c r="J1388" t="s">
        <v>2820</v>
      </c>
      <c r="L1388" t="s">
        <v>459</v>
      </c>
      <c r="M1388" t="s">
        <v>2069</v>
      </c>
    </row>
    <row r="1389" spans="9:13" x14ac:dyDescent="0.25">
      <c r="I1389" t="s">
        <v>63</v>
      </c>
      <c r="J1389" t="s">
        <v>2484</v>
      </c>
      <c r="L1389" t="s">
        <v>7643</v>
      </c>
      <c r="M1389" t="s">
        <v>3105</v>
      </c>
    </row>
    <row r="1390" spans="9:13" x14ac:dyDescent="0.25">
      <c r="I1390" t="s">
        <v>2748</v>
      </c>
      <c r="J1390" t="s">
        <v>5783</v>
      </c>
      <c r="L1390" t="s">
        <v>289</v>
      </c>
      <c r="M1390" t="s">
        <v>2630</v>
      </c>
    </row>
    <row r="1391" spans="9:13" x14ac:dyDescent="0.25">
      <c r="I1391" t="s">
        <v>2748</v>
      </c>
      <c r="J1391" t="s">
        <v>5938</v>
      </c>
      <c r="L1391" t="s">
        <v>122</v>
      </c>
      <c r="M1391" t="s">
        <v>7790</v>
      </c>
    </row>
    <row r="1392" spans="9:13" x14ac:dyDescent="0.25">
      <c r="I1392" t="s">
        <v>2745</v>
      </c>
      <c r="J1392" t="s">
        <v>2976</v>
      </c>
      <c r="L1392" t="s">
        <v>399</v>
      </c>
      <c r="M1392" t="s">
        <v>7540</v>
      </c>
    </row>
    <row r="1393" spans="9:13" x14ac:dyDescent="0.25">
      <c r="I1393" t="s">
        <v>2748</v>
      </c>
      <c r="J1393" t="s">
        <v>2817</v>
      </c>
      <c r="L1393" t="s">
        <v>7083</v>
      </c>
      <c r="M1393" t="s">
        <v>7729</v>
      </c>
    </row>
    <row r="1394" spans="9:13" x14ac:dyDescent="0.25">
      <c r="I1394" t="s">
        <v>2748</v>
      </c>
      <c r="J1394" t="s">
        <v>2924</v>
      </c>
      <c r="L1394" t="s">
        <v>462</v>
      </c>
      <c r="M1394" t="s">
        <v>2106</v>
      </c>
    </row>
    <row r="1395" spans="9:13" x14ac:dyDescent="0.25">
      <c r="I1395" t="s">
        <v>2748</v>
      </c>
      <c r="J1395" t="s">
        <v>2825</v>
      </c>
      <c r="L1395" t="s">
        <v>462</v>
      </c>
      <c r="M1395" t="s">
        <v>2255</v>
      </c>
    </row>
    <row r="1396" spans="9:13" x14ac:dyDescent="0.25">
      <c r="I1396" t="s">
        <v>5296</v>
      </c>
      <c r="J1396" t="s">
        <v>5297</v>
      </c>
      <c r="L1396" t="s">
        <v>254</v>
      </c>
      <c r="M1396" t="s">
        <v>2017</v>
      </c>
    </row>
    <row r="1397" spans="9:13" x14ac:dyDescent="0.25">
      <c r="I1397" t="s">
        <v>465</v>
      </c>
      <c r="J1397" t="s">
        <v>1209</v>
      </c>
      <c r="L1397" t="s">
        <v>313</v>
      </c>
      <c r="M1397" t="s">
        <v>1882</v>
      </c>
    </row>
    <row r="1398" spans="9:13" x14ac:dyDescent="0.25">
      <c r="I1398" t="s">
        <v>5879</v>
      </c>
      <c r="J1398" t="s">
        <v>1107</v>
      </c>
      <c r="L1398" t="s">
        <v>254</v>
      </c>
      <c r="M1398" t="s">
        <v>7909</v>
      </c>
    </row>
    <row r="1399" spans="9:13" x14ac:dyDescent="0.25">
      <c r="I1399" t="s">
        <v>5994</v>
      </c>
      <c r="J1399" t="s">
        <v>5995</v>
      </c>
      <c r="L1399" t="s">
        <v>2727</v>
      </c>
      <c r="M1399" t="s">
        <v>3117</v>
      </c>
    </row>
    <row r="1400" spans="9:13" x14ac:dyDescent="0.25">
      <c r="I1400" t="s">
        <v>5739</v>
      </c>
      <c r="J1400" t="s">
        <v>1039</v>
      </c>
      <c r="L1400" t="s">
        <v>462</v>
      </c>
      <c r="M1400" t="s">
        <v>1730</v>
      </c>
    </row>
    <row r="1401" spans="9:13" x14ac:dyDescent="0.25">
      <c r="I1401" t="s">
        <v>3861</v>
      </c>
      <c r="J1401" t="s">
        <v>3893</v>
      </c>
      <c r="L1401" t="s">
        <v>3916</v>
      </c>
      <c r="M1401" t="s">
        <v>4252</v>
      </c>
    </row>
    <row r="1402" spans="9:13" x14ac:dyDescent="0.25">
      <c r="I1402" t="s">
        <v>254</v>
      </c>
      <c r="J1402" t="s">
        <v>1318</v>
      </c>
      <c r="L1402" t="s">
        <v>461</v>
      </c>
      <c r="M1402" t="s">
        <v>6993</v>
      </c>
    </row>
    <row r="1403" spans="9:13" x14ac:dyDescent="0.25">
      <c r="I1403" t="s">
        <v>278</v>
      </c>
      <c r="J1403" t="s">
        <v>809</v>
      </c>
      <c r="L1403" t="s">
        <v>401</v>
      </c>
      <c r="M1403" t="s">
        <v>2102</v>
      </c>
    </row>
    <row r="1404" spans="9:13" x14ac:dyDescent="0.25">
      <c r="I1404" t="s">
        <v>393</v>
      </c>
      <c r="J1404" t="s">
        <v>6074</v>
      </c>
      <c r="L1404" t="s">
        <v>7424</v>
      </c>
      <c r="M1404" t="s">
        <v>2115</v>
      </c>
    </row>
    <row r="1405" spans="9:13" x14ac:dyDescent="0.25">
      <c r="I1405" t="s">
        <v>338</v>
      </c>
      <c r="J1405" t="s">
        <v>2901</v>
      </c>
      <c r="L1405" t="s">
        <v>7607</v>
      </c>
      <c r="M1405" t="s">
        <v>2096</v>
      </c>
    </row>
    <row r="1406" spans="9:13" x14ac:dyDescent="0.25">
      <c r="I1406" t="s">
        <v>45</v>
      </c>
      <c r="J1406" t="s">
        <v>6234</v>
      </c>
      <c r="L1406" t="s">
        <v>7535</v>
      </c>
      <c r="M1406" t="s">
        <v>7536</v>
      </c>
    </row>
    <row r="1407" spans="9:13" x14ac:dyDescent="0.25">
      <c r="I1407" t="s">
        <v>254</v>
      </c>
      <c r="J1407" t="s">
        <v>6049</v>
      </c>
      <c r="L1407" t="s">
        <v>7310</v>
      </c>
      <c r="M1407" t="s">
        <v>3132</v>
      </c>
    </row>
    <row r="1408" spans="9:13" x14ac:dyDescent="0.25">
      <c r="I1408" t="s">
        <v>6870</v>
      </c>
      <c r="J1408" t="s">
        <v>1642</v>
      </c>
      <c r="L1408" t="s">
        <v>286</v>
      </c>
      <c r="M1408" t="s">
        <v>7968</v>
      </c>
    </row>
    <row r="1409" spans="9:13" x14ac:dyDescent="0.25">
      <c r="I1409" t="s">
        <v>313</v>
      </c>
      <c r="J1409" t="s">
        <v>8009</v>
      </c>
      <c r="L1409" t="s">
        <v>459</v>
      </c>
      <c r="M1409" t="s">
        <v>2315</v>
      </c>
    </row>
    <row r="1410" spans="9:13" x14ac:dyDescent="0.25">
      <c r="I1410" t="s">
        <v>254</v>
      </c>
      <c r="J1410" t="s">
        <v>3880</v>
      </c>
      <c r="L1410" t="s">
        <v>2727</v>
      </c>
      <c r="M1410" t="s">
        <v>7631</v>
      </c>
    </row>
    <row r="1411" spans="9:13" x14ac:dyDescent="0.25">
      <c r="I1411" t="s">
        <v>4438</v>
      </c>
      <c r="J1411" t="s">
        <v>5986</v>
      </c>
      <c r="L1411" t="s">
        <v>289</v>
      </c>
      <c r="M1411" t="s">
        <v>2615</v>
      </c>
    </row>
    <row r="1412" spans="9:13" x14ac:dyDescent="0.25">
      <c r="I1412" t="s">
        <v>283</v>
      </c>
      <c r="J1412" t="s">
        <v>2470</v>
      </c>
      <c r="L1412" t="s">
        <v>459</v>
      </c>
      <c r="M1412" t="s">
        <v>1950</v>
      </c>
    </row>
    <row r="1413" spans="9:13" x14ac:dyDescent="0.25">
      <c r="I1413" t="s">
        <v>313</v>
      </c>
      <c r="J1413" t="s">
        <v>6391</v>
      </c>
      <c r="L1413" t="s">
        <v>2748</v>
      </c>
      <c r="M1413" t="s">
        <v>3120</v>
      </c>
    </row>
    <row r="1414" spans="9:13" x14ac:dyDescent="0.25">
      <c r="I1414" t="s">
        <v>122</v>
      </c>
      <c r="J1414" t="s">
        <v>2792</v>
      </c>
      <c r="L1414" t="s">
        <v>462</v>
      </c>
      <c r="M1414" t="s">
        <v>2020</v>
      </c>
    </row>
    <row r="1415" spans="9:13" x14ac:dyDescent="0.25">
      <c r="I1415" t="s">
        <v>318</v>
      </c>
      <c r="J1415" t="s">
        <v>5902</v>
      </c>
      <c r="L1415" t="s">
        <v>459</v>
      </c>
      <c r="M1415" t="s">
        <v>1697</v>
      </c>
    </row>
    <row r="1416" spans="9:13" x14ac:dyDescent="0.25">
      <c r="I1416" t="s">
        <v>5491</v>
      </c>
      <c r="J1416" t="s">
        <v>5969</v>
      </c>
      <c r="L1416" t="s">
        <v>254</v>
      </c>
      <c r="M1416" t="s">
        <v>1707</v>
      </c>
    </row>
    <row r="1417" spans="9:13" x14ac:dyDescent="0.25">
      <c r="I1417" t="s">
        <v>313</v>
      </c>
      <c r="J1417" t="s">
        <v>1473</v>
      </c>
      <c r="L1417" t="s">
        <v>4152</v>
      </c>
      <c r="M1417" t="s">
        <v>4153</v>
      </c>
    </row>
    <row r="1418" spans="9:13" x14ac:dyDescent="0.25">
      <c r="I1418" t="s">
        <v>5980</v>
      </c>
      <c r="J1418" t="s">
        <v>1555</v>
      </c>
      <c r="L1418" t="s">
        <v>7018</v>
      </c>
      <c r="M1418" t="s">
        <v>7245</v>
      </c>
    </row>
    <row r="1419" spans="9:13" x14ac:dyDescent="0.25">
      <c r="I1419" t="s">
        <v>2748</v>
      </c>
      <c r="J1419" t="s">
        <v>5821</v>
      </c>
      <c r="L1419" t="s">
        <v>7430</v>
      </c>
      <c r="M1419" t="s">
        <v>1995</v>
      </c>
    </row>
    <row r="1420" spans="9:13" x14ac:dyDescent="0.25">
      <c r="I1420" t="s">
        <v>2748</v>
      </c>
      <c r="J1420" t="s">
        <v>6273</v>
      </c>
      <c r="L1420" t="s">
        <v>419</v>
      </c>
      <c r="M1420" t="s">
        <v>7900</v>
      </c>
    </row>
    <row r="1421" spans="9:13" x14ac:dyDescent="0.25">
      <c r="I1421" t="s">
        <v>6082</v>
      </c>
      <c r="J1421" t="s">
        <v>1207</v>
      </c>
      <c r="L1421" t="s">
        <v>1</v>
      </c>
      <c r="M1421" t="s">
        <v>6997</v>
      </c>
    </row>
    <row r="1422" spans="9:13" x14ac:dyDescent="0.25">
      <c r="I1422" t="s">
        <v>5683</v>
      </c>
      <c r="J1422" t="s">
        <v>1256</v>
      </c>
      <c r="L1422" t="s">
        <v>4168</v>
      </c>
      <c r="M1422" t="s">
        <v>4212</v>
      </c>
    </row>
    <row r="1423" spans="9:13" x14ac:dyDescent="0.25">
      <c r="I1423" t="s">
        <v>276</v>
      </c>
      <c r="J1423" t="s">
        <v>1389</v>
      </c>
      <c r="L1423" t="s">
        <v>392</v>
      </c>
      <c r="M1423" t="s">
        <v>3228</v>
      </c>
    </row>
    <row r="1424" spans="9:13" x14ac:dyDescent="0.25">
      <c r="I1424" t="s">
        <v>5861</v>
      </c>
      <c r="J1424" t="s">
        <v>1098</v>
      </c>
      <c r="L1424" t="s">
        <v>254</v>
      </c>
      <c r="M1424" t="s">
        <v>1667</v>
      </c>
    </row>
    <row r="1425" spans="9:13" x14ac:dyDescent="0.25">
      <c r="I1425" t="s">
        <v>5414</v>
      </c>
      <c r="J1425" t="s">
        <v>6092</v>
      </c>
      <c r="L1425" t="s">
        <v>37</v>
      </c>
      <c r="M1425" t="s">
        <v>2089</v>
      </c>
    </row>
    <row r="1426" spans="9:13" x14ac:dyDescent="0.25">
      <c r="I1426" t="s">
        <v>3861</v>
      </c>
      <c r="J1426" t="s">
        <v>4143</v>
      </c>
      <c r="L1426" t="s">
        <v>462</v>
      </c>
      <c r="M1426" t="s">
        <v>2245</v>
      </c>
    </row>
    <row r="1427" spans="9:13" x14ac:dyDescent="0.25">
      <c r="I1427" t="s">
        <v>5327</v>
      </c>
      <c r="J1427" t="s">
        <v>2787</v>
      </c>
      <c r="L1427" t="s">
        <v>5575</v>
      </c>
      <c r="M1427" t="s">
        <v>2142</v>
      </c>
    </row>
    <row r="1428" spans="9:13" x14ac:dyDescent="0.25">
      <c r="I1428" t="s">
        <v>254</v>
      </c>
      <c r="J1428" t="s">
        <v>5326</v>
      </c>
      <c r="L1428" t="s">
        <v>289</v>
      </c>
      <c r="M1428" t="s">
        <v>2607</v>
      </c>
    </row>
    <row r="1429" spans="9:13" x14ac:dyDescent="0.25">
      <c r="I1429" t="s">
        <v>5414</v>
      </c>
      <c r="J1429" t="s">
        <v>6256</v>
      </c>
      <c r="L1429" t="s">
        <v>6945</v>
      </c>
      <c r="M1429" t="s">
        <v>1660</v>
      </c>
    </row>
    <row r="1430" spans="9:13" x14ac:dyDescent="0.25">
      <c r="I1430" t="s">
        <v>417</v>
      </c>
      <c r="J1430" t="s">
        <v>2920</v>
      </c>
      <c r="L1430" t="s">
        <v>313</v>
      </c>
      <c r="M1430" t="s">
        <v>2173</v>
      </c>
    </row>
    <row r="1431" spans="9:13" x14ac:dyDescent="0.25">
      <c r="I1431" t="s">
        <v>313</v>
      </c>
      <c r="J1431" t="s">
        <v>6039</v>
      </c>
      <c r="L1431" t="s">
        <v>7552</v>
      </c>
      <c r="M1431" t="s">
        <v>2058</v>
      </c>
    </row>
    <row r="1432" spans="9:13" x14ac:dyDescent="0.25">
      <c r="I1432" t="s">
        <v>6002</v>
      </c>
      <c r="J1432" t="s">
        <v>6113</v>
      </c>
      <c r="L1432" t="s">
        <v>338</v>
      </c>
      <c r="M1432" t="s">
        <v>1756</v>
      </c>
    </row>
    <row r="1433" spans="9:13" x14ac:dyDescent="0.25">
      <c r="I1433" t="s">
        <v>313</v>
      </c>
      <c r="J1433" t="s">
        <v>913</v>
      </c>
      <c r="L1433" t="s">
        <v>459</v>
      </c>
      <c r="M1433" t="s">
        <v>2264</v>
      </c>
    </row>
    <row r="1434" spans="9:13" x14ac:dyDescent="0.25">
      <c r="I1434" t="s">
        <v>3861</v>
      </c>
      <c r="J1434" t="s">
        <v>4042</v>
      </c>
      <c r="L1434" t="s">
        <v>459</v>
      </c>
      <c r="M1434" t="s">
        <v>1663</v>
      </c>
    </row>
    <row r="1435" spans="9:13" x14ac:dyDescent="0.25">
      <c r="I1435" t="s">
        <v>48</v>
      </c>
      <c r="J1435" t="s">
        <v>5522</v>
      </c>
      <c r="L1435" t="s">
        <v>313</v>
      </c>
      <c r="M1435" t="s">
        <v>1844</v>
      </c>
    </row>
    <row r="1436" spans="9:13" x14ac:dyDescent="0.25">
      <c r="I1436" t="s">
        <v>5804</v>
      </c>
      <c r="J1436" t="s">
        <v>5805</v>
      </c>
      <c r="L1436" t="s">
        <v>7978</v>
      </c>
      <c r="M1436" t="s">
        <v>3135</v>
      </c>
    </row>
    <row r="1437" spans="9:13" x14ac:dyDescent="0.25">
      <c r="I1437" t="s">
        <v>5414</v>
      </c>
      <c r="J1437" t="s">
        <v>6150</v>
      </c>
      <c r="L1437" t="s">
        <v>9</v>
      </c>
      <c r="M1437" t="s">
        <v>2269</v>
      </c>
    </row>
    <row r="1438" spans="9:13" x14ac:dyDescent="0.25">
      <c r="I1438" t="s">
        <v>92</v>
      </c>
      <c r="J1438" t="s">
        <v>6303</v>
      </c>
      <c r="L1438" t="s">
        <v>313</v>
      </c>
      <c r="M1438" t="s">
        <v>1897</v>
      </c>
    </row>
    <row r="1439" spans="9:13" x14ac:dyDescent="0.25">
      <c r="I1439" t="s">
        <v>5543</v>
      </c>
      <c r="J1439" t="s">
        <v>1161</v>
      </c>
      <c r="L1439" t="s">
        <v>393</v>
      </c>
      <c r="M1439" t="s">
        <v>2107</v>
      </c>
    </row>
    <row r="1440" spans="9:13" x14ac:dyDescent="0.25">
      <c r="I1440" t="s">
        <v>63</v>
      </c>
      <c r="J1440" t="s">
        <v>2485</v>
      </c>
      <c r="L1440" t="s">
        <v>313</v>
      </c>
      <c r="M1440" t="s">
        <v>1814</v>
      </c>
    </row>
    <row r="1441" spans="9:13" x14ac:dyDescent="0.25">
      <c r="I1441" t="s">
        <v>254</v>
      </c>
      <c r="J1441" t="s">
        <v>6122</v>
      </c>
      <c r="L1441" t="s">
        <v>313</v>
      </c>
      <c r="M1441" t="s">
        <v>2308</v>
      </c>
    </row>
    <row r="1442" spans="9:13" x14ac:dyDescent="0.25">
      <c r="I1442" t="s">
        <v>254</v>
      </c>
      <c r="J1442" t="s">
        <v>1217</v>
      </c>
      <c r="L1442" t="s">
        <v>6908</v>
      </c>
      <c r="M1442" t="s">
        <v>1666</v>
      </c>
    </row>
    <row r="1443" spans="9:13" x14ac:dyDescent="0.25">
      <c r="I1443" t="s">
        <v>6375</v>
      </c>
      <c r="J1443" t="s">
        <v>1381</v>
      </c>
      <c r="L1443" t="s">
        <v>3861</v>
      </c>
      <c r="M1443" t="s">
        <v>4306</v>
      </c>
    </row>
    <row r="1444" spans="9:13" x14ac:dyDescent="0.25">
      <c r="I1444" t="s">
        <v>2748</v>
      </c>
      <c r="J1444" t="s">
        <v>6814</v>
      </c>
      <c r="L1444" t="s">
        <v>37</v>
      </c>
      <c r="M1444" t="s">
        <v>2331</v>
      </c>
    </row>
    <row r="1445" spans="9:13" x14ac:dyDescent="0.25">
      <c r="I1445" t="s">
        <v>2748</v>
      </c>
      <c r="J1445" t="s">
        <v>6578</v>
      </c>
      <c r="L1445" t="s">
        <v>7159</v>
      </c>
      <c r="M1445" t="s">
        <v>2111</v>
      </c>
    </row>
    <row r="1446" spans="9:13" x14ac:dyDescent="0.25">
      <c r="I1446" t="s">
        <v>95</v>
      </c>
      <c r="J1446" t="s">
        <v>6752</v>
      </c>
      <c r="L1446" t="s">
        <v>122</v>
      </c>
      <c r="M1446" t="s">
        <v>7702</v>
      </c>
    </row>
    <row r="1447" spans="9:13" x14ac:dyDescent="0.25">
      <c r="I1447" t="s">
        <v>5940</v>
      </c>
      <c r="J1447" t="s">
        <v>1624</v>
      </c>
      <c r="L1447" t="s">
        <v>461</v>
      </c>
      <c r="M1447" t="s">
        <v>7010</v>
      </c>
    </row>
    <row r="1448" spans="9:13" x14ac:dyDescent="0.25">
      <c r="I1448" t="s">
        <v>2733</v>
      </c>
      <c r="J1448" t="s">
        <v>2944</v>
      </c>
      <c r="L1448" t="s">
        <v>289</v>
      </c>
      <c r="M1448" t="s">
        <v>2624</v>
      </c>
    </row>
    <row r="1449" spans="9:13" x14ac:dyDescent="0.25">
      <c r="I1449" t="s">
        <v>5414</v>
      </c>
      <c r="J1449" t="s">
        <v>5914</v>
      </c>
      <c r="L1449" t="s">
        <v>95</v>
      </c>
      <c r="M1449" t="s">
        <v>7184</v>
      </c>
    </row>
    <row r="1450" spans="9:13" x14ac:dyDescent="0.25">
      <c r="I1450" t="s">
        <v>92</v>
      </c>
      <c r="J1450" t="s">
        <v>1326</v>
      </c>
      <c r="L1450" t="s">
        <v>123</v>
      </c>
      <c r="M1450" t="s">
        <v>6949</v>
      </c>
    </row>
    <row r="1451" spans="9:13" x14ac:dyDescent="0.25">
      <c r="I1451" t="s">
        <v>359</v>
      </c>
      <c r="J1451" t="s">
        <v>7996</v>
      </c>
      <c r="L1451" t="s">
        <v>289</v>
      </c>
      <c r="M1451" t="s">
        <v>2154</v>
      </c>
    </row>
    <row r="1452" spans="9:13" x14ac:dyDescent="0.25">
      <c r="I1452" t="s">
        <v>394</v>
      </c>
      <c r="J1452" t="s">
        <v>5285</v>
      </c>
      <c r="L1452" t="s">
        <v>7623</v>
      </c>
      <c r="M1452" t="s">
        <v>2576</v>
      </c>
    </row>
    <row r="1453" spans="9:13" x14ac:dyDescent="0.25">
      <c r="I1453" t="s">
        <v>6230</v>
      </c>
      <c r="J1453" t="s">
        <v>1294</v>
      </c>
      <c r="L1453" t="s">
        <v>419</v>
      </c>
      <c r="M1453" t="s">
        <v>7531</v>
      </c>
    </row>
    <row r="1454" spans="9:13" x14ac:dyDescent="0.25">
      <c r="I1454" t="s">
        <v>95</v>
      </c>
      <c r="J1454" t="s">
        <v>1517</v>
      </c>
      <c r="L1454" t="s">
        <v>7834</v>
      </c>
      <c r="M1454" t="s">
        <v>7835</v>
      </c>
    </row>
    <row r="1455" spans="9:13" x14ac:dyDescent="0.25">
      <c r="I1455" t="s">
        <v>93</v>
      </c>
      <c r="J1455" t="s">
        <v>1061</v>
      </c>
      <c r="L1455" t="s">
        <v>289</v>
      </c>
      <c r="M1455" t="s">
        <v>2610</v>
      </c>
    </row>
    <row r="1456" spans="9:13" x14ac:dyDescent="0.25">
      <c r="I1456" t="s">
        <v>6528</v>
      </c>
      <c r="J1456" t="s">
        <v>6529</v>
      </c>
      <c r="L1456" t="s">
        <v>280</v>
      </c>
      <c r="M1456" t="s">
        <v>7377</v>
      </c>
    </row>
    <row r="1457" spans="9:13" x14ac:dyDescent="0.25">
      <c r="I1457" t="s">
        <v>6772</v>
      </c>
      <c r="J1457" t="s">
        <v>6773</v>
      </c>
      <c r="L1457" t="s">
        <v>7392</v>
      </c>
      <c r="M1457" t="s">
        <v>1945</v>
      </c>
    </row>
    <row r="1458" spans="9:13" x14ac:dyDescent="0.25">
      <c r="I1458" t="s">
        <v>46</v>
      </c>
      <c r="J1458" t="s">
        <v>1170</v>
      </c>
      <c r="L1458" t="s">
        <v>95</v>
      </c>
      <c r="M1458" t="s">
        <v>7246</v>
      </c>
    </row>
    <row r="1459" spans="9:13" x14ac:dyDescent="0.25">
      <c r="I1459" t="s">
        <v>90</v>
      </c>
      <c r="J1459" t="s">
        <v>5427</v>
      </c>
      <c r="L1459" t="s">
        <v>7142</v>
      </c>
      <c r="M1459" t="s">
        <v>7143</v>
      </c>
    </row>
    <row r="1460" spans="9:13" x14ac:dyDescent="0.25">
      <c r="I1460" t="s">
        <v>5414</v>
      </c>
      <c r="J1460" t="s">
        <v>6142</v>
      </c>
      <c r="L1460" t="s">
        <v>286</v>
      </c>
      <c r="M1460" t="s">
        <v>7772</v>
      </c>
    </row>
    <row r="1461" spans="9:13" x14ac:dyDescent="0.25">
      <c r="I1461" t="s">
        <v>6143</v>
      </c>
      <c r="J1461" t="s">
        <v>6686</v>
      </c>
      <c r="L1461" t="s">
        <v>37</v>
      </c>
      <c r="M1461" t="s">
        <v>7281</v>
      </c>
    </row>
    <row r="1462" spans="9:13" x14ac:dyDescent="0.25">
      <c r="I1462" t="s">
        <v>394</v>
      </c>
      <c r="J1462" t="s">
        <v>6087</v>
      </c>
      <c r="L1462" t="s">
        <v>11</v>
      </c>
      <c r="M1462" t="s">
        <v>7242</v>
      </c>
    </row>
    <row r="1463" spans="9:13" x14ac:dyDescent="0.25">
      <c r="I1463" t="s">
        <v>6178</v>
      </c>
      <c r="J1463" t="s">
        <v>6179</v>
      </c>
      <c r="L1463" t="s">
        <v>37</v>
      </c>
      <c r="M1463" t="s">
        <v>1702</v>
      </c>
    </row>
    <row r="1464" spans="9:13" x14ac:dyDescent="0.25">
      <c r="I1464" t="s">
        <v>2748</v>
      </c>
      <c r="J1464" t="s">
        <v>5275</v>
      </c>
      <c r="L1464" t="s">
        <v>3861</v>
      </c>
      <c r="M1464" t="s">
        <v>4303</v>
      </c>
    </row>
    <row r="1465" spans="9:13" x14ac:dyDescent="0.25">
      <c r="I1465" t="s">
        <v>2748</v>
      </c>
      <c r="J1465" t="s">
        <v>6125</v>
      </c>
      <c r="L1465" t="s">
        <v>459</v>
      </c>
      <c r="M1465" t="s">
        <v>1957</v>
      </c>
    </row>
    <row r="1466" spans="9:13" x14ac:dyDescent="0.25">
      <c r="I1466" t="s">
        <v>5414</v>
      </c>
      <c r="J1466" t="s">
        <v>6023</v>
      </c>
      <c r="L1466" t="s">
        <v>7108</v>
      </c>
      <c r="M1466" t="s">
        <v>1981</v>
      </c>
    </row>
    <row r="1467" spans="9:13" x14ac:dyDescent="0.25">
      <c r="I1467" t="s">
        <v>6521</v>
      </c>
      <c r="J1467" t="s">
        <v>6522</v>
      </c>
      <c r="L1467" t="s">
        <v>4168</v>
      </c>
      <c r="M1467" t="s">
        <v>7662</v>
      </c>
    </row>
    <row r="1468" spans="9:13" x14ac:dyDescent="0.25">
      <c r="I1468" t="s">
        <v>313</v>
      </c>
      <c r="J1468" t="s">
        <v>5284</v>
      </c>
      <c r="L1468" t="s">
        <v>459</v>
      </c>
      <c r="M1468" t="s">
        <v>2153</v>
      </c>
    </row>
    <row r="1469" spans="9:13" x14ac:dyDescent="0.25">
      <c r="I1469" t="s">
        <v>39</v>
      </c>
      <c r="J1469" t="s">
        <v>928</v>
      </c>
      <c r="L1469" t="s">
        <v>7057</v>
      </c>
      <c r="M1469" t="s">
        <v>1652</v>
      </c>
    </row>
    <row r="1470" spans="9:13" x14ac:dyDescent="0.25">
      <c r="I1470" t="s">
        <v>2748</v>
      </c>
      <c r="J1470" t="s">
        <v>5320</v>
      </c>
      <c r="L1470" t="s">
        <v>7434</v>
      </c>
      <c r="M1470" t="s">
        <v>2299</v>
      </c>
    </row>
    <row r="1471" spans="9:13" x14ac:dyDescent="0.25">
      <c r="I1471" t="s">
        <v>313</v>
      </c>
      <c r="J1471" t="s">
        <v>1605</v>
      </c>
      <c r="L1471" t="s">
        <v>7358</v>
      </c>
      <c r="M1471" t="s">
        <v>1710</v>
      </c>
    </row>
    <row r="1472" spans="9:13" x14ac:dyDescent="0.25">
      <c r="I1472" t="s">
        <v>39</v>
      </c>
      <c r="J1472" t="s">
        <v>1369</v>
      </c>
      <c r="L1472" t="s">
        <v>2748</v>
      </c>
      <c r="M1472" t="s">
        <v>3245</v>
      </c>
    </row>
    <row r="1473" spans="9:13" x14ac:dyDescent="0.25">
      <c r="I1473" t="s">
        <v>39</v>
      </c>
      <c r="J1473" t="s">
        <v>1598</v>
      </c>
      <c r="L1473" t="s">
        <v>46</v>
      </c>
      <c r="M1473" t="s">
        <v>1654</v>
      </c>
    </row>
    <row r="1474" spans="9:13" x14ac:dyDescent="0.25">
      <c r="I1474" t="s">
        <v>5792</v>
      </c>
      <c r="J1474" t="s">
        <v>1067</v>
      </c>
      <c r="L1474" t="s">
        <v>459</v>
      </c>
      <c r="M1474" t="s">
        <v>2239</v>
      </c>
    </row>
    <row r="1475" spans="9:13" x14ac:dyDescent="0.25">
      <c r="I1475" t="s">
        <v>394</v>
      </c>
      <c r="J1475" t="s">
        <v>5430</v>
      </c>
      <c r="L1475" t="s">
        <v>4168</v>
      </c>
      <c r="M1475" t="s">
        <v>4189</v>
      </c>
    </row>
    <row r="1476" spans="9:13" x14ac:dyDescent="0.25">
      <c r="I1476" t="s">
        <v>4438</v>
      </c>
      <c r="J1476" t="s">
        <v>5291</v>
      </c>
      <c r="L1476" t="s">
        <v>36</v>
      </c>
      <c r="M1476" t="s">
        <v>7966</v>
      </c>
    </row>
    <row r="1477" spans="9:13" x14ac:dyDescent="0.25">
      <c r="I1477" t="s">
        <v>5414</v>
      </c>
      <c r="J1477" t="s">
        <v>6382</v>
      </c>
      <c r="L1477" t="s">
        <v>311</v>
      </c>
      <c r="M1477" t="s">
        <v>2171</v>
      </c>
    </row>
    <row r="1478" spans="9:13" x14ac:dyDescent="0.25">
      <c r="I1478" t="s">
        <v>394</v>
      </c>
      <c r="J1478" t="s">
        <v>5899</v>
      </c>
      <c r="L1478" t="s">
        <v>311</v>
      </c>
      <c r="M1478" t="s">
        <v>2024</v>
      </c>
    </row>
    <row r="1479" spans="9:13" x14ac:dyDescent="0.25">
      <c r="I1479" t="s">
        <v>5872</v>
      </c>
      <c r="J1479" t="s">
        <v>1648</v>
      </c>
      <c r="L1479" t="s">
        <v>280</v>
      </c>
      <c r="M1479" t="s">
        <v>7432</v>
      </c>
    </row>
    <row r="1480" spans="9:13" x14ac:dyDescent="0.25">
      <c r="I1480" t="s">
        <v>2748</v>
      </c>
      <c r="J1480" t="s">
        <v>4127</v>
      </c>
      <c r="L1480" t="s">
        <v>311</v>
      </c>
      <c r="M1480" t="s">
        <v>2362</v>
      </c>
    </row>
    <row r="1481" spans="9:13" x14ac:dyDescent="0.25">
      <c r="I1481" t="s">
        <v>2748</v>
      </c>
      <c r="J1481" t="s">
        <v>2826</v>
      </c>
      <c r="L1481" t="s">
        <v>3861</v>
      </c>
      <c r="M1481" t="s">
        <v>4310</v>
      </c>
    </row>
    <row r="1482" spans="9:13" x14ac:dyDescent="0.25">
      <c r="I1482" t="s">
        <v>47</v>
      </c>
      <c r="J1482" t="s">
        <v>832</v>
      </c>
      <c r="L1482" t="s">
        <v>313</v>
      </c>
      <c r="M1482" t="s">
        <v>1769</v>
      </c>
    </row>
    <row r="1483" spans="9:13" x14ac:dyDescent="0.25">
      <c r="I1483" t="s">
        <v>5301</v>
      </c>
      <c r="J1483" t="s">
        <v>5302</v>
      </c>
      <c r="L1483" t="s">
        <v>37</v>
      </c>
      <c r="M1483" t="s">
        <v>7447</v>
      </c>
    </row>
    <row r="1484" spans="9:13" x14ac:dyDescent="0.25">
      <c r="I1484" t="s">
        <v>318</v>
      </c>
      <c r="J1484" t="s">
        <v>6879</v>
      </c>
      <c r="L1484" t="s">
        <v>313</v>
      </c>
      <c r="M1484" t="s">
        <v>2193</v>
      </c>
    </row>
    <row r="1485" spans="9:13" x14ac:dyDescent="0.25">
      <c r="I1485" t="s">
        <v>3861</v>
      </c>
      <c r="J1485" t="s">
        <v>4126</v>
      </c>
      <c r="L1485" t="s">
        <v>62</v>
      </c>
      <c r="M1485" t="s">
        <v>7692</v>
      </c>
    </row>
    <row r="1486" spans="9:13" x14ac:dyDescent="0.25">
      <c r="I1486" t="s">
        <v>254</v>
      </c>
      <c r="J1486" t="s">
        <v>1368</v>
      </c>
      <c r="L1486" t="s">
        <v>21</v>
      </c>
      <c r="M1486" t="s">
        <v>2156</v>
      </c>
    </row>
    <row r="1487" spans="9:13" x14ac:dyDescent="0.25">
      <c r="I1487" t="s">
        <v>39</v>
      </c>
      <c r="J1487" t="s">
        <v>1525</v>
      </c>
      <c r="L1487" t="s">
        <v>37</v>
      </c>
      <c r="M1487" t="s">
        <v>2022</v>
      </c>
    </row>
    <row r="1488" spans="9:13" x14ac:dyDescent="0.25">
      <c r="I1488" t="s">
        <v>5414</v>
      </c>
      <c r="J1488" t="s">
        <v>5827</v>
      </c>
      <c r="L1488" t="s">
        <v>306</v>
      </c>
      <c r="M1488" t="s">
        <v>7630</v>
      </c>
    </row>
    <row r="1489" spans="9:13" x14ac:dyDescent="0.25">
      <c r="I1489" t="s">
        <v>6123</v>
      </c>
      <c r="J1489" t="s">
        <v>6124</v>
      </c>
      <c r="L1489" t="s">
        <v>37</v>
      </c>
      <c r="M1489" t="s">
        <v>2279</v>
      </c>
    </row>
    <row r="1490" spans="9:13" x14ac:dyDescent="0.25">
      <c r="I1490" t="s">
        <v>5414</v>
      </c>
      <c r="J1490" t="s">
        <v>6493</v>
      </c>
      <c r="L1490" t="s">
        <v>459</v>
      </c>
      <c r="M1490" t="s">
        <v>6916</v>
      </c>
    </row>
    <row r="1491" spans="9:13" x14ac:dyDescent="0.25">
      <c r="I1491" t="s">
        <v>5414</v>
      </c>
      <c r="J1491" t="s">
        <v>5415</v>
      </c>
      <c r="L1491" t="s">
        <v>309</v>
      </c>
      <c r="M1491" t="s">
        <v>2223</v>
      </c>
    </row>
    <row r="1492" spans="9:13" x14ac:dyDescent="0.25">
      <c r="I1492" t="s">
        <v>551</v>
      </c>
      <c r="J1492" t="s">
        <v>1229</v>
      </c>
      <c r="L1492" t="s">
        <v>254</v>
      </c>
      <c r="M1492" t="s">
        <v>7256</v>
      </c>
    </row>
    <row r="1493" spans="9:13" x14ac:dyDescent="0.25">
      <c r="I1493" t="s">
        <v>39</v>
      </c>
      <c r="J1493" t="s">
        <v>1483</v>
      </c>
      <c r="L1493" t="s">
        <v>462</v>
      </c>
      <c r="M1493" t="s">
        <v>1785</v>
      </c>
    </row>
    <row r="1494" spans="9:13" x14ac:dyDescent="0.25">
      <c r="I1494" t="s">
        <v>254</v>
      </c>
      <c r="J1494" t="s">
        <v>1111</v>
      </c>
      <c r="L1494" t="s">
        <v>7039</v>
      </c>
      <c r="M1494" t="s">
        <v>7701</v>
      </c>
    </row>
    <row r="1495" spans="9:13" x14ac:dyDescent="0.25">
      <c r="I1495" t="s">
        <v>6476</v>
      </c>
      <c r="J1495" t="s">
        <v>6477</v>
      </c>
      <c r="L1495" t="s">
        <v>123</v>
      </c>
      <c r="M1495" t="s">
        <v>7959</v>
      </c>
    </row>
    <row r="1496" spans="9:13" x14ac:dyDescent="0.25">
      <c r="I1496" t="s">
        <v>318</v>
      </c>
      <c r="J1496" t="s">
        <v>5402</v>
      </c>
      <c r="L1496" t="s">
        <v>283</v>
      </c>
      <c r="M1496" t="s">
        <v>3080</v>
      </c>
    </row>
    <row r="1497" spans="9:13" x14ac:dyDescent="0.25">
      <c r="I1497" t="s">
        <v>5675</v>
      </c>
      <c r="J1497" t="s">
        <v>5676</v>
      </c>
      <c r="L1497" t="s">
        <v>122</v>
      </c>
      <c r="M1497" t="s">
        <v>7433</v>
      </c>
    </row>
    <row r="1498" spans="9:13" x14ac:dyDescent="0.25">
      <c r="I1498" t="s">
        <v>6118</v>
      </c>
      <c r="J1498" t="s">
        <v>6119</v>
      </c>
      <c r="L1498" t="s">
        <v>313</v>
      </c>
      <c r="M1498" t="s">
        <v>2184</v>
      </c>
    </row>
    <row r="1499" spans="9:13" x14ac:dyDescent="0.25">
      <c r="I1499" t="s">
        <v>254</v>
      </c>
      <c r="J1499" t="s">
        <v>1089</v>
      </c>
      <c r="L1499" t="s">
        <v>4871</v>
      </c>
      <c r="M1499" t="s">
        <v>7580</v>
      </c>
    </row>
    <row r="1500" spans="9:13" x14ac:dyDescent="0.25">
      <c r="I1500" t="s">
        <v>5853</v>
      </c>
      <c r="J1500" t="s">
        <v>1093</v>
      </c>
      <c r="L1500" t="s">
        <v>313</v>
      </c>
      <c r="M1500" t="s">
        <v>1764</v>
      </c>
    </row>
    <row r="1501" spans="9:13" x14ac:dyDescent="0.25">
      <c r="I1501" t="s">
        <v>3861</v>
      </c>
      <c r="J1501" t="s">
        <v>5242</v>
      </c>
      <c r="L1501" t="s">
        <v>37</v>
      </c>
      <c r="M1501" t="s">
        <v>2316</v>
      </c>
    </row>
    <row r="1502" spans="9:13" x14ac:dyDescent="0.25">
      <c r="I1502" t="s">
        <v>394</v>
      </c>
      <c r="J1502" t="s">
        <v>6257</v>
      </c>
      <c r="L1502" t="s">
        <v>313</v>
      </c>
      <c r="M1502" t="s">
        <v>1657</v>
      </c>
    </row>
    <row r="1503" spans="9:13" x14ac:dyDescent="0.25">
      <c r="I1503" t="s">
        <v>5653</v>
      </c>
      <c r="J1503" t="s">
        <v>5654</v>
      </c>
      <c r="L1503" t="s">
        <v>286</v>
      </c>
      <c r="M1503" t="s">
        <v>7617</v>
      </c>
    </row>
    <row r="1504" spans="9:13" x14ac:dyDescent="0.25">
      <c r="I1504" t="s">
        <v>407</v>
      </c>
      <c r="J1504" t="s">
        <v>6238</v>
      </c>
      <c r="L1504" t="s">
        <v>3916</v>
      </c>
      <c r="M1504" t="s">
        <v>6903</v>
      </c>
    </row>
    <row r="1505" spans="9:13" x14ac:dyDescent="0.25">
      <c r="I1505" t="s">
        <v>6175</v>
      </c>
      <c r="J1505" t="s">
        <v>6176</v>
      </c>
      <c r="L1505" t="s">
        <v>123</v>
      </c>
      <c r="M1505" t="s">
        <v>7894</v>
      </c>
    </row>
    <row r="1506" spans="9:13" x14ac:dyDescent="0.25">
      <c r="I1506" t="s">
        <v>5560</v>
      </c>
      <c r="J1506" t="s">
        <v>5561</v>
      </c>
      <c r="L1506" t="s">
        <v>4842</v>
      </c>
      <c r="M1506" t="s">
        <v>3255</v>
      </c>
    </row>
    <row r="1507" spans="9:13" x14ac:dyDescent="0.25">
      <c r="I1507" t="s">
        <v>5414</v>
      </c>
      <c r="J1507" t="s">
        <v>5700</v>
      </c>
      <c r="L1507" t="s">
        <v>123</v>
      </c>
      <c r="M1507" t="s">
        <v>7304</v>
      </c>
    </row>
    <row r="1508" spans="9:13" x14ac:dyDescent="0.25">
      <c r="I1508" t="s">
        <v>123</v>
      </c>
      <c r="J1508" t="s">
        <v>5894</v>
      </c>
      <c r="L1508" t="s">
        <v>286</v>
      </c>
      <c r="M1508" t="s">
        <v>7145</v>
      </c>
    </row>
    <row r="1509" spans="9:13" x14ac:dyDescent="0.25">
      <c r="I1509" t="s">
        <v>313</v>
      </c>
      <c r="J1509" t="s">
        <v>1258</v>
      </c>
      <c r="L1509" t="s">
        <v>7579</v>
      </c>
      <c r="M1509" t="s">
        <v>1977</v>
      </c>
    </row>
    <row r="1510" spans="9:13" x14ac:dyDescent="0.25">
      <c r="I1510" t="s">
        <v>6143</v>
      </c>
      <c r="J1510" t="s">
        <v>6788</v>
      </c>
      <c r="L1510" t="s">
        <v>313</v>
      </c>
      <c r="M1510" t="s">
        <v>1895</v>
      </c>
    </row>
    <row r="1511" spans="9:13" x14ac:dyDescent="0.25">
      <c r="I1511" t="s">
        <v>6763</v>
      </c>
      <c r="J1511" t="s">
        <v>6764</v>
      </c>
      <c r="L1511" t="s">
        <v>278</v>
      </c>
      <c r="M1511" t="s">
        <v>7501</v>
      </c>
    </row>
    <row r="1512" spans="9:13" x14ac:dyDescent="0.25">
      <c r="I1512" t="s">
        <v>5414</v>
      </c>
      <c r="J1512" t="s">
        <v>5531</v>
      </c>
      <c r="L1512" t="s">
        <v>46</v>
      </c>
      <c r="M1512" t="s">
        <v>2042</v>
      </c>
    </row>
    <row r="1513" spans="9:13" x14ac:dyDescent="0.25">
      <c r="I1513" t="s">
        <v>5643</v>
      </c>
      <c r="J1513" t="s">
        <v>976</v>
      </c>
      <c r="L1513" t="s">
        <v>37</v>
      </c>
      <c r="M1513" t="s">
        <v>3157</v>
      </c>
    </row>
    <row r="1514" spans="9:13" x14ac:dyDescent="0.25">
      <c r="I1514" t="s">
        <v>4782</v>
      </c>
      <c r="J1514" t="s">
        <v>5859</v>
      </c>
      <c r="L1514" t="s">
        <v>21</v>
      </c>
      <c r="M1514" t="s">
        <v>6946</v>
      </c>
    </row>
    <row r="1515" spans="9:13" x14ac:dyDescent="0.25">
      <c r="I1515" t="s">
        <v>548</v>
      </c>
      <c r="J1515" t="s">
        <v>2823</v>
      </c>
      <c r="L1515" t="s">
        <v>6020</v>
      </c>
      <c r="M1515" t="s">
        <v>2167</v>
      </c>
    </row>
    <row r="1516" spans="9:13" x14ac:dyDescent="0.25">
      <c r="I1516" t="s">
        <v>254</v>
      </c>
      <c r="J1516" t="s">
        <v>1586</v>
      </c>
      <c r="L1516" t="s">
        <v>7301</v>
      </c>
      <c r="M1516" t="s">
        <v>2084</v>
      </c>
    </row>
    <row r="1517" spans="9:13" x14ac:dyDescent="0.25">
      <c r="I1517" t="s">
        <v>122</v>
      </c>
      <c r="J1517" t="s">
        <v>1055</v>
      </c>
      <c r="L1517" t="s">
        <v>7344</v>
      </c>
      <c r="M1517" t="s">
        <v>7345</v>
      </c>
    </row>
    <row r="1518" spans="9:13" x14ac:dyDescent="0.25">
      <c r="I1518" t="s">
        <v>6485</v>
      </c>
      <c r="J1518" t="s">
        <v>1436</v>
      </c>
      <c r="L1518" t="s">
        <v>459</v>
      </c>
      <c r="M1518" t="s">
        <v>7678</v>
      </c>
    </row>
    <row r="1519" spans="9:13" x14ac:dyDescent="0.25">
      <c r="I1519" t="s">
        <v>5765</v>
      </c>
      <c r="J1519" t="s">
        <v>1145</v>
      </c>
      <c r="L1519" t="s">
        <v>7078</v>
      </c>
      <c r="M1519" t="s">
        <v>3173</v>
      </c>
    </row>
    <row r="1520" spans="9:13" x14ac:dyDescent="0.25">
      <c r="I1520" t="s">
        <v>5911</v>
      </c>
      <c r="J1520" t="s">
        <v>1119</v>
      </c>
      <c r="L1520" t="s">
        <v>313</v>
      </c>
      <c r="M1520" t="s">
        <v>1880</v>
      </c>
    </row>
    <row r="1521" spans="9:13" x14ac:dyDescent="0.25">
      <c r="I1521" t="s">
        <v>5580</v>
      </c>
      <c r="J1521" t="s">
        <v>945</v>
      </c>
      <c r="L1521" t="s">
        <v>280</v>
      </c>
      <c r="M1521" t="s">
        <v>3225</v>
      </c>
    </row>
    <row r="1522" spans="9:13" x14ac:dyDescent="0.25">
      <c r="I1522" t="s">
        <v>311</v>
      </c>
      <c r="J1522" t="s">
        <v>1203</v>
      </c>
      <c r="L1522" t="s">
        <v>2727</v>
      </c>
      <c r="M1522" t="s">
        <v>3079</v>
      </c>
    </row>
    <row r="1523" spans="9:13" x14ac:dyDescent="0.25">
      <c r="I1523" t="s">
        <v>253</v>
      </c>
      <c r="J1523" t="s">
        <v>5563</v>
      </c>
      <c r="L1523" t="s">
        <v>49</v>
      </c>
      <c r="M1523" t="s">
        <v>7056</v>
      </c>
    </row>
    <row r="1524" spans="9:13" x14ac:dyDescent="0.25">
      <c r="I1524" t="s">
        <v>5440</v>
      </c>
      <c r="J1524" t="s">
        <v>885</v>
      </c>
      <c r="L1524" t="s">
        <v>7363</v>
      </c>
      <c r="M1524" t="s">
        <v>7764</v>
      </c>
    </row>
    <row r="1525" spans="9:13" x14ac:dyDescent="0.25">
      <c r="I1525" t="s">
        <v>39</v>
      </c>
      <c r="J1525" t="s">
        <v>990</v>
      </c>
      <c r="L1525" t="s">
        <v>280</v>
      </c>
      <c r="M1525" t="s">
        <v>3121</v>
      </c>
    </row>
    <row r="1526" spans="9:13" x14ac:dyDescent="0.25">
      <c r="I1526" t="s">
        <v>95</v>
      </c>
      <c r="J1526" t="s">
        <v>776</v>
      </c>
      <c r="L1526" t="s">
        <v>3861</v>
      </c>
      <c r="M1526" t="s">
        <v>4172</v>
      </c>
    </row>
    <row r="1527" spans="9:13" x14ac:dyDescent="0.25">
      <c r="I1527" t="s">
        <v>6430</v>
      </c>
      <c r="J1527" t="s">
        <v>6431</v>
      </c>
      <c r="L1527" t="s">
        <v>2359</v>
      </c>
      <c r="M1527" t="s">
        <v>4280</v>
      </c>
    </row>
    <row r="1528" spans="9:13" x14ac:dyDescent="0.25">
      <c r="I1528" t="s">
        <v>313</v>
      </c>
      <c r="J1528" t="s">
        <v>6252</v>
      </c>
      <c r="L1528" t="s">
        <v>122</v>
      </c>
      <c r="M1528" t="s">
        <v>1848</v>
      </c>
    </row>
    <row r="1529" spans="9:13" x14ac:dyDescent="0.25">
      <c r="I1529" t="s">
        <v>6153</v>
      </c>
      <c r="J1529" t="s">
        <v>1257</v>
      </c>
      <c r="L1529" t="s">
        <v>7233</v>
      </c>
      <c r="M1529" t="s">
        <v>1974</v>
      </c>
    </row>
    <row r="1530" spans="9:13" x14ac:dyDescent="0.25">
      <c r="I1530" t="s">
        <v>6396</v>
      </c>
      <c r="J1530" t="s">
        <v>6397</v>
      </c>
      <c r="L1530" t="s">
        <v>309</v>
      </c>
      <c r="M1530" t="s">
        <v>3236</v>
      </c>
    </row>
    <row r="1531" spans="9:13" x14ac:dyDescent="0.25">
      <c r="I1531" t="s">
        <v>5239</v>
      </c>
      <c r="J1531" t="s">
        <v>5240</v>
      </c>
      <c r="L1531" t="s">
        <v>551</v>
      </c>
      <c r="M1531" t="s">
        <v>1886</v>
      </c>
    </row>
    <row r="1532" spans="9:13" x14ac:dyDescent="0.25">
      <c r="I1532" t="s">
        <v>6017</v>
      </c>
      <c r="J1532" t="s">
        <v>6018</v>
      </c>
      <c r="L1532" t="s">
        <v>551</v>
      </c>
      <c r="M1532" t="s">
        <v>1886</v>
      </c>
    </row>
    <row r="1533" spans="9:13" x14ac:dyDescent="0.25">
      <c r="I1533" t="s">
        <v>313</v>
      </c>
      <c r="J1533" t="s">
        <v>6276</v>
      </c>
      <c r="L1533" t="s">
        <v>123</v>
      </c>
      <c r="M1533" t="s">
        <v>1693</v>
      </c>
    </row>
    <row r="1534" spans="9:13" x14ac:dyDescent="0.25">
      <c r="I1534" t="s">
        <v>313</v>
      </c>
      <c r="J1534" t="s">
        <v>1199</v>
      </c>
      <c r="L1534" t="s">
        <v>2359</v>
      </c>
      <c r="M1534" t="s">
        <v>4149</v>
      </c>
    </row>
    <row r="1535" spans="9:13" x14ac:dyDescent="0.25">
      <c r="I1535" t="s">
        <v>313</v>
      </c>
      <c r="J1535" t="s">
        <v>1530</v>
      </c>
      <c r="L1535" t="s">
        <v>313</v>
      </c>
      <c r="M1535" t="s">
        <v>2092</v>
      </c>
    </row>
    <row r="1536" spans="9:13" x14ac:dyDescent="0.25">
      <c r="I1536" t="s">
        <v>313</v>
      </c>
      <c r="J1536" t="s">
        <v>801</v>
      </c>
      <c r="L1536" t="s">
        <v>551</v>
      </c>
      <c r="M1536" t="s">
        <v>7884</v>
      </c>
    </row>
    <row r="1537" spans="9:13" x14ac:dyDescent="0.25">
      <c r="I1537" t="s">
        <v>548</v>
      </c>
      <c r="J1537" t="s">
        <v>2948</v>
      </c>
      <c r="L1537" t="s">
        <v>280</v>
      </c>
      <c r="M1537" t="s">
        <v>3196</v>
      </c>
    </row>
    <row r="1538" spans="9:13" x14ac:dyDescent="0.25">
      <c r="I1538" t="s">
        <v>39</v>
      </c>
      <c r="J1538" t="s">
        <v>1336</v>
      </c>
      <c r="L1538" t="s">
        <v>399</v>
      </c>
      <c r="M1538" t="s">
        <v>7961</v>
      </c>
    </row>
    <row r="1539" spans="9:13" x14ac:dyDescent="0.25">
      <c r="I1539" t="s">
        <v>5675</v>
      </c>
      <c r="J1539" t="s">
        <v>6581</v>
      </c>
      <c r="L1539" t="s">
        <v>7018</v>
      </c>
      <c r="M1539" t="s">
        <v>7731</v>
      </c>
    </row>
    <row r="1540" spans="9:13" x14ac:dyDescent="0.25">
      <c r="I1540" t="s">
        <v>39</v>
      </c>
      <c r="J1540" t="s">
        <v>799</v>
      </c>
      <c r="L1540" t="s">
        <v>7051</v>
      </c>
      <c r="M1540" t="s">
        <v>3180</v>
      </c>
    </row>
    <row r="1541" spans="9:13" x14ac:dyDescent="0.25">
      <c r="I1541" t="s">
        <v>548</v>
      </c>
      <c r="J1541" t="s">
        <v>2780</v>
      </c>
      <c r="L1541" t="s">
        <v>95</v>
      </c>
      <c r="M1541" t="s">
        <v>7976</v>
      </c>
    </row>
    <row r="1542" spans="9:13" x14ac:dyDescent="0.25">
      <c r="I1542" t="s">
        <v>5532</v>
      </c>
      <c r="J1542" t="s">
        <v>1342</v>
      </c>
      <c r="L1542" t="s">
        <v>315</v>
      </c>
      <c r="M1542" t="s">
        <v>3131</v>
      </c>
    </row>
    <row r="1543" spans="9:13" x14ac:dyDescent="0.25">
      <c r="I1543" t="s">
        <v>63</v>
      </c>
      <c r="J1543" t="s">
        <v>2499</v>
      </c>
      <c r="L1543" t="s">
        <v>7272</v>
      </c>
      <c r="M1543" t="s">
        <v>3083</v>
      </c>
    </row>
    <row r="1544" spans="9:13" x14ac:dyDescent="0.25">
      <c r="I1544" t="s">
        <v>36</v>
      </c>
      <c r="J1544" t="s">
        <v>1591</v>
      </c>
      <c r="L1544" t="s">
        <v>2743</v>
      </c>
      <c r="M1544" t="s">
        <v>3214</v>
      </c>
    </row>
    <row r="1545" spans="9:13" x14ac:dyDescent="0.25">
      <c r="I1545" t="s">
        <v>2730</v>
      </c>
      <c r="J1545" t="s">
        <v>2889</v>
      </c>
      <c r="L1545" t="s">
        <v>2743</v>
      </c>
      <c r="M1545" t="s">
        <v>3149</v>
      </c>
    </row>
    <row r="1546" spans="9:13" x14ac:dyDescent="0.25">
      <c r="I1546" t="s">
        <v>6612</v>
      </c>
      <c r="J1546" t="s">
        <v>6613</v>
      </c>
      <c r="L1546" t="s">
        <v>2748</v>
      </c>
      <c r="M1546" t="s">
        <v>3106</v>
      </c>
    </row>
    <row r="1547" spans="9:13" x14ac:dyDescent="0.25">
      <c r="I1547" t="s">
        <v>313</v>
      </c>
      <c r="J1547" t="s">
        <v>5562</v>
      </c>
      <c r="L1547" t="s">
        <v>2748</v>
      </c>
      <c r="M1547" t="s">
        <v>3217</v>
      </c>
    </row>
    <row r="1548" spans="9:13" x14ac:dyDescent="0.25">
      <c r="I1548" t="s">
        <v>39</v>
      </c>
      <c r="J1548" t="s">
        <v>1352</v>
      </c>
      <c r="L1548" t="s">
        <v>2743</v>
      </c>
      <c r="M1548" t="s">
        <v>3259</v>
      </c>
    </row>
    <row r="1549" spans="9:13" x14ac:dyDescent="0.25">
      <c r="I1549" t="s">
        <v>92</v>
      </c>
      <c r="J1549" t="s">
        <v>6646</v>
      </c>
      <c r="L1549" t="s">
        <v>2743</v>
      </c>
      <c r="M1549" t="s">
        <v>3243</v>
      </c>
    </row>
    <row r="1550" spans="9:13" x14ac:dyDescent="0.25">
      <c r="I1550" t="s">
        <v>338</v>
      </c>
      <c r="J1550" t="s">
        <v>5271</v>
      </c>
      <c r="L1550" t="s">
        <v>2741</v>
      </c>
      <c r="M1550" t="s">
        <v>3240</v>
      </c>
    </row>
    <row r="1551" spans="9:13" x14ac:dyDescent="0.25">
      <c r="I1551" t="s">
        <v>37</v>
      </c>
      <c r="J1551" t="s">
        <v>866</v>
      </c>
      <c r="L1551" t="s">
        <v>37</v>
      </c>
      <c r="M1551" t="s">
        <v>2232</v>
      </c>
    </row>
    <row r="1552" spans="9:13" x14ac:dyDescent="0.25">
      <c r="I1552" t="s">
        <v>5432</v>
      </c>
      <c r="J1552" t="s">
        <v>1092</v>
      </c>
      <c r="L1552" t="s">
        <v>6969</v>
      </c>
      <c r="M1552" t="s">
        <v>2225</v>
      </c>
    </row>
    <row r="1553" spans="9:13" x14ac:dyDescent="0.25">
      <c r="I1553" t="s">
        <v>2739</v>
      </c>
      <c r="J1553" t="s">
        <v>4092</v>
      </c>
      <c r="L1553" t="s">
        <v>462</v>
      </c>
      <c r="M1553" t="s">
        <v>2086</v>
      </c>
    </row>
    <row r="1554" spans="9:13" x14ac:dyDescent="0.25">
      <c r="I1554" t="s">
        <v>6459</v>
      </c>
      <c r="J1554" t="s">
        <v>2537</v>
      </c>
      <c r="L1554" t="s">
        <v>122</v>
      </c>
      <c r="M1554" t="s">
        <v>2226</v>
      </c>
    </row>
    <row r="1555" spans="9:13" x14ac:dyDescent="0.25">
      <c r="I1555" t="s">
        <v>39</v>
      </c>
      <c r="J1555" t="s">
        <v>788</v>
      </c>
      <c r="L1555" t="s">
        <v>4438</v>
      </c>
      <c r="M1555" t="s">
        <v>6935</v>
      </c>
    </row>
    <row r="1556" spans="9:13" x14ac:dyDescent="0.25">
      <c r="I1556" t="s">
        <v>5765</v>
      </c>
      <c r="J1556" t="s">
        <v>6562</v>
      </c>
      <c r="L1556" t="s">
        <v>36</v>
      </c>
      <c r="M1556" t="s">
        <v>7332</v>
      </c>
    </row>
    <row r="1557" spans="9:13" x14ac:dyDescent="0.25">
      <c r="I1557" t="s">
        <v>21</v>
      </c>
      <c r="J1557" t="s">
        <v>1292</v>
      </c>
      <c r="L1557" t="s">
        <v>278</v>
      </c>
      <c r="M1557" t="s">
        <v>7927</v>
      </c>
    </row>
    <row r="1558" spans="9:13" x14ac:dyDescent="0.25">
      <c r="I1558" t="s">
        <v>394</v>
      </c>
      <c r="J1558" t="s">
        <v>960</v>
      </c>
      <c r="L1558" t="s">
        <v>551</v>
      </c>
      <c r="M1558" t="s">
        <v>7569</v>
      </c>
    </row>
    <row r="1559" spans="9:13" x14ac:dyDescent="0.25">
      <c r="I1559" t="s">
        <v>548</v>
      </c>
      <c r="J1559" t="s">
        <v>1470</v>
      </c>
      <c r="L1559" t="s">
        <v>392</v>
      </c>
      <c r="M1559" t="s">
        <v>2103</v>
      </c>
    </row>
    <row r="1560" spans="9:13" x14ac:dyDescent="0.25">
      <c r="I1560" t="s">
        <v>39</v>
      </c>
      <c r="J1560" t="s">
        <v>1439</v>
      </c>
      <c r="L1560" t="s">
        <v>459</v>
      </c>
      <c r="M1560" t="s">
        <v>1819</v>
      </c>
    </row>
    <row r="1561" spans="9:13" x14ac:dyDescent="0.25">
      <c r="I1561" t="s">
        <v>551</v>
      </c>
      <c r="J1561" t="s">
        <v>7997</v>
      </c>
      <c r="L1561" t="s">
        <v>286</v>
      </c>
      <c r="M1561" t="s">
        <v>7079</v>
      </c>
    </row>
    <row r="1562" spans="9:13" x14ac:dyDescent="0.25">
      <c r="I1562" t="s">
        <v>551</v>
      </c>
      <c r="J1562" t="s">
        <v>5778</v>
      </c>
      <c r="L1562" t="s">
        <v>37</v>
      </c>
      <c r="M1562" t="s">
        <v>6939</v>
      </c>
    </row>
    <row r="1563" spans="9:13" x14ac:dyDescent="0.25">
      <c r="I1563" t="s">
        <v>318</v>
      </c>
      <c r="J1563" t="s">
        <v>2798</v>
      </c>
      <c r="L1563" t="s">
        <v>47</v>
      </c>
      <c r="M1563" t="s">
        <v>7191</v>
      </c>
    </row>
    <row r="1564" spans="9:13" x14ac:dyDescent="0.25">
      <c r="I1564" t="s">
        <v>5662</v>
      </c>
      <c r="J1564" t="s">
        <v>993</v>
      </c>
      <c r="L1564" t="s">
        <v>462</v>
      </c>
      <c r="M1564" t="s">
        <v>2098</v>
      </c>
    </row>
    <row r="1565" spans="9:13" x14ac:dyDescent="0.25">
      <c r="I1565" t="s">
        <v>311</v>
      </c>
      <c r="J1565" t="s">
        <v>1262</v>
      </c>
      <c r="L1565" t="s">
        <v>318</v>
      </c>
      <c r="M1565" t="s">
        <v>3226</v>
      </c>
    </row>
    <row r="1566" spans="9:13" x14ac:dyDescent="0.25">
      <c r="I1566" t="s">
        <v>5706</v>
      </c>
      <c r="J1566" t="s">
        <v>1017</v>
      </c>
      <c r="L1566" t="s">
        <v>46</v>
      </c>
      <c r="M1566" t="s">
        <v>1881</v>
      </c>
    </row>
    <row r="1567" spans="9:13" x14ac:dyDescent="0.25">
      <c r="I1567" t="s">
        <v>313</v>
      </c>
      <c r="J1567" t="s">
        <v>5660</v>
      </c>
      <c r="L1567" t="s">
        <v>36</v>
      </c>
      <c r="M1567" t="s">
        <v>7705</v>
      </c>
    </row>
    <row r="1568" spans="9:13" x14ac:dyDescent="0.25">
      <c r="I1568" t="s">
        <v>95</v>
      </c>
      <c r="J1568" t="s">
        <v>1384</v>
      </c>
      <c r="L1568" t="s">
        <v>254</v>
      </c>
      <c r="M1568" t="s">
        <v>1703</v>
      </c>
    </row>
    <row r="1569" spans="9:13" x14ac:dyDescent="0.25">
      <c r="I1569" t="s">
        <v>548</v>
      </c>
      <c r="J1569" t="s">
        <v>5784</v>
      </c>
      <c r="L1569" t="s">
        <v>7200</v>
      </c>
      <c r="M1569" t="s">
        <v>1849</v>
      </c>
    </row>
    <row r="1570" spans="9:13" x14ac:dyDescent="0.25">
      <c r="I1570" t="s">
        <v>2773</v>
      </c>
      <c r="J1570" t="s">
        <v>2842</v>
      </c>
      <c r="L1570" t="s">
        <v>311</v>
      </c>
      <c r="M1570" t="s">
        <v>1653</v>
      </c>
    </row>
    <row r="1571" spans="9:13" x14ac:dyDescent="0.25">
      <c r="I1571" t="s">
        <v>39</v>
      </c>
      <c r="J1571" t="s">
        <v>834</v>
      </c>
      <c r="L1571" t="s">
        <v>7363</v>
      </c>
      <c r="M1571" t="s">
        <v>7364</v>
      </c>
    </row>
    <row r="1572" spans="9:13" x14ac:dyDescent="0.25">
      <c r="I1572" t="s">
        <v>122</v>
      </c>
      <c r="J1572" t="s">
        <v>917</v>
      </c>
      <c r="L1572" t="s">
        <v>313</v>
      </c>
      <c r="M1572" t="s">
        <v>1831</v>
      </c>
    </row>
    <row r="1573" spans="9:13" x14ac:dyDescent="0.25">
      <c r="I1573" t="s">
        <v>394</v>
      </c>
      <c r="J1573" t="s">
        <v>1634</v>
      </c>
      <c r="L1573" t="s">
        <v>7174</v>
      </c>
      <c r="M1573" t="s">
        <v>7175</v>
      </c>
    </row>
    <row r="1574" spans="9:13" x14ac:dyDescent="0.25">
      <c r="I1574" t="s">
        <v>39</v>
      </c>
      <c r="J1574" t="s">
        <v>1621</v>
      </c>
      <c r="L1574" t="s">
        <v>7842</v>
      </c>
      <c r="M1574" t="s">
        <v>7843</v>
      </c>
    </row>
    <row r="1575" spans="9:13" x14ac:dyDescent="0.25">
      <c r="I1575" t="s">
        <v>6275</v>
      </c>
      <c r="J1575" t="s">
        <v>1324</v>
      </c>
      <c r="L1575" t="s">
        <v>286</v>
      </c>
      <c r="M1575" t="s">
        <v>7437</v>
      </c>
    </row>
    <row r="1576" spans="9:13" x14ac:dyDescent="0.25">
      <c r="I1576" t="s">
        <v>392</v>
      </c>
      <c r="J1576" t="s">
        <v>3911</v>
      </c>
      <c r="L1576" t="s">
        <v>7106</v>
      </c>
      <c r="M1576" t="s">
        <v>1787</v>
      </c>
    </row>
    <row r="1577" spans="9:13" x14ac:dyDescent="0.25">
      <c r="I1577" t="s">
        <v>313</v>
      </c>
      <c r="J1577" t="s">
        <v>1106</v>
      </c>
      <c r="L1577" t="s">
        <v>401</v>
      </c>
      <c r="M1577" t="s">
        <v>7149</v>
      </c>
    </row>
    <row r="1578" spans="9:13" x14ac:dyDescent="0.25">
      <c r="I1578" t="s">
        <v>2359</v>
      </c>
      <c r="J1578" t="s">
        <v>3876</v>
      </c>
      <c r="L1578" t="s">
        <v>459</v>
      </c>
      <c r="M1578" t="s">
        <v>2162</v>
      </c>
    </row>
    <row r="1579" spans="9:13" x14ac:dyDescent="0.25">
      <c r="I1579" t="s">
        <v>6413</v>
      </c>
      <c r="J1579" t="s">
        <v>6656</v>
      </c>
      <c r="L1579" t="s">
        <v>6455</v>
      </c>
      <c r="M1579" t="s">
        <v>2030</v>
      </c>
    </row>
    <row r="1580" spans="9:13" x14ac:dyDescent="0.25">
      <c r="I1580" t="s">
        <v>5674</v>
      </c>
      <c r="J1580" t="s">
        <v>1001</v>
      </c>
      <c r="L1580" t="s">
        <v>7045</v>
      </c>
      <c r="M1580" t="s">
        <v>2030</v>
      </c>
    </row>
    <row r="1581" spans="9:13" x14ac:dyDescent="0.25">
      <c r="I1581" t="s">
        <v>254</v>
      </c>
      <c r="J1581" t="s">
        <v>6466</v>
      </c>
      <c r="L1581" t="s">
        <v>122</v>
      </c>
      <c r="M1581" t="s">
        <v>7840</v>
      </c>
    </row>
    <row r="1582" spans="9:13" x14ac:dyDescent="0.25">
      <c r="I1582" t="s">
        <v>313</v>
      </c>
      <c r="J1582" t="s">
        <v>6022</v>
      </c>
      <c r="L1582" t="s">
        <v>462</v>
      </c>
      <c r="M1582" t="s">
        <v>2250</v>
      </c>
    </row>
    <row r="1583" spans="9:13" x14ac:dyDescent="0.25">
      <c r="I1583" t="s">
        <v>6666</v>
      </c>
      <c r="J1583" t="s">
        <v>2545</v>
      </c>
      <c r="L1583" t="s">
        <v>37</v>
      </c>
      <c r="M1583" t="s">
        <v>7520</v>
      </c>
    </row>
    <row r="1584" spans="9:13" x14ac:dyDescent="0.25">
      <c r="I1584" t="s">
        <v>2745</v>
      </c>
      <c r="J1584" t="s">
        <v>2839</v>
      </c>
      <c r="L1584" t="s">
        <v>37</v>
      </c>
      <c r="M1584" t="s">
        <v>1989</v>
      </c>
    </row>
    <row r="1585" spans="9:13" x14ac:dyDescent="0.25">
      <c r="I1585" t="s">
        <v>63</v>
      </c>
      <c r="J1585" t="s">
        <v>3989</v>
      </c>
      <c r="L1585" t="s">
        <v>4168</v>
      </c>
      <c r="M1585" t="s">
        <v>4222</v>
      </c>
    </row>
    <row r="1586" spans="9:13" x14ac:dyDescent="0.25">
      <c r="I1586" t="s">
        <v>63</v>
      </c>
      <c r="J1586" t="s">
        <v>2521</v>
      </c>
      <c r="L1586" t="s">
        <v>254</v>
      </c>
      <c r="M1586" t="s">
        <v>7438</v>
      </c>
    </row>
    <row r="1587" spans="9:13" x14ac:dyDescent="0.25">
      <c r="I1587" t="s">
        <v>5765</v>
      </c>
      <c r="J1587" t="s">
        <v>1052</v>
      </c>
      <c r="L1587" t="s">
        <v>7392</v>
      </c>
      <c r="M1587" t="s">
        <v>2185</v>
      </c>
    </row>
    <row r="1588" spans="9:13" x14ac:dyDescent="0.25">
      <c r="I1588" t="s">
        <v>5280</v>
      </c>
      <c r="J1588" t="s">
        <v>804</v>
      </c>
      <c r="L1588" t="s">
        <v>122</v>
      </c>
      <c r="M1588" t="s">
        <v>1921</v>
      </c>
    </row>
    <row r="1589" spans="9:13" x14ac:dyDescent="0.25">
      <c r="I1589" t="s">
        <v>5272</v>
      </c>
      <c r="J1589" t="s">
        <v>797</v>
      </c>
      <c r="L1589" t="s">
        <v>254</v>
      </c>
      <c r="M1589" t="s">
        <v>2059</v>
      </c>
    </row>
    <row r="1590" spans="9:13" x14ac:dyDescent="0.25">
      <c r="I1590" t="s">
        <v>36</v>
      </c>
      <c r="J1590" t="s">
        <v>5942</v>
      </c>
      <c r="L1590" t="s">
        <v>313</v>
      </c>
      <c r="M1590" t="s">
        <v>2221</v>
      </c>
    </row>
    <row r="1591" spans="9:13" x14ac:dyDescent="0.25">
      <c r="I1591" t="s">
        <v>338</v>
      </c>
      <c r="J1591" t="s">
        <v>5413</v>
      </c>
      <c r="L1591" t="s">
        <v>2748</v>
      </c>
      <c r="M1591" t="s">
        <v>3108</v>
      </c>
    </row>
    <row r="1592" spans="9:13" x14ac:dyDescent="0.25">
      <c r="I1592" t="s">
        <v>313</v>
      </c>
      <c r="J1592" t="s">
        <v>6483</v>
      </c>
      <c r="L1592" t="s">
        <v>313</v>
      </c>
      <c r="M1592" t="s">
        <v>1834</v>
      </c>
    </row>
    <row r="1593" spans="9:13" x14ac:dyDescent="0.25">
      <c r="I1593" t="s">
        <v>6156</v>
      </c>
      <c r="J1593" t="s">
        <v>2503</v>
      </c>
      <c r="L1593" t="s">
        <v>3861</v>
      </c>
      <c r="M1593" t="s">
        <v>4254</v>
      </c>
    </row>
    <row r="1594" spans="9:13" x14ac:dyDescent="0.25">
      <c r="I1594" t="s">
        <v>254</v>
      </c>
      <c r="J1594" t="s">
        <v>1590</v>
      </c>
      <c r="L1594" t="s">
        <v>459</v>
      </c>
      <c r="M1594" t="s">
        <v>1751</v>
      </c>
    </row>
    <row r="1595" spans="9:13" x14ac:dyDescent="0.25">
      <c r="I1595" t="s">
        <v>3861</v>
      </c>
      <c r="J1595" t="s">
        <v>3907</v>
      </c>
      <c r="L1595" t="s">
        <v>7157</v>
      </c>
      <c r="M1595" t="s">
        <v>7158</v>
      </c>
    </row>
    <row r="1596" spans="9:13" x14ac:dyDescent="0.25">
      <c r="I1596" t="s">
        <v>394</v>
      </c>
      <c r="J1596" t="s">
        <v>915</v>
      </c>
      <c r="L1596" t="s">
        <v>7510</v>
      </c>
      <c r="M1596" t="s">
        <v>1701</v>
      </c>
    </row>
    <row r="1597" spans="9:13" x14ac:dyDescent="0.25">
      <c r="I1597" t="s">
        <v>394</v>
      </c>
      <c r="J1597" t="s">
        <v>5279</v>
      </c>
      <c r="L1597" t="s">
        <v>253</v>
      </c>
      <c r="M1597" t="s">
        <v>2047</v>
      </c>
    </row>
    <row r="1598" spans="9:13" x14ac:dyDescent="0.25">
      <c r="I1598" t="s">
        <v>306</v>
      </c>
      <c r="J1598" t="s">
        <v>1182</v>
      </c>
      <c r="L1598" t="s">
        <v>7895</v>
      </c>
      <c r="M1598" t="s">
        <v>7896</v>
      </c>
    </row>
    <row r="1599" spans="9:13" x14ac:dyDescent="0.25">
      <c r="I1599" t="s">
        <v>63</v>
      </c>
      <c r="J1599" t="s">
        <v>3998</v>
      </c>
      <c r="L1599" t="s">
        <v>95</v>
      </c>
      <c r="M1599" t="s">
        <v>7612</v>
      </c>
    </row>
    <row r="1600" spans="9:13" x14ac:dyDescent="0.25">
      <c r="I1600" t="s">
        <v>313</v>
      </c>
      <c r="J1600" t="s">
        <v>6309</v>
      </c>
      <c r="L1600" t="s">
        <v>122</v>
      </c>
      <c r="M1600" t="s">
        <v>2341</v>
      </c>
    </row>
    <row r="1601" spans="9:13" x14ac:dyDescent="0.25">
      <c r="I1601" t="s">
        <v>423</v>
      </c>
      <c r="J1601" t="s">
        <v>6329</v>
      </c>
      <c r="L1601" t="s">
        <v>462</v>
      </c>
      <c r="M1601" t="s">
        <v>2199</v>
      </c>
    </row>
    <row r="1602" spans="9:13" x14ac:dyDescent="0.25">
      <c r="I1602" t="s">
        <v>423</v>
      </c>
      <c r="J1602" t="s">
        <v>6110</v>
      </c>
      <c r="L1602" t="s">
        <v>3861</v>
      </c>
      <c r="M1602" t="s">
        <v>4157</v>
      </c>
    </row>
    <row r="1603" spans="9:13" x14ac:dyDescent="0.25">
      <c r="I1603" t="s">
        <v>6413</v>
      </c>
      <c r="J1603" t="s">
        <v>6414</v>
      </c>
      <c r="L1603" t="s">
        <v>11</v>
      </c>
      <c r="M1603" t="s">
        <v>1900</v>
      </c>
    </row>
    <row r="1604" spans="9:13" x14ac:dyDescent="0.25">
      <c r="I1604" t="s">
        <v>5875</v>
      </c>
      <c r="J1604" t="s">
        <v>5876</v>
      </c>
      <c r="L1604" t="s">
        <v>3916</v>
      </c>
      <c r="M1604" t="s">
        <v>7021</v>
      </c>
    </row>
    <row r="1605" spans="9:13" x14ac:dyDescent="0.25">
      <c r="I1605" t="s">
        <v>394</v>
      </c>
      <c r="J1605" t="s">
        <v>984</v>
      </c>
      <c r="L1605" t="s">
        <v>548</v>
      </c>
      <c r="M1605" t="s">
        <v>7730</v>
      </c>
    </row>
    <row r="1606" spans="9:13" x14ac:dyDescent="0.25">
      <c r="I1606" t="s">
        <v>253</v>
      </c>
      <c r="J1606" t="s">
        <v>5698</v>
      </c>
      <c r="L1606" t="s">
        <v>37</v>
      </c>
      <c r="M1606" t="s">
        <v>2031</v>
      </c>
    </row>
    <row r="1607" spans="9:13" x14ac:dyDescent="0.25">
      <c r="I1607" t="s">
        <v>423</v>
      </c>
      <c r="J1607" t="s">
        <v>5811</v>
      </c>
      <c r="L1607" t="s">
        <v>461</v>
      </c>
      <c r="M1607" t="s">
        <v>7851</v>
      </c>
    </row>
    <row r="1608" spans="9:13" x14ac:dyDescent="0.25">
      <c r="I1608" t="s">
        <v>6139</v>
      </c>
      <c r="J1608" t="s">
        <v>1245</v>
      </c>
      <c r="L1608" t="s">
        <v>46</v>
      </c>
      <c r="M1608" t="s">
        <v>7507</v>
      </c>
    </row>
    <row r="1609" spans="9:13" x14ac:dyDescent="0.25">
      <c r="I1609" t="s">
        <v>311</v>
      </c>
      <c r="J1609" t="s">
        <v>6059</v>
      </c>
      <c r="L1609" t="s">
        <v>3861</v>
      </c>
      <c r="M1609" t="s">
        <v>4151</v>
      </c>
    </row>
    <row r="1610" spans="9:13" x14ac:dyDescent="0.25">
      <c r="I1610" t="s">
        <v>338</v>
      </c>
      <c r="J1610" t="s">
        <v>5557</v>
      </c>
      <c r="L1610" t="s">
        <v>21</v>
      </c>
      <c r="M1610" t="s">
        <v>1837</v>
      </c>
    </row>
    <row r="1611" spans="9:13" x14ac:dyDescent="0.25">
      <c r="I1611" t="s">
        <v>313</v>
      </c>
      <c r="J1611" t="s">
        <v>934</v>
      </c>
      <c r="L1611" t="s">
        <v>289</v>
      </c>
      <c r="M1611" t="s">
        <v>7808</v>
      </c>
    </row>
    <row r="1612" spans="9:13" x14ac:dyDescent="0.25">
      <c r="I1612" t="s">
        <v>6040</v>
      </c>
      <c r="J1612" t="s">
        <v>6041</v>
      </c>
      <c r="L1612" t="s">
        <v>311</v>
      </c>
      <c r="M1612" t="s">
        <v>1943</v>
      </c>
    </row>
    <row r="1613" spans="9:13" x14ac:dyDescent="0.25">
      <c r="I1613" t="s">
        <v>6583</v>
      </c>
      <c r="J1613" t="s">
        <v>8012</v>
      </c>
      <c r="L1613" t="s">
        <v>37</v>
      </c>
      <c r="M1613" t="s">
        <v>2348</v>
      </c>
    </row>
    <row r="1614" spans="9:13" x14ac:dyDescent="0.25">
      <c r="I1614" t="s">
        <v>5856</v>
      </c>
      <c r="J1614" t="s">
        <v>1478</v>
      </c>
      <c r="L1614" t="s">
        <v>7495</v>
      </c>
      <c r="M1614" t="s">
        <v>7496</v>
      </c>
    </row>
    <row r="1615" spans="9:13" x14ac:dyDescent="0.25">
      <c r="I1615" t="s">
        <v>346</v>
      </c>
      <c r="J1615" t="s">
        <v>1108</v>
      </c>
      <c r="L1615" t="s">
        <v>401</v>
      </c>
      <c r="M1615" t="s">
        <v>2095</v>
      </c>
    </row>
    <row r="1616" spans="9:13" x14ac:dyDescent="0.25">
      <c r="I1616" t="s">
        <v>357</v>
      </c>
      <c r="J1616" t="s">
        <v>3951</v>
      </c>
      <c r="L1616" t="s">
        <v>4168</v>
      </c>
      <c r="M1616" t="s">
        <v>4226</v>
      </c>
    </row>
    <row r="1617" spans="9:13" x14ac:dyDescent="0.25">
      <c r="I1617" t="s">
        <v>276</v>
      </c>
      <c r="J1617" t="s">
        <v>1058</v>
      </c>
      <c r="L1617" t="s">
        <v>306</v>
      </c>
      <c r="M1617" t="s">
        <v>2329</v>
      </c>
    </row>
    <row r="1618" spans="9:13" x14ac:dyDescent="0.25">
      <c r="I1618" t="s">
        <v>338</v>
      </c>
      <c r="J1618" t="s">
        <v>6565</v>
      </c>
      <c r="L1618" t="s">
        <v>253</v>
      </c>
      <c r="M1618" t="s">
        <v>2294</v>
      </c>
    </row>
    <row r="1619" spans="9:13" x14ac:dyDescent="0.25">
      <c r="I1619" t="s">
        <v>254</v>
      </c>
      <c r="J1619" t="s">
        <v>1380</v>
      </c>
      <c r="L1619" t="s">
        <v>2754</v>
      </c>
      <c r="M1619" t="s">
        <v>7593</v>
      </c>
    </row>
    <row r="1620" spans="9:13" x14ac:dyDescent="0.25">
      <c r="I1620" t="s">
        <v>6004</v>
      </c>
      <c r="J1620" t="s">
        <v>6005</v>
      </c>
      <c r="L1620" t="s">
        <v>254</v>
      </c>
      <c r="M1620" t="s">
        <v>2238</v>
      </c>
    </row>
    <row r="1621" spans="9:13" x14ac:dyDescent="0.25">
      <c r="I1621" t="s">
        <v>2733</v>
      </c>
      <c r="J1621" t="s">
        <v>2846</v>
      </c>
      <c r="L1621" t="s">
        <v>37</v>
      </c>
      <c r="M1621" t="s">
        <v>7793</v>
      </c>
    </row>
    <row r="1622" spans="9:13" x14ac:dyDescent="0.25">
      <c r="I1622" t="s">
        <v>95</v>
      </c>
      <c r="J1622" t="s">
        <v>6320</v>
      </c>
      <c r="L1622" t="s">
        <v>2359</v>
      </c>
      <c r="M1622" t="s">
        <v>7300</v>
      </c>
    </row>
    <row r="1623" spans="9:13" x14ac:dyDescent="0.25">
      <c r="I1623" t="s">
        <v>276</v>
      </c>
      <c r="J1623" t="s">
        <v>925</v>
      </c>
      <c r="L1623" t="s">
        <v>7751</v>
      </c>
      <c r="M1623" t="s">
        <v>7752</v>
      </c>
    </row>
    <row r="1624" spans="9:13" x14ac:dyDescent="0.25">
      <c r="I1624" t="s">
        <v>95</v>
      </c>
      <c r="J1624" t="s">
        <v>2381</v>
      </c>
      <c r="L1624" t="s">
        <v>401</v>
      </c>
      <c r="M1624" t="s">
        <v>7486</v>
      </c>
    </row>
    <row r="1625" spans="9:13" x14ac:dyDescent="0.25">
      <c r="I1625" t="s">
        <v>306</v>
      </c>
      <c r="J1625" t="s">
        <v>1469</v>
      </c>
      <c r="L1625" t="s">
        <v>2730</v>
      </c>
      <c r="M1625" t="s">
        <v>3089</v>
      </c>
    </row>
    <row r="1626" spans="9:13" x14ac:dyDescent="0.25">
      <c r="I1626" t="s">
        <v>313</v>
      </c>
      <c r="J1626" t="s">
        <v>6620</v>
      </c>
      <c r="L1626" t="s">
        <v>548</v>
      </c>
      <c r="M1626" t="s">
        <v>7610</v>
      </c>
    </row>
    <row r="1627" spans="9:13" x14ac:dyDescent="0.25">
      <c r="I1627" t="s">
        <v>313</v>
      </c>
      <c r="J1627" t="s">
        <v>1180</v>
      </c>
      <c r="L1627" t="s">
        <v>3861</v>
      </c>
      <c r="M1627" t="s">
        <v>4295</v>
      </c>
    </row>
    <row r="1628" spans="9:13" x14ac:dyDescent="0.25">
      <c r="I1628" t="s">
        <v>356</v>
      </c>
      <c r="J1628" t="s">
        <v>5667</v>
      </c>
      <c r="L1628" t="s">
        <v>7639</v>
      </c>
      <c r="M1628" t="s">
        <v>7640</v>
      </c>
    </row>
    <row r="1629" spans="9:13" x14ac:dyDescent="0.25">
      <c r="I1629" t="s">
        <v>3861</v>
      </c>
      <c r="J1629" t="s">
        <v>3971</v>
      </c>
      <c r="L1629" t="s">
        <v>7018</v>
      </c>
      <c r="M1629" t="s">
        <v>7553</v>
      </c>
    </row>
    <row r="1630" spans="9:13" x14ac:dyDescent="0.25">
      <c r="I1630" t="s">
        <v>254</v>
      </c>
      <c r="J1630" t="s">
        <v>1532</v>
      </c>
      <c r="L1630" t="s">
        <v>459</v>
      </c>
      <c r="M1630" t="s">
        <v>1879</v>
      </c>
    </row>
    <row r="1631" spans="9:13" x14ac:dyDescent="0.25">
      <c r="I1631" t="s">
        <v>6506</v>
      </c>
      <c r="J1631" t="s">
        <v>6641</v>
      </c>
      <c r="L1631" t="s">
        <v>7691</v>
      </c>
      <c r="M1631" t="s">
        <v>2166</v>
      </c>
    </row>
    <row r="1632" spans="9:13" x14ac:dyDescent="0.25">
      <c r="I1632" t="s">
        <v>417</v>
      </c>
      <c r="J1632" t="s">
        <v>1593</v>
      </c>
      <c r="L1632" t="s">
        <v>462</v>
      </c>
      <c r="M1632" t="s">
        <v>1768</v>
      </c>
    </row>
    <row r="1633" spans="9:13" x14ac:dyDescent="0.25">
      <c r="I1633" t="s">
        <v>6707</v>
      </c>
      <c r="J1633" t="s">
        <v>1565</v>
      </c>
      <c r="L1633" t="s">
        <v>459</v>
      </c>
      <c r="M1633" t="s">
        <v>1868</v>
      </c>
    </row>
    <row r="1634" spans="9:13" x14ac:dyDescent="0.25">
      <c r="I1634" t="s">
        <v>91</v>
      </c>
      <c r="J1634" t="s">
        <v>6538</v>
      </c>
      <c r="L1634" t="s">
        <v>36</v>
      </c>
      <c r="M1634" t="s">
        <v>6933</v>
      </c>
    </row>
    <row r="1635" spans="9:13" x14ac:dyDescent="0.25">
      <c r="I1635" t="s">
        <v>254</v>
      </c>
      <c r="J1635" t="s">
        <v>1455</v>
      </c>
      <c r="L1635" t="s">
        <v>548</v>
      </c>
      <c r="M1635" t="s">
        <v>7816</v>
      </c>
    </row>
    <row r="1636" spans="9:13" x14ac:dyDescent="0.25">
      <c r="I1636" t="s">
        <v>95</v>
      </c>
      <c r="J1636" t="s">
        <v>947</v>
      </c>
      <c r="L1636" t="s">
        <v>2748</v>
      </c>
      <c r="M1636" t="s">
        <v>3109</v>
      </c>
    </row>
    <row r="1637" spans="9:13" x14ac:dyDescent="0.25">
      <c r="I1637" t="s">
        <v>5623</v>
      </c>
      <c r="J1637" t="s">
        <v>970</v>
      </c>
      <c r="L1637" t="s">
        <v>4168</v>
      </c>
      <c r="M1637" t="s">
        <v>4169</v>
      </c>
    </row>
    <row r="1638" spans="9:13" x14ac:dyDescent="0.25">
      <c r="I1638" t="s">
        <v>306</v>
      </c>
      <c r="J1638" t="s">
        <v>1041</v>
      </c>
      <c r="L1638" t="s">
        <v>36</v>
      </c>
      <c r="M1638" t="s">
        <v>1734</v>
      </c>
    </row>
    <row r="1639" spans="9:13" x14ac:dyDescent="0.25">
      <c r="I1639" t="s">
        <v>5288</v>
      </c>
      <c r="J1639" t="s">
        <v>2783</v>
      </c>
      <c r="L1639" t="s">
        <v>50</v>
      </c>
      <c r="M1639" t="s">
        <v>7874</v>
      </c>
    </row>
    <row r="1640" spans="9:13" x14ac:dyDescent="0.25">
      <c r="I1640" t="s">
        <v>6337</v>
      </c>
      <c r="J1640" t="s">
        <v>1519</v>
      </c>
      <c r="L1640" t="s">
        <v>253</v>
      </c>
      <c r="M1640" t="s">
        <v>1726</v>
      </c>
    </row>
    <row r="1641" spans="9:13" x14ac:dyDescent="0.25">
      <c r="I1641" t="s">
        <v>4864</v>
      </c>
      <c r="J1641" t="s">
        <v>937</v>
      </c>
      <c r="L1641" t="s">
        <v>95</v>
      </c>
      <c r="M1641" t="s">
        <v>7726</v>
      </c>
    </row>
    <row r="1642" spans="9:13" x14ac:dyDescent="0.25">
      <c r="I1642" t="s">
        <v>404</v>
      </c>
      <c r="J1642" t="s">
        <v>838</v>
      </c>
      <c r="L1642" t="s">
        <v>7091</v>
      </c>
      <c r="M1642" t="s">
        <v>7092</v>
      </c>
    </row>
    <row r="1643" spans="9:13" x14ac:dyDescent="0.25">
      <c r="I1643" t="s">
        <v>313</v>
      </c>
      <c r="J1643" t="s">
        <v>6631</v>
      </c>
      <c r="L1643" t="s">
        <v>7957</v>
      </c>
      <c r="M1643" t="s">
        <v>7958</v>
      </c>
    </row>
    <row r="1644" spans="9:13" x14ac:dyDescent="0.25">
      <c r="I1644" t="s">
        <v>22</v>
      </c>
      <c r="J1644" t="s">
        <v>1548</v>
      </c>
      <c r="L1644" t="s">
        <v>7440</v>
      </c>
      <c r="M1644" t="s">
        <v>7441</v>
      </c>
    </row>
    <row r="1645" spans="9:13" x14ac:dyDescent="0.25">
      <c r="I1645" t="s">
        <v>5851</v>
      </c>
      <c r="J1645" t="s">
        <v>1091</v>
      </c>
      <c r="L1645" t="s">
        <v>254</v>
      </c>
      <c r="M1645" t="s">
        <v>7627</v>
      </c>
    </row>
    <row r="1646" spans="9:13" x14ac:dyDescent="0.25">
      <c r="I1646" t="s">
        <v>5336</v>
      </c>
      <c r="J1646" t="s">
        <v>6088</v>
      </c>
      <c r="L1646" t="s">
        <v>313</v>
      </c>
      <c r="M1646" t="s">
        <v>7933</v>
      </c>
    </row>
    <row r="1647" spans="9:13" x14ac:dyDescent="0.25">
      <c r="I1647" t="s">
        <v>254</v>
      </c>
      <c r="J1647" t="s">
        <v>1040</v>
      </c>
      <c r="L1647" t="s">
        <v>3861</v>
      </c>
      <c r="M1647" t="s">
        <v>4282</v>
      </c>
    </row>
    <row r="1648" spans="9:13" x14ac:dyDescent="0.25">
      <c r="I1648" t="s">
        <v>289</v>
      </c>
      <c r="J1648" t="s">
        <v>5237</v>
      </c>
      <c r="L1648" t="s">
        <v>3861</v>
      </c>
      <c r="M1648" t="s">
        <v>4249</v>
      </c>
    </row>
    <row r="1649" spans="9:13" x14ac:dyDescent="0.25">
      <c r="I1649" t="s">
        <v>2745</v>
      </c>
      <c r="J1649" t="s">
        <v>5277</v>
      </c>
      <c r="L1649" t="s">
        <v>548</v>
      </c>
      <c r="M1649" t="s">
        <v>3191</v>
      </c>
    </row>
    <row r="1650" spans="9:13" x14ac:dyDescent="0.25">
      <c r="I1650" t="s">
        <v>4670</v>
      </c>
      <c r="J1650" t="s">
        <v>1499</v>
      </c>
      <c r="L1650" t="s">
        <v>254</v>
      </c>
      <c r="M1650" t="s">
        <v>7749</v>
      </c>
    </row>
    <row r="1651" spans="9:13" x14ac:dyDescent="0.25">
      <c r="I1651" t="s">
        <v>91</v>
      </c>
      <c r="J1651" t="s">
        <v>6584</v>
      </c>
      <c r="L1651" t="s">
        <v>21</v>
      </c>
      <c r="M1651" t="s">
        <v>7788</v>
      </c>
    </row>
    <row r="1652" spans="9:13" x14ac:dyDescent="0.25">
      <c r="I1652" t="s">
        <v>313</v>
      </c>
      <c r="J1652" t="s">
        <v>6573</v>
      </c>
      <c r="L1652" t="s">
        <v>7264</v>
      </c>
      <c r="M1652" t="s">
        <v>1689</v>
      </c>
    </row>
    <row r="1653" spans="9:13" x14ac:dyDescent="0.25">
      <c r="I1653" t="s">
        <v>254</v>
      </c>
      <c r="J1653" t="s">
        <v>1026</v>
      </c>
      <c r="L1653" t="s">
        <v>7375</v>
      </c>
      <c r="M1653" t="s">
        <v>7376</v>
      </c>
    </row>
    <row r="1654" spans="9:13" x14ac:dyDescent="0.25">
      <c r="I1654" t="s">
        <v>276</v>
      </c>
      <c r="J1654" t="s">
        <v>977</v>
      </c>
      <c r="L1654" t="s">
        <v>2359</v>
      </c>
      <c r="M1654" t="s">
        <v>7498</v>
      </c>
    </row>
    <row r="1655" spans="9:13" x14ac:dyDescent="0.25">
      <c r="I1655" t="s">
        <v>5419</v>
      </c>
      <c r="J1655" t="s">
        <v>877</v>
      </c>
      <c r="L1655" t="s">
        <v>7656</v>
      </c>
      <c r="M1655" t="s">
        <v>2119</v>
      </c>
    </row>
    <row r="1656" spans="9:13" x14ac:dyDescent="0.25">
      <c r="I1656" t="s">
        <v>346</v>
      </c>
      <c r="J1656" t="s">
        <v>2378</v>
      </c>
      <c r="L1656" t="s">
        <v>47</v>
      </c>
      <c r="M1656" t="s">
        <v>1927</v>
      </c>
    </row>
    <row r="1657" spans="9:13" x14ac:dyDescent="0.25">
      <c r="I1657" t="s">
        <v>95</v>
      </c>
      <c r="J1657" t="s">
        <v>1520</v>
      </c>
      <c r="L1657" t="s">
        <v>462</v>
      </c>
      <c r="M1657" t="s">
        <v>2149</v>
      </c>
    </row>
    <row r="1658" spans="9:13" x14ac:dyDescent="0.25">
      <c r="I1658" t="s">
        <v>394</v>
      </c>
      <c r="J1658" t="s">
        <v>1185</v>
      </c>
      <c r="L1658" t="s">
        <v>459</v>
      </c>
      <c r="M1658" t="s">
        <v>1815</v>
      </c>
    </row>
    <row r="1659" spans="9:13" x14ac:dyDescent="0.25">
      <c r="I1659" t="s">
        <v>2773</v>
      </c>
      <c r="J1659" t="s">
        <v>2923</v>
      </c>
      <c r="L1659" t="s">
        <v>462</v>
      </c>
      <c r="M1659" t="s">
        <v>1715</v>
      </c>
    </row>
    <row r="1660" spans="9:13" x14ac:dyDescent="0.25">
      <c r="I1660" t="s">
        <v>254</v>
      </c>
      <c r="J1660" t="s">
        <v>5825</v>
      </c>
      <c r="L1660" t="s">
        <v>291</v>
      </c>
      <c r="M1660" t="s">
        <v>7773</v>
      </c>
    </row>
    <row r="1661" spans="9:13" x14ac:dyDescent="0.25">
      <c r="I1661" t="s">
        <v>394</v>
      </c>
      <c r="J1661" t="s">
        <v>851</v>
      </c>
      <c r="L1661" t="s">
        <v>122</v>
      </c>
      <c r="M1661" t="s">
        <v>7388</v>
      </c>
    </row>
    <row r="1662" spans="9:13" x14ac:dyDescent="0.25">
      <c r="I1662" t="s">
        <v>253</v>
      </c>
      <c r="J1662" t="s">
        <v>1197</v>
      </c>
      <c r="L1662" t="s">
        <v>548</v>
      </c>
      <c r="M1662" t="s">
        <v>6923</v>
      </c>
    </row>
    <row r="1663" spans="9:13" x14ac:dyDescent="0.25">
      <c r="I1663" t="s">
        <v>2733</v>
      </c>
      <c r="J1663" t="s">
        <v>2853</v>
      </c>
      <c r="L1663" t="s">
        <v>7469</v>
      </c>
      <c r="M1663" t="s">
        <v>4228</v>
      </c>
    </row>
    <row r="1664" spans="9:13" x14ac:dyDescent="0.25">
      <c r="I1664" t="s">
        <v>394</v>
      </c>
      <c r="J1664" t="s">
        <v>1147</v>
      </c>
      <c r="L1664" t="s">
        <v>7131</v>
      </c>
      <c r="M1664" t="s">
        <v>1806</v>
      </c>
    </row>
    <row r="1665" spans="9:13" x14ac:dyDescent="0.25">
      <c r="I1665" t="s">
        <v>95</v>
      </c>
      <c r="J1665" t="s">
        <v>5625</v>
      </c>
      <c r="L1665" t="s">
        <v>304</v>
      </c>
      <c r="M1665" t="s">
        <v>2597</v>
      </c>
    </row>
    <row r="1666" spans="9:13" x14ac:dyDescent="0.25">
      <c r="I1666" t="s">
        <v>394</v>
      </c>
      <c r="J1666" t="s">
        <v>1513</v>
      </c>
      <c r="L1666" t="s">
        <v>548</v>
      </c>
      <c r="M1666" t="s">
        <v>7303</v>
      </c>
    </row>
    <row r="1667" spans="9:13" x14ac:dyDescent="0.25">
      <c r="I1667" t="s">
        <v>3861</v>
      </c>
      <c r="J1667" t="s">
        <v>4145</v>
      </c>
      <c r="L1667" t="s">
        <v>6962</v>
      </c>
      <c r="M1667" t="s">
        <v>6963</v>
      </c>
    </row>
    <row r="1668" spans="9:13" x14ac:dyDescent="0.25">
      <c r="I1668" t="s">
        <v>280</v>
      </c>
      <c r="J1668" t="s">
        <v>2832</v>
      </c>
      <c r="L1668" t="s">
        <v>313</v>
      </c>
      <c r="M1668" t="s">
        <v>1916</v>
      </c>
    </row>
    <row r="1669" spans="9:13" x14ac:dyDescent="0.25">
      <c r="I1669" t="s">
        <v>6140</v>
      </c>
      <c r="J1669" t="s">
        <v>1246</v>
      </c>
      <c r="L1669" t="s">
        <v>462</v>
      </c>
      <c r="M1669" t="s">
        <v>2214</v>
      </c>
    </row>
    <row r="1670" spans="9:13" x14ac:dyDescent="0.25">
      <c r="I1670" t="s">
        <v>5686</v>
      </c>
      <c r="J1670" t="s">
        <v>1007</v>
      </c>
      <c r="L1670" t="s">
        <v>47</v>
      </c>
      <c r="M1670" t="s">
        <v>1910</v>
      </c>
    </row>
    <row r="1671" spans="9:13" x14ac:dyDescent="0.25">
      <c r="I1671" t="s">
        <v>39</v>
      </c>
      <c r="J1671" t="s">
        <v>5673</v>
      </c>
      <c r="L1671" t="s">
        <v>7083</v>
      </c>
      <c r="M1671" t="s">
        <v>7084</v>
      </c>
    </row>
    <row r="1672" spans="9:13" x14ac:dyDescent="0.25">
      <c r="I1672" t="s">
        <v>394</v>
      </c>
      <c r="J1672" t="s">
        <v>2549</v>
      </c>
      <c r="L1672" t="s">
        <v>401</v>
      </c>
      <c r="M1672" t="s">
        <v>2064</v>
      </c>
    </row>
    <row r="1673" spans="9:13" x14ac:dyDescent="0.25">
      <c r="I1673" t="s">
        <v>5500</v>
      </c>
      <c r="J1673" t="s">
        <v>1606</v>
      </c>
      <c r="L1673" t="s">
        <v>2739</v>
      </c>
      <c r="M1673" t="s">
        <v>3198</v>
      </c>
    </row>
    <row r="1674" spans="9:13" x14ac:dyDescent="0.25">
      <c r="I1674" t="s">
        <v>313</v>
      </c>
      <c r="J1674" t="s">
        <v>833</v>
      </c>
      <c r="L1674" t="s">
        <v>37</v>
      </c>
      <c r="M1674" t="s">
        <v>3102</v>
      </c>
    </row>
    <row r="1675" spans="9:13" x14ac:dyDescent="0.25">
      <c r="I1675" t="s">
        <v>5675</v>
      </c>
      <c r="J1675" t="s">
        <v>6634</v>
      </c>
      <c r="L1675" t="s">
        <v>7058</v>
      </c>
      <c r="M1675" t="s">
        <v>7059</v>
      </c>
    </row>
    <row r="1676" spans="9:13" x14ac:dyDescent="0.25">
      <c r="I1676" t="s">
        <v>313</v>
      </c>
      <c r="J1676" t="s">
        <v>6535</v>
      </c>
      <c r="L1676" t="s">
        <v>459</v>
      </c>
      <c r="M1676" t="s">
        <v>2062</v>
      </c>
    </row>
    <row r="1677" spans="9:13" x14ac:dyDescent="0.25">
      <c r="I1677" t="s">
        <v>256</v>
      </c>
      <c r="J1677" t="s">
        <v>1579</v>
      </c>
      <c r="L1677" t="s">
        <v>548</v>
      </c>
      <c r="M1677" t="s">
        <v>7791</v>
      </c>
    </row>
    <row r="1678" spans="9:13" x14ac:dyDescent="0.25">
      <c r="I1678" t="s">
        <v>313</v>
      </c>
      <c r="J1678" t="s">
        <v>6551</v>
      </c>
      <c r="L1678" t="s">
        <v>7128</v>
      </c>
      <c r="M1678" t="s">
        <v>7129</v>
      </c>
    </row>
    <row r="1679" spans="9:13" x14ac:dyDescent="0.25">
      <c r="I1679" t="s">
        <v>6435</v>
      </c>
      <c r="J1679" t="s">
        <v>2922</v>
      </c>
      <c r="L1679" t="s">
        <v>306</v>
      </c>
      <c r="M1679" t="s">
        <v>2026</v>
      </c>
    </row>
    <row r="1680" spans="9:13" x14ac:dyDescent="0.25">
      <c r="I1680" t="s">
        <v>8002</v>
      </c>
      <c r="J1680" t="s">
        <v>1204</v>
      </c>
      <c r="L1680" t="s">
        <v>401</v>
      </c>
      <c r="M1680" t="s">
        <v>2075</v>
      </c>
    </row>
    <row r="1681" spans="9:13" x14ac:dyDescent="0.25">
      <c r="I1681" t="s">
        <v>548</v>
      </c>
      <c r="J1681" t="s">
        <v>6849</v>
      </c>
      <c r="L1681" t="s">
        <v>7422</v>
      </c>
      <c r="M1681" t="s">
        <v>7509</v>
      </c>
    </row>
    <row r="1682" spans="9:13" x14ac:dyDescent="0.25">
      <c r="I1682" t="s">
        <v>2748</v>
      </c>
      <c r="J1682" t="s">
        <v>4108</v>
      </c>
      <c r="L1682" t="s">
        <v>47</v>
      </c>
      <c r="M1682" t="s">
        <v>2332</v>
      </c>
    </row>
    <row r="1683" spans="9:13" x14ac:dyDescent="0.25">
      <c r="I1683" t="s">
        <v>257</v>
      </c>
      <c r="J1683" t="s">
        <v>5390</v>
      </c>
      <c r="L1683" t="s">
        <v>49</v>
      </c>
      <c r="M1683" t="s">
        <v>2104</v>
      </c>
    </row>
    <row r="1684" spans="9:13" x14ac:dyDescent="0.25">
      <c r="I1684" t="s">
        <v>2736</v>
      </c>
      <c r="J1684" t="s">
        <v>4013</v>
      </c>
      <c r="L1684" t="s">
        <v>4168</v>
      </c>
      <c r="M1684" t="s">
        <v>4298</v>
      </c>
    </row>
    <row r="1685" spans="9:13" x14ac:dyDescent="0.25">
      <c r="I1685" t="s">
        <v>4438</v>
      </c>
      <c r="J1685" t="s">
        <v>5703</v>
      </c>
      <c r="L1685" t="s">
        <v>6097</v>
      </c>
      <c r="M1685" t="s">
        <v>2268</v>
      </c>
    </row>
    <row r="1686" spans="9:13" x14ac:dyDescent="0.25">
      <c r="I1686" t="s">
        <v>6264</v>
      </c>
      <c r="J1686" t="s">
        <v>6265</v>
      </c>
      <c r="L1686" t="s">
        <v>253</v>
      </c>
      <c r="M1686" t="s">
        <v>2276</v>
      </c>
    </row>
    <row r="1687" spans="9:13" x14ac:dyDescent="0.25">
      <c r="I1687" t="s">
        <v>404</v>
      </c>
      <c r="J1687" t="s">
        <v>1644</v>
      </c>
      <c r="L1687" t="s">
        <v>7877</v>
      </c>
      <c r="M1687" t="s">
        <v>7878</v>
      </c>
    </row>
    <row r="1688" spans="9:13" x14ac:dyDescent="0.25">
      <c r="I1688" t="s">
        <v>313</v>
      </c>
      <c r="J1688" t="s">
        <v>888</v>
      </c>
      <c r="L1688" t="s">
        <v>7483</v>
      </c>
      <c r="M1688" t="s">
        <v>2357</v>
      </c>
    </row>
    <row r="1689" spans="9:13" x14ac:dyDescent="0.25">
      <c r="I1689" t="s">
        <v>6762</v>
      </c>
      <c r="J1689" t="s">
        <v>1584</v>
      </c>
      <c r="L1689" t="s">
        <v>2745</v>
      </c>
      <c r="M1689" t="s">
        <v>3219</v>
      </c>
    </row>
    <row r="1690" spans="9:13" x14ac:dyDescent="0.25">
      <c r="I1690" t="s">
        <v>286</v>
      </c>
      <c r="J1690" t="s">
        <v>6632</v>
      </c>
      <c r="L1690" t="s">
        <v>7460</v>
      </c>
      <c r="M1690" t="s">
        <v>1987</v>
      </c>
    </row>
    <row r="1691" spans="9:13" x14ac:dyDescent="0.25">
      <c r="I1691" t="s">
        <v>394</v>
      </c>
      <c r="J1691" t="s">
        <v>1377</v>
      </c>
      <c r="L1691" t="s">
        <v>7464</v>
      </c>
      <c r="M1691" t="s">
        <v>1994</v>
      </c>
    </row>
    <row r="1692" spans="9:13" x14ac:dyDescent="0.25">
      <c r="I1692" t="s">
        <v>313</v>
      </c>
      <c r="J1692" t="s">
        <v>1594</v>
      </c>
      <c r="L1692" t="s">
        <v>459</v>
      </c>
      <c r="M1692" t="s">
        <v>7651</v>
      </c>
    </row>
    <row r="1693" spans="9:13" x14ac:dyDescent="0.25">
      <c r="I1693" t="s">
        <v>122</v>
      </c>
      <c r="J1693" t="s">
        <v>908</v>
      </c>
      <c r="L1693" t="s">
        <v>2359</v>
      </c>
      <c r="M1693" t="s">
        <v>7761</v>
      </c>
    </row>
    <row r="1694" spans="9:13" x14ac:dyDescent="0.25">
      <c r="I1694" t="s">
        <v>315</v>
      </c>
      <c r="J1694" t="s">
        <v>1510</v>
      </c>
      <c r="L1694" t="s">
        <v>46</v>
      </c>
      <c r="M1694" t="s">
        <v>2287</v>
      </c>
    </row>
    <row r="1695" spans="9:13" x14ac:dyDescent="0.25">
      <c r="I1695" t="s">
        <v>311</v>
      </c>
      <c r="J1695" t="s">
        <v>829</v>
      </c>
      <c r="L1695" t="s">
        <v>51</v>
      </c>
      <c r="M1695" t="s">
        <v>7367</v>
      </c>
    </row>
    <row r="1696" spans="9:13" x14ac:dyDescent="0.25">
      <c r="I1696" t="s">
        <v>95</v>
      </c>
      <c r="J1696" t="s">
        <v>6322</v>
      </c>
      <c r="L1696" t="s">
        <v>7492</v>
      </c>
      <c r="M1696" t="s">
        <v>2628</v>
      </c>
    </row>
    <row r="1697" spans="9:13" x14ac:dyDescent="0.25">
      <c r="I1697" t="s">
        <v>254</v>
      </c>
      <c r="J1697" t="s">
        <v>5570</v>
      </c>
      <c r="L1697" t="s">
        <v>7422</v>
      </c>
      <c r="M1697" t="s">
        <v>7423</v>
      </c>
    </row>
    <row r="1698" spans="9:13" x14ac:dyDescent="0.25">
      <c r="I1698" t="s">
        <v>315</v>
      </c>
      <c r="J1698" t="s">
        <v>2900</v>
      </c>
      <c r="L1698" t="s">
        <v>2727</v>
      </c>
      <c r="M1698" t="s">
        <v>7477</v>
      </c>
    </row>
    <row r="1699" spans="9:13" x14ac:dyDescent="0.25">
      <c r="I1699" t="s">
        <v>551</v>
      </c>
      <c r="J1699" t="s">
        <v>5571</v>
      </c>
      <c r="L1699" t="s">
        <v>7971</v>
      </c>
      <c r="M1699" t="s">
        <v>7972</v>
      </c>
    </row>
    <row r="1700" spans="9:13" x14ac:dyDescent="0.25">
      <c r="I1700" t="s">
        <v>5801</v>
      </c>
      <c r="J1700" t="s">
        <v>5802</v>
      </c>
      <c r="L1700" t="s">
        <v>7864</v>
      </c>
      <c r="M1700" t="s">
        <v>7865</v>
      </c>
    </row>
    <row r="1701" spans="9:13" x14ac:dyDescent="0.25">
      <c r="I1701" t="s">
        <v>394</v>
      </c>
      <c r="J1701" t="s">
        <v>1029</v>
      </c>
      <c r="L1701" t="s">
        <v>253</v>
      </c>
      <c r="M1701" t="s">
        <v>2235</v>
      </c>
    </row>
    <row r="1702" spans="9:13" x14ac:dyDescent="0.25">
      <c r="I1702" t="s">
        <v>5689</v>
      </c>
      <c r="J1702" t="s">
        <v>1008</v>
      </c>
      <c r="L1702" t="s">
        <v>9</v>
      </c>
      <c r="M1702" t="s">
        <v>7103</v>
      </c>
    </row>
    <row r="1703" spans="9:13" x14ac:dyDescent="0.25">
      <c r="I1703" t="s">
        <v>5765</v>
      </c>
      <c r="J1703" t="s">
        <v>1074</v>
      </c>
      <c r="L1703" t="s">
        <v>2733</v>
      </c>
      <c r="M1703" t="s">
        <v>4223</v>
      </c>
    </row>
    <row r="1704" spans="9:13" x14ac:dyDescent="0.25">
      <c r="I1704" t="s">
        <v>306</v>
      </c>
      <c r="J1704" t="s">
        <v>1243</v>
      </c>
      <c r="L1704" t="s">
        <v>2748</v>
      </c>
      <c r="M1704" t="s">
        <v>3094</v>
      </c>
    </row>
    <row r="1705" spans="9:13" x14ac:dyDescent="0.25">
      <c r="I1705" t="s">
        <v>315</v>
      </c>
      <c r="J1705" t="s">
        <v>997</v>
      </c>
      <c r="L1705" t="s">
        <v>7581</v>
      </c>
      <c r="M1705" t="s">
        <v>1705</v>
      </c>
    </row>
    <row r="1706" spans="9:13" x14ac:dyDescent="0.25">
      <c r="I1706" t="s">
        <v>394</v>
      </c>
      <c r="J1706" t="s">
        <v>1537</v>
      </c>
      <c r="L1706" t="s">
        <v>459</v>
      </c>
      <c r="M1706" t="s">
        <v>2213</v>
      </c>
    </row>
    <row r="1707" spans="9:13" x14ac:dyDescent="0.25">
      <c r="I1707" t="s">
        <v>315</v>
      </c>
      <c r="J1707" t="s">
        <v>1616</v>
      </c>
      <c r="L1707" t="s">
        <v>7422</v>
      </c>
      <c r="M1707" t="s">
        <v>7847</v>
      </c>
    </row>
    <row r="1708" spans="9:13" x14ac:dyDescent="0.25">
      <c r="I1708" t="s">
        <v>5483</v>
      </c>
      <c r="J1708" t="s">
        <v>5484</v>
      </c>
      <c r="L1708" t="s">
        <v>7597</v>
      </c>
      <c r="M1708" t="s">
        <v>7598</v>
      </c>
    </row>
    <row r="1709" spans="9:13" x14ac:dyDescent="0.25">
      <c r="I1709" t="s">
        <v>286</v>
      </c>
      <c r="J1709" t="s">
        <v>6502</v>
      </c>
      <c r="L1709" t="s">
        <v>6960</v>
      </c>
      <c r="M1709" t="s">
        <v>6961</v>
      </c>
    </row>
    <row r="1710" spans="9:13" x14ac:dyDescent="0.25">
      <c r="I1710" t="s">
        <v>5653</v>
      </c>
      <c r="J1710" t="s">
        <v>1291</v>
      </c>
      <c r="L1710" t="s">
        <v>2359</v>
      </c>
      <c r="M1710" t="s">
        <v>7214</v>
      </c>
    </row>
    <row r="1711" spans="9:13" x14ac:dyDescent="0.25">
      <c r="I1711" t="s">
        <v>401</v>
      </c>
      <c r="J1711" t="s">
        <v>1231</v>
      </c>
      <c r="L1711" t="s">
        <v>459</v>
      </c>
      <c r="M1711" t="s">
        <v>1842</v>
      </c>
    </row>
    <row r="1712" spans="9:13" x14ac:dyDescent="0.25">
      <c r="I1712" t="s">
        <v>39</v>
      </c>
      <c r="J1712" t="s">
        <v>5769</v>
      </c>
      <c r="L1712" t="s">
        <v>2727</v>
      </c>
      <c r="M1712" t="s">
        <v>7945</v>
      </c>
    </row>
    <row r="1713" spans="9:13" x14ac:dyDescent="0.25">
      <c r="I1713" t="s">
        <v>95</v>
      </c>
      <c r="J1713" t="s">
        <v>5456</v>
      </c>
      <c r="L1713" t="s">
        <v>459</v>
      </c>
      <c r="M1713" t="s">
        <v>2145</v>
      </c>
    </row>
    <row r="1714" spans="9:13" x14ac:dyDescent="0.25">
      <c r="I1714" t="s">
        <v>5947</v>
      </c>
      <c r="J1714" t="s">
        <v>1467</v>
      </c>
      <c r="L1714" t="s">
        <v>7406</v>
      </c>
      <c r="M1714" t="s">
        <v>2074</v>
      </c>
    </row>
    <row r="1715" spans="9:13" x14ac:dyDescent="0.25">
      <c r="I1715" t="s">
        <v>356</v>
      </c>
      <c r="J1715" t="s">
        <v>4030</v>
      </c>
      <c r="L1715" t="s">
        <v>36</v>
      </c>
      <c r="M1715" t="s">
        <v>7099</v>
      </c>
    </row>
    <row r="1716" spans="9:13" x14ac:dyDescent="0.25">
      <c r="I1716" t="s">
        <v>306</v>
      </c>
      <c r="J1716" t="s">
        <v>1580</v>
      </c>
      <c r="L1716" t="s">
        <v>2739</v>
      </c>
      <c r="M1716" t="s">
        <v>3134</v>
      </c>
    </row>
    <row r="1717" spans="9:13" x14ac:dyDescent="0.25">
      <c r="I1717" t="s">
        <v>95</v>
      </c>
      <c r="J1717" t="s">
        <v>2785</v>
      </c>
      <c r="L1717" t="s">
        <v>404</v>
      </c>
      <c r="M1717" t="s">
        <v>2570</v>
      </c>
    </row>
    <row r="1718" spans="9:13" x14ac:dyDescent="0.25">
      <c r="I1718" t="s">
        <v>44</v>
      </c>
      <c r="J1718" t="s">
        <v>1212</v>
      </c>
      <c r="L1718" t="s">
        <v>254</v>
      </c>
      <c r="M1718" t="s">
        <v>1932</v>
      </c>
    </row>
    <row r="1719" spans="9:13" x14ac:dyDescent="0.25">
      <c r="I1719" t="s">
        <v>22</v>
      </c>
      <c r="J1719" t="s">
        <v>1425</v>
      </c>
      <c r="L1719" t="s">
        <v>7697</v>
      </c>
      <c r="M1719" t="s">
        <v>2627</v>
      </c>
    </row>
    <row r="1720" spans="9:13" x14ac:dyDescent="0.25">
      <c r="I1720" t="s">
        <v>276</v>
      </c>
      <c r="J1720" t="s">
        <v>855</v>
      </c>
      <c r="L1720" t="s">
        <v>548</v>
      </c>
      <c r="M1720" t="s">
        <v>6913</v>
      </c>
    </row>
    <row r="1721" spans="9:13" x14ac:dyDescent="0.25">
      <c r="I1721" t="s">
        <v>318</v>
      </c>
      <c r="J1721" t="s">
        <v>6048</v>
      </c>
      <c r="L1721" t="s">
        <v>452</v>
      </c>
      <c r="M1721" t="s">
        <v>2201</v>
      </c>
    </row>
    <row r="1722" spans="9:13" x14ac:dyDescent="0.25">
      <c r="I1722" t="s">
        <v>394</v>
      </c>
      <c r="J1722" t="s">
        <v>1638</v>
      </c>
      <c r="L1722" t="s">
        <v>459</v>
      </c>
      <c r="M1722" t="s">
        <v>2016</v>
      </c>
    </row>
    <row r="1723" spans="9:13" x14ac:dyDescent="0.25">
      <c r="I1723" t="s">
        <v>394</v>
      </c>
      <c r="J1723" t="s">
        <v>785</v>
      </c>
      <c r="L1723" t="s">
        <v>593</v>
      </c>
      <c r="M1723" t="s">
        <v>4230</v>
      </c>
    </row>
    <row r="1724" spans="9:13" x14ac:dyDescent="0.25">
      <c r="I1724" t="s">
        <v>289</v>
      </c>
      <c r="J1724" t="s">
        <v>2849</v>
      </c>
      <c r="L1724" t="s">
        <v>2727</v>
      </c>
      <c r="M1724" t="s">
        <v>7745</v>
      </c>
    </row>
    <row r="1725" spans="9:13" x14ac:dyDescent="0.25">
      <c r="I1725" t="s">
        <v>257</v>
      </c>
      <c r="J1725" t="s">
        <v>5278</v>
      </c>
      <c r="L1725" t="s">
        <v>7618</v>
      </c>
      <c r="M1725" t="s">
        <v>1982</v>
      </c>
    </row>
    <row r="1726" spans="9:13" x14ac:dyDescent="0.25">
      <c r="I1726" t="s">
        <v>5972</v>
      </c>
      <c r="J1726" t="s">
        <v>5973</v>
      </c>
      <c r="L1726" t="s">
        <v>6890</v>
      </c>
      <c r="M1726" t="s">
        <v>1752</v>
      </c>
    </row>
    <row r="1727" spans="9:13" x14ac:dyDescent="0.25">
      <c r="I1727" t="s">
        <v>394</v>
      </c>
      <c r="J1727" t="s">
        <v>1184</v>
      </c>
      <c r="L1727" t="s">
        <v>37</v>
      </c>
      <c r="M1727" t="s">
        <v>7499</v>
      </c>
    </row>
    <row r="1728" spans="9:13" x14ac:dyDescent="0.25">
      <c r="I1728" t="s">
        <v>6383</v>
      </c>
      <c r="J1728" t="s">
        <v>6384</v>
      </c>
      <c r="L1728" t="s">
        <v>459</v>
      </c>
      <c r="M1728" t="s">
        <v>2148</v>
      </c>
    </row>
    <row r="1729" spans="9:13" x14ac:dyDescent="0.25">
      <c r="I1729" t="s">
        <v>5889</v>
      </c>
      <c r="J1729" t="s">
        <v>5890</v>
      </c>
      <c r="L1729" t="s">
        <v>2773</v>
      </c>
      <c r="M1729" t="s">
        <v>3188</v>
      </c>
    </row>
    <row r="1730" spans="9:13" x14ac:dyDescent="0.25">
      <c r="I1730" t="s">
        <v>6881</v>
      </c>
      <c r="J1730" t="s">
        <v>1647</v>
      </c>
      <c r="L1730" t="s">
        <v>7597</v>
      </c>
      <c r="M1730" t="s">
        <v>7806</v>
      </c>
    </row>
    <row r="1731" spans="9:13" x14ac:dyDescent="0.25">
      <c r="I1731" t="s">
        <v>356</v>
      </c>
      <c r="J1731" t="s">
        <v>4129</v>
      </c>
      <c r="L1731" t="s">
        <v>7406</v>
      </c>
      <c r="M1731" t="s">
        <v>1952</v>
      </c>
    </row>
    <row r="1732" spans="9:13" x14ac:dyDescent="0.25">
      <c r="I1732" t="s">
        <v>5367</v>
      </c>
      <c r="J1732" t="s">
        <v>6536</v>
      </c>
      <c r="L1732" t="s">
        <v>7581</v>
      </c>
      <c r="M1732" t="s">
        <v>2003</v>
      </c>
    </row>
    <row r="1733" spans="9:13" x14ac:dyDescent="0.25">
      <c r="I1733" t="s">
        <v>22</v>
      </c>
      <c r="J1733" t="s">
        <v>933</v>
      </c>
      <c r="L1733" t="s">
        <v>280</v>
      </c>
      <c r="M1733" t="s">
        <v>2339</v>
      </c>
    </row>
    <row r="1734" spans="9:13" x14ac:dyDescent="0.25">
      <c r="I1734" t="s">
        <v>44</v>
      </c>
      <c r="J1734" t="s">
        <v>2891</v>
      </c>
      <c r="L1734" t="s">
        <v>459</v>
      </c>
      <c r="M1734" t="s">
        <v>1795</v>
      </c>
    </row>
    <row r="1735" spans="9:13" x14ac:dyDescent="0.25">
      <c r="I1735" t="s">
        <v>257</v>
      </c>
      <c r="J1735" t="s">
        <v>6779</v>
      </c>
      <c r="L1735" t="s">
        <v>4198</v>
      </c>
      <c r="M1735" t="s">
        <v>4308</v>
      </c>
    </row>
    <row r="1736" spans="9:13" x14ac:dyDescent="0.25">
      <c r="I1736" t="s">
        <v>3861</v>
      </c>
      <c r="J1736" t="s">
        <v>4071</v>
      </c>
      <c r="L1736" t="s">
        <v>593</v>
      </c>
      <c r="M1736" t="s">
        <v>4218</v>
      </c>
    </row>
    <row r="1737" spans="9:13" x14ac:dyDescent="0.25">
      <c r="I1737" t="s">
        <v>5473</v>
      </c>
      <c r="J1737" t="s">
        <v>5474</v>
      </c>
      <c r="L1737" t="s">
        <v>318</v>
      </c>
      <c r="M1737" t="s">
        <v>3158</v>
      </c>
    </row>
    <row r="1738" spans="9:13" x14ac:dyDescent="0.25">
      <c r="I1738" t="s">
        <v>356</v>
      </c>
      <c r="J1738" t="s">
        <v>4085</v>
      </c>
      <c r="L1738" t="s">
        <v>5372</v>
      </c>
      <c r="M1738" t="s">
        <v>7872</v>
      </c>
    </row>
    <row r="1739" spans="9:13" x14ac:dyDescent="0.25">
      <c r="I1739" t="s">
        <v>289</v>
      </c>
      <c r="J1739" t="s">
        <v>5394</v>
      </c>
      <c r="L1739" t="s">
        <v>459</v>
      </c>
      <c r="M1739" t="s">
        <v>2333</v>
      </c>
    </row>
    <row r="1740" spans="9:13" x14ac:dyDescent="0.25">
      <c r="I1740" t="s">
        <v>254</v>
      </c>
      <c r="J1740" t="s">
        <v>1239</v>
      </c>
      <c r="L1740" t="s">
        <v>397</v>
      </c>
      <c r="M1740" t="s">
        <v>7647</v>
      </c>
    </row>
    <row r="1741" spans="9:13" x14ac:dyDescent="0.25">
      <c r="I1741" t="s">
        <v>254</v>
      </c>
      <c r="J1741" t="s">
        <v>5513</v>
      </c>
      <c r="L1741" t="s">
        <v>7905</v>
      </c>
      <c r="M1741" t="s">
        <v>7906</v>
      </c>
    </row>
    <row r="1742" spans="9:13" x14ac:dyDescent="0.25">
      <c r="I1742" t="s">
        <v>407</v>
      </c>
      <c r="J1742" t="s">
        <v>2833</v>
      </c>
      <c r="L1742" t="s">
        <v>45</v>
      </c>
      <c r="M1742" t="s">
        <v>1733</v>
      </c>
    </row>
    <row r="1743" spans="9:13" x14ac:dyDescent="0.25">
      <c r="I1743" t="s">
        <v>90</v>
      </c>
      <c r="J1743" t="s">
        <v>6799</v>
      </c>
      <c r="L1743" t="s">
        <v>46</v>
      </c>
      <c r="M1743" t="s">
        <v>1783</v>
      </c>
    </row>
    <row r="1744" spans="9:13" x14ac:dyDescent="0.25">
      <c r="I1744" t="s">
        <v>253</v>
      </c>
      <c r="J1744" t="s">
        <v>1132</v>
      </c>
      <c r="L1744" t="s">
        <v>253</v>
      </c>
      <c r="M1744" t="s">
        <v>2365</v>
      </c>
    </row>
    <row r="1745" spans="9:13" x14ac:dyDescent="0.25">
      <c r="I1745" t="s">
        <v>2748</v>
      </c>
      <c r="J1745" t="s">
        <v>2815</v>
      </c>
      <c r="L1745" t="s">
        <v>280</v>
      </c>
      <c r="M1745" t="s">
        <v>2260</v>
      </c>
    </row>
    <row r="1746" spans="9:13" x14ac:dyDescent="0.25">
      <c r="I1746" t="s">
        <v>2748</v>
      </c>
      <c r="J1746" t="s">
        <v>2868</v>
      </c>
      <c r="L1746" t="s">
        <v>2727</v>
      </c>
      <c r="M1746" t="s">
        <v>7880</v>
      </c>
    </row>
    <row r="1747" spans="9:13" x14ac:dyDescent="0.25">
      <c r="I1747" t="s">
        <v>5730</v>
      </c>
      <c r="J1747" t="s">
        <v>1034</v>
      </c>
      <c r="L1747" t="s">
        <v>37</v>
      </c>
      <c r="M1747" t="s">
        <v>6898</v>
      </c>
    </row>
    <row r="1748" spans="9:13" x14ac:dyDescent="0.25">
      <c r="I1748" t="s">
        <v>95</v>
      </c>
      <c r="J1748" t="s">
        <v>1351</v>
      </c>
      <c r="L1748" t="s">
        <v>254</v>
      </c>
      <c r="M1748" t="s">
        <v>2364</v>
      </c>
    </row>
    <row r="1749" spans="9:13" x14ac:dyDescent="0.25">
      <c r="I1749" t="s">
        <v>280</v>
      </c>
      <c r="J1749" t="s">
        <v>1249</v>
      </c>
      <c r="L1749" t="s">
        <v>45</v>
      </c>
      <c r="M1749" t="s">
        <v>1691</v>
      </c>
    </row>
    <row r="1750" spans="9:13" x14ac:dyDescent="0.25">
      <c r="I1750" t="s">
        <v>46</v>
      </c>
      <c r="J1750" t="s">
        <v>1589</v>
      </c>
      <c r="L1750" t="s">
        <v>551</v>
      </c>
      <c r="M1750" t="s">
        <v>7381</v>
      </c>
    </row>
    <row r="1751" spans="9:13" x14ac:dyDescent="0.25">
      <c r="I1751" t="s">
        <v>313</v>
      </c>
      <c r="J1751" t="s">
        <v>1165</v>
      </c>
      <c r="L1751" t="s">
        <v>46</v>
      </c>
      <c r="M1751" t="s">
        <v>2320</v>
      </c>
    </row>
    <row r="1752" spans="9:13" x14ac:dyDescent="0.25">
      <c r="I1752" t="s">
        <v>253</v>
      </c>
      <c r="J1752" t="s">
        <v>1138</v>
      </c>
      <c r="L1752" t="s">
        <v>2748</v>
      </c>
      <c r="M1752" t="s">
        <v>3194</v>
      </c>
    </row>
    <row r="1753" spans="9:13" x14ac:dyDescent="0.25">
      <c r="I1753" t="s">
        <v>254</v>
      </c>
      <c r="J1753" t="s">
        <v>6232</v>
      </c>
      <c r="L1753" t="s">
        <v>36</v>
      </c>
      <c r="M1753" t="s">
        <v>7475</v>
      </c>
    </row>
    <row r="1754" spans="9:13" x14ac:dyDescent="0.25">
      <c r="I1754" t="s">
        <v>338</v>
      </c>
      <c r="J1754" t="s">
        <v>2899</v>
      </c>
      <c r="L1754" t="s">
        <v>37</v>
      </c>
      <c r="M1754" t="s">
        <v>2309</v>
      </c>
    </row>
    <row r="1755" spans="9:13" x14ac:dyDescent="0.25">
      <c r="I1755" t="s">
        <v>6681</v>
      </c>
      <c r="J1755" t="s">
        <v>1544</v>
      </c>
      <c r="L1755" t="s">
        <v>7435</v>
      </c>
      <c r="M1755" t="s">
        <v>7436</v>
      </c>
    </row>
    <row r="1756" spans="9:13" x14ac:dyDescent="0.25">
      <c r="I1756" t="s">
        <v>90</v>
      </c>
      <c r="J1756" t="s">
        <v>5883</v>
      </c>
      <c r="L1756" t="s">
        <v>253</v>
      </c>
      <c r="M1756" t="s">
        <v>2191</v>
      </c>
    </row>
    <row r="1757" spans="9:13" x14ac:dyDescent="0.25">
      <c r="I1757" t="s">
        <v>137</v>
      </c>
      <c r="J1757" t="s">
        <v>5628</v>
      </c>
      <c r="L1757" t="s">
        <v>551</v>
      </c>
      <c r="M1757" t="s">
        <v>7072</v>
      </c>
    </row>
    <row r="1758" spans="9:13" x14ac:dyDescent="0.25">
      <c r="I1758" t="s">
        <v>313</v>
      </c>
      <c r="J1758" t="s">
        <v>1600</v>
      </c>
      <c r="L1758" t="s">
        <v>7024</v>
      </c>
      <c r="M1758" t="s">
        <v>1732</v>
      </c>
    </row>
    <row r="1759" spans="9:13" x14ac:dyDescent="0.25">
      <c r="I1759" t="s">
        <v>254</v>
      </c>
      <c r="J1759" t="s">
        <v>5723</v>
      </c>
      <c r="L1759" t="s">
        <v>2727</v>
      </c>
      <c r="M1759" t="s">
        <v>7065</v>
      </c>
    </row>
    <row r="1760" spans="9:13" x14ac:dyDescent="0.25">
      <c r="I1760" t="s">
        <v>2748</v>
      </c>
      <c r="J1760" t="s">
        <v>2776</v>
      </c>
      <c r="L1760" t="s">
        <v>7379</v>
      </c>
      <c r="M1760" t="s">
        <v>2179</v>
      </c>
    </row>
    <row r="1761" spans="9:13" x14ac:dyDescent="0.25">
      <c r="I1761" t="s">
        <v>2748</v>
      </c>
      <c r="J1761" t="s">
        <v>2806</v>
      </c>
      <c r="L1761" t="s">
        <v>6899</v>
      </c>
      <c r="M1761" t="s">
        <v>1659</v>
      </c>
    </row>
    <row r="1762" spans="9:13" x14ac:dyDescent="0.25">
      <c r="I1762" t="s">
        <v>2748</v>
      </c>
      <c r="J1762" t="s">
        <v>2929</v>
      </c>
      <c r="L1762" t="s">
        <v>3861</v>
      </c>
      <c r="M1762" t="s">
        <v>4167</v>
      </c>
    </row>
    <row r="1763" spans="9:13" x14ac:dyDescent="0.25">
      <c r="I1763" t="s">
        <v>5262</v>
      </c>
      <c r="J1763" t="s">
        <v>6803</v>
      </c>
      <c r="L1763" t="s">
        <v>37</v>
      </c>
      <c r="M1763" t="s">
        <v>1665</v>
      </c>
    </row>
    <row r="1764" spans="9:13" x14ac:dyDescent="0.25">
      <c r="I1764" t="s">
        <v>4597</v>
      </c>
      <c r="J1764" t="s">
        <v>865</v>
      </c>
      <c r="L1764" t="s">
        <v>2736</v>
      </c>
      <c r="M1764" t="s">
        <v>3088</v>
      </c>
    </row>
    <row r="1765" spans="9:13" x14ac:dyDescent="0.25">
      <c r="I1765" t="s">
        <v>356</v>
      </c>
      <c r="J1765" t="s">
        <v>6405</v>
      </c>
      <c r="L1765" t="s">
        <v>46</v>
      </c>
      <c r="M1765" t="s">
        <v>1917</v>
      </c>
    </row>
    <row r="1766" spans="9:13" x14ac:dyDescent="0.25">
      <c r="I1766" t="s">
        <v>5473</v>
      </c>
      <c r="J1766" t="s">
        <v>5691</v>
      </c>
      <c r="L1766" t="s">
        <v>593</v>
      </c>
      <c r="M1766" t="s">
        <v>4188</v>
      </c>
    </row>
    <row r="1767" spans="9:13" x14ac:dyDescent="0.25">
      <c r="I1767" t="s">
        <v>6129</v>
      </c>
      <c r="J1767" t="s">
        <v>2870</v>
      </c>
      <c r="L1767" t="s">
        <v>95</v>
      </c>
      <c r="M1767" t="s">
        <v>3115</v>
      </c>
    </row>
    <row r="1768" spans="9:13" x14ac:dyDescent="0.25">
      <c r="I1768" t="s">
        <v>37</v>
      </c>
      <c r="J1768" t="s">
        <v>1280</v>
      </c>
      <c r="L1768" t="s">
        <v>399</v>
      </c>
      <c r="M1768" t="s">
        <v>1912</v>
      </c>
    </row>
    <row r="1769" spans="9:13" x14ac:dyDescent="0.25">
      <c r="I1769" t="s">
        <v>5363</v>
      </c>
      <c r="J1769" t="s">
        <v>1374</v>
      </c>
      <c r="L1769" t="s">
        <v>37</v>
      </c>
      <c r="M1769" t="s">
        <v>1744</v>
      </c>
    </row>
    <row r="1770" spans="9:13" x14ac:dyDescent="0.25">
      <c r="I1770" t="s">
        <v>394</v>
      </c>
      <c r="J1770" t="s">
        <v>1421</v>
      </c>
      <c r="L1770" t="s">
        <v>459</v>
      </c>
      <c r="M1770" t="s">
        <v>2117</v>
      </c>
    </row>
    <row r="1771" spans="9:13" x14ac:dyDescent="0.25">
      <c r="I1771" t="s">
        <v>394</v>
      </c>
      <c r="J1771" t="s">
        <v>1284</v>
      </c>
      <c r="L1771" t="s">
        <v>459</v>
      </c>
      <c r="M1771" t="s">
        <v>2228</v>
      </c>
    </row>
    <row r="1772" spans="9:13" x14ac:dyDescent="0.25">
      <c r="I1772" t="s">
        <v>394</v>
      </c>
      <c r="J1772" t="s">
        <v>1570</v>
      </c>
      <c r="L1772" t="s">
        <v>37</v>
      </c>
      <c r="M1772" t="s">
        <v>7924</v>
      </c>
    </row>
    <row r="1773" spans="9:13" x14ac:dyDescent="0.25">
      <c r="I1773" t="s">
        <v>356</v>
      </c>
      <c r="J1773" t="s">
        <v>4100</v>
      </c>
      <c r="L1773" t="s">
        <v>6999</v>
      </c>
      <c r="M1773" t="s">
        <v>7000</v>
      </c>
    </row>
    <row r="1774" spans="9:13" x14ac:dyDescent="0.25">
      <c r="I1774" t="s">
        <v>548</v>
      </c>
      <c r="J1774" t="s">
        <v>2961</v>
      </c>
      <c r="L1774" t="s">
        <v>3861</v>
      </c>
      <c r="M1774" t="s">
        <v>4277</v>
      </c>
    </row>
    <row r="1775" spans="9:13" x14ac:dyDescent="0.25">
      <c r="I1775" t="s">
        <v>289</v>
      </c>
      <c r="J1775" t="s">
        <v>1514</v>
      </c>
      <c r="L1775" t="s">
        <v>6934</v>
      </c>
      <c r="M1775" t="s">
        <v>1681</v>
      </c>
    </row>
    <row r="1776" spans="9:13" x14ac:dyDescent="0.25">
      <c r="I1776" t="s">
        <v>95</v>
      </c>
      <c r="J1776" t="s">
        <v>6831</v>
      </c>
      <c r="L1776" t="s">
        <v>37</v>
      </c>
      <c r="M1776" t="s">
        <v>1671</v>
      </c>
    </row>
    <row r="1777" spans="9:13" x14ac:dyDescent="0.25">
      <c r="I1777" t="s">
        <v>0</v>
      </c>
      <c r="J1777" t="s">
        <v>1179</v>
      </c>
      <c r="L1777" t="s">
        <v>22</v>
      </c>
      <c r="M1777" t="s">
        <v>1840</v>
      </c>
    </row>
    <row r="1778" spans="9:13" x14ac:dyDescent="0.25">
      <c r="I1778" t="s">
        <v>356</v>
      </c>
      <c r="J1778" t="s">
        <v>3972</v>
      </c>
      <c r="L1778" t="s">
        <v>37</v>
      </c>
      <c r="M1778" t="s">
        <v>7459</v>
      </c>
    </row>
    <row r="1779" spans="9:13" x14ac:dyDescent="0.25">
      <c r="I1779" t="s">
        <v>21</v>
      </c>
      <c r="J1779" t="s">
        <v>971</v>
      </c>
      <c r="L1779" t="s">
        <v>22</v>
      </c>
      <c r="M1779" t="s">
        <v>7938</v>
      </c>
    </row>
    <row r="1780" spans="9:13" x14ac:dyDescent="0.25">
      <c r="I1780" t="s">
        <v>21</v>
      </c>
      <c r="J1780" t="s">
        <v>828</v>
      </c>
      <c r="L1780" t="s">
        <v>7031</v>
      </c>
      <c r="M1780" t="s">
        <v>4242</v>
      </c>
    </row>
    <row r="1781" spans="9:13" x14ac:dyDescent="0.25">
      <c r="I1781" t="s">
        <v>2748</v>
      </c>
      <c r="J1781" t="s">
        <v>2928</v>
      </c>
      <c r="L1781" t="s">
        <v>7031</v>
      </c>
      <c r="M1781" t="s">
        <v>7599</v>
      </c>
    </row>
    <row r="1782" spans="9:13" x14ac:dyDescent="0.25">
      <c r="I1782" t="s">
        <v>2748</v>
      </c>
      <c r="J1782" t="s">
        <v>2848</v>
      </c>
      <c r="L1782" t="s">
        <v>404</v>
      </c>
      <c r="M1782" t="s">
        <v>6984</v>
      </c>
    </row>
    <row r="1783" spans="9:13" x14ac:dyDescent="0.25">
      <c r="I1783" t="s">
        <v>2748</v>
      </c>
      <c r="J1783" t="s">
        <v>2971</v>
      </c>
      <c r="L1783" t="s">
        <v>397</v>
      </c>
      <c r="M1783" t="s">
        <v>7268</v>
      </c>
    </row>
    <row r="1784" spans="9:13" x14ac:dyDescent="0.25">
      <c r="I1784" t="s">
        <v>311</v>
      </c>
      <c r="J1784" t="s">
        <v>864</v>
      </c>
      <c r="L1784" t="s">
        <v>5372</v>
      </c>
      <c r="M1784" t="s">
        <v>4287</v>
      </c>
    </row>
    <row r="1785" spans="9:13" x14ac:dyDescent="0.25">
      <c r="I1785" t="s">
        <v>404</v>
      </c>
      <c r="J1785" t="s">
        <v>899</v>
      </c>
      <c r="L1785" t="s">
        <v>7031</v>
      </c>
      <c r="M1785" t="s">
        <v>7925</v>
      </c>
    </row>
    <row r="1786" spans="9:13" x14ac:dyDescent="0.25">
      <c r="I1786" t="s">
        <v>46</v>
      </c>
      <c r="J1786" t="s">
        <v>884</v>
      </c>
      <c r="L1786" t="s">
        <v>2748</v>
      </c>
      <c r="M1786" t="s">
        <v>3212</v>
      </c>
    </row>
    <row r="1787" spans="9:13" x14ac:dyDescent="0.25">
      <c r="I1787" t="s">
        <v>2730</v>
      </c>
      <c r="J1787" t="s">
        <v>2801</v>
      </c>
      <c r="L1787" t="s">
        <v>318</v>
      </c>
      <c r="M1787" t="s">
        <v>3128</v>
      </c>
    </row>
    <row r="1788" spans="9:13" x14ac:dyDescent="0.25">
      <c r="I1788" t="s">
        <v>253</v>
      </c>
      <c r="J1788" t="s">
        <v>6494</v>
      </c>
      <c r="L1788" t="s">
        <v>7031</v>
      </c>
      <c r="M1788" t="s">
        <v>7032</v>
      </c>
    </row>
    <row r="1789" spans="9:13" x14ac:dyDescent="0.25">
      <c r="I1789" t="s">
        <v>394</v>
      </c>
      <c r="J1789" t="s">
        <v>6266</v>
      </c>
      <c r="L1789" t="s">
        <v>404</v>
      </c>
      <c r="M1789" t="s">
        <v>7408</v>
      </c>
    </row>
    <row r="1790" spans="9:13" x14ac:dyDescent="0.25">
      <c r="I1790" t="s">
        <v>357</v>
      </c>
      <c r="J1790" t="s">
        <v>3994</v>
      </c>
      <c r="L1790" t="s">
        <v>404</v>
      </c>
      <c r="M1790" t="s">
        <v>7127</v>
      </c>
    </row>
    <row r="1791" spans="9:13" x14ac:dyDescent="0.25">
      <c r="I1791" t="s">
        <v>5329</v>
      </c>
      <c r="J1791" t="s">
        <v>826</v>
      </c>
      <c r="L1791" t="s">
        <v>37</v>
      </c>
      <c r="M1791" t="s">
        <v>7841</v>
      </c>
    </row>
    <row r="1792" spans="9:13" x14ac:dyDescent="0.25">
      <c r="I1792" t="s">
        <v>548</v>
      </c>
      <c r="J1792" t="s">
        <v>2952</v>
      </c>
      <c r="L1792" t="s">
        <v>5372</v>
      </c>
      <c r="M1792" t="s">
        <v>7907</v>
      </c>
    </row>
    <row r="1793" spans="9:13" x14ac:dyDescent="0.25">
      <c r="I1793" t="s">
        <v>5604</v>
      </c>
      <c r="J1793" t="s">
        <v>1643</v>
      </c>
      <c r="L1793" t="s">
        <v>356</v>
      </c>
      <c r="M1793" t="s">
        <v>7889</v>
      </c>
    </row>
    <row r="1794" spans="9:13" x14ac:dyDescent="0.25">
      <c r="I1794" t="s">
        <v>5294</v>
      </c>
      <c r="J1794" t="s">
        <v>6745</v>
      </c>
      <c r="L1794" t="s">
        <v>3924</v>
      </c>
      <c r="M1794" t="s">
        <v>4194</v>
      </c>
    </row>
    <row r="1795" spans="9:13" x14ac:dyDescent="0.25">
      <c r="I1795" t="s">
        <v>37</v>
      </c>
      <c r="J1795" t="s">
        <v>1260</v>
      </c>
      <c r="L1795" t="s">
        <v>394</v>
      </c>
      <c r="M1795" t="s">
        <v>1853</v>
      </c>
    </row>
    <row r="1796" spans="9:13" x14ac:dyDescent="0.25">
      <c r="I1796" t="s">
        <v>5692</v>
      </c>
      <c r="J1796" t="s">
        <v>5693</v>
      </c>
      <c r="L1796" t="s">
        <v>7869</v>
      </c>
      <c r="M1796" t="s">
        <v>2285</v>
      </c>
    </row>
    <row r="1797" spans="9:13" x14ac:dyDescent="0.25">
      <c r="I1797" t="s">
        <v>313</v>
      </c>
      <c r="J1797" t="s">
        <v>1186</v>
      </c>
      <c r="L1797" t="s">
        <v>4198</v>
      </c>
      <c r="M1797" t="s">
        <v>4233</v>
      </c>
    </row>
    <row r="1798" spans="9:13" x14ac:dyDescent="0.25">
      <c r="I1798" t="s">
        <v>346</v>
      </c>
      <c r="J1798" t="s">
        <v>1501</v>
      </c>
      <c r="L1798" t="s">
        <v>459</v>
      </c>
      <c r="M1798" t="s">
        <v>1754</v>
      </c>
    </row>
    <row r="1799" spans="9:13" x14ac:dyDescent="0.25">
      <c r="I1799" t="s">
        <v>306</v>
      </c>
      <c r="J1799" t="s">
        <v>1028</v>
      </c>
      <c r="L1799" t="s">
        <v>2733</v>
      </c>
      <c r="M1799" t="s">
        <v>3103</v>
      </c>
    </row>
    <row r="1800" spans="9:13" x14ac:dyDescent="0.25">
      <c r="I1800" t="s">
        <v>2736</v>
      </c>
      <c r="J1800" t="s">
        <v>2953</v>
      </c>
      <c r="L1800" t="s">
        <v>37</v>
      </c>
      <c r="M1800" t="s">
        <v>6987</v>
      </c>
    </row>
    <row r="1801" spans="9:13" x14ac:dyDescent="0.25">
      <c r="I1801" t="s">
        <v>2748</v>
      </c>
      <c r="J1801" t="s">
        <v>2822</v>
      </c>
      <c r="L1801" t="s">
        <v>2727</v>
      </c>
      <c r="M1801" t="s">
        <v>2256</v>
      </c>
    </row>
    <row r="1802" spans="9:13" x14ac:dyDescent="0.25">
      <c r="I1802" t="s">
        <v>95</v>
      </c>
      <c r="J1802" t="s">
        <v>1363</v>
      </c>
      <c r="L1802" t="s">
        <v>2736</v>
      </c>
      <c r="M1802" t="s">
        <v>4217</v>
      </c>
    </row>
    <row r="1803" spans="9:13" x14ac:dyDescent="0.25">
      <c r="I1803" t="s">
        <v>39</v>
      </c>
      <c r="J1803" t="s">
        <v>6046</v>
      </c>
      <c r="L1803" t="s">
        <v>404</v>
      </c>
      <c r="M1803" t="s">
        <v>7250</v>
      </c>
    </row>
    <row r="1804" spans="9:13" x14ac:dyDescent="0.25">
      <c r="I1804" t="s">
        <v>6007</v>
      </c>
      <c r="J1804" t="s">
        <v>1172</v>
      </c>
      <c r="L1804" t="s">
        <v>22</v>
      </c>
      <c r="M1804" t="s">
        <v>2081</v>
      </c>
    </row>
    <row r="1805" spans="9:13" x14ac:dyDescent="0.25">
      <c r="I1805" t="s">
        <v>5977</v>
      </c>
      <c r="J1805" t="s">
        <v>1152</v>
      </c>
      <c r="L1805" t="s">
        <v>593</v>
      </c>
      <c r="M1805" t="s">
        <v>4289</v>
      </c>
    </row>
    <row r="1806" spans="9:13" x14ac:dyDescent="0.25">
      <c r="I1806" t="s">
        <v>311</v>
      </c>
      <c r="J1806" t="s">
        <v>1468</v>
      </c>
      <c r="L1806" t="s">
        <v>459</v>
      </c>
      <c r="M1806" t="s">
        <v>7755</v>
      </c>
    </row>
    <row r="1807" spans="9:13" x14ac:dyDescent="0.25">
      <c r="I1807" t="s">
        <v>5626</v>
      </c>
      <c r="J1807" t="s">
        <v>5627</v>
      </c>
      <c r="L1807" t="s">
        <v>4198</v>
      </c>
      <c r="M1807" t="s">
        <v>4220</v>
      </c>
    </row>
    <row r="1808" spans="9:13" x14ac:dyDescent="0.25">
      <c r="I1808" t="s">
        <v>394</v>
      </c>
      <c r="J1808" t="s">
        <v>1215</v>
      </c>
      <c r="L1808" t="s">
        <v>551</v>
      </c>
      <c r="M1808" t="s">
        <v>2125</v>
      </c>
    </row>
    <row r="1809" spans="9:13" x14ac:dyDescent="0.25">
      <c r="I1809" t="s">
        <v>318</v>
      </c>
      <c r="J1809" t="s">
        <v>6341</v>
      </c>
      <c r="L1809" t="s">
        <v>593</v>
      </c>
      <c r="M1809" t="s">
        <v>4238</v>
      </c>
    </row>
    <row r="1810" spans="9:13" x14ac:dyDescent="0.25">
      <c r="I1810" t="s">
        <v>394</v>
      </c>
      <c r="J1810" t="s">
        <v>6412</v>
      </c>
      <c r="L1810" t="s">
        <v>254</v>
      </c>
      <c r="M1810" t="s">
        <v>2139</v>
      </c>
    </row>
    <row r="1811" spans="9:13" x14ac:dyDescent="0.25">
      <c r="I1811" t="s">
        <v>6020</v>
      </c>
      <c r="J1811" t="s">
        <v>1178</v>
      </c>
      <c r="L1811" t="s">
        <v>36</v>
      </c>
      <c r="M1811" t="s">
        <v>7439</v>
      </c>
    </row>
    <row r="1812" spans="9:13" x14ac:dyDescent="0.25">
      <c r="I1812" t="s">
        <v>313</v>
      </c>
      <c r="J1812" t="s">
        <v>1146</v>
      </c>
      <c r="L1812" t="s">
        <v>401</v>
      </c>
      <c r="M1812" t="s">
        <v>1811</v>
      </c>
    </row>
    <row r="1813" spans="9:13" x14ac:dyDescent="0.25">
      <c r="I1813" t="s">
        <v>286</v>
      </c>
      <c r="J1813" t="s">
        <v>1159</v>
      </c>
      <c r="L1813" t="s">
        <v>22</v>
      </c>
      <c r="M1813" t="s">
        <v>2349</v>
      </c>
    </row>
    <row r="1814" spans="9:13" x14ac:dyDescent="0.25">
      <c r="I1814" t="s">
        <v>6360</v>
      </c>
      <c r="J1814" t="s">
        <v>6543</v>
      </c>
      <c r="L1814" t="s">
        <v>551</v>
      </c>
      <c r="M1814" t="s">
        <v>1796</v>
      </c>
    </row>
    <row r="1815" spans="9:13" x14ac:dyDescent="0.25">
      <c r="I1815" t="s">
        <v>3924</v>
      </c>
      <c r="J1815" t="s">
        <v>4014</v>
      </c>
      <c r="L1815" t="s">
        <v>36</v>
      </c>
      <c r="M1815" t="s">
        <v>7278</v>
      </c>
    </row>
    <row r="1816" spans="9:13" x14ac:dyDescent="0.25">
      <c r="I1816" t="s">
        <v>8005</v>
      </c>
      <c r="J1816" t="s">
        <v>1309</v>
      </c>
      <c r="L1816" t="s">
        <v>7383</v>
      </c>
      <c r="M1816" t="s">
        <v>2056</v>
      </c>
    </row>
    <row r="1817" spans="9:13" x14ac:dyDescent="0.25">
      <c r="I1817" t="s">
        <v>313</v>
      </c>
      <c r="J1817" t="s">
        <v>6847</v>
      </c>
      <c r="L1817" t="s">
        <v>7321</v>
      </c>
      <c r="M1817" t="s">
        <v>7706</v>
      </c>
    </row>
    <row r="1818" spans="9:13" x14ac:dyDescent="0.25">
      <c r="I1818" t="s">
        <v>313</v>
      </c>
      <c r="J1818" t="s">
        <v>5510</v>
      </c>
      <c r="L1818" t="s">
        <v>2733</v>
      </c>
      <c r="M1818" t="s">
        <v>3252</v>
      </c>
    </row>
    <row r="1819" spans="9:13" x14ac:dyDescent="0.25">
      <c r="I1819" t="s">
        <v>5353</v>
      </c>
      <c r="J1819" t="s">
        <v>5354</v>
      </c>
      <c r="L1819" t="s">
        <v>4438</v>
      </c>
      <c r="M1819" t="s">
        <v>7850</v>
      </c>
    </row>
    <row r="1820" spans="9:13" x14ac:dyDescent="0.25">
      <c r="I1820" t="s">
        <v>36</v>
      </c>
      <c r="J1820" t="s">
        <v>1417</v>
      </c>
      <c r="L1820" t="s">
        <v>37</v>
      </c>
      <c r="M1820" t="s">
        <v>7263</v>
      </c>
    </row>
    <row r="1821" spans="9:13" x14ac:dyDescent="0.25">
      <c r="I1821" t="s">
        <v>2748</v>
      </c>
      <c r="J1821" t="s">
        <v>2859</v>
      </c>
      <c r="L1821" t="s">
        <v>2724</v>
      </c>
      <c r="M1821" t="s">
        <v>7474</v>
      </c>
    </row>
    <row r="1822" spans="9:13" x14ac:dyDescent="0.25">
      <c r="I1822" t="s">
        <v>2748</v>
      </c>
      <c r="J1822" t="s">
        <v>2926</v>
      </c>
      <c r="L1822" t="s">
        <v>7231</v>
      </c>
      <c r="M1822" t="s">
        <v>7488</v>
      </c>
    </row>
    <row r="1823" spans="9:13" x14ac:dyDescent="0.25">
      <c r="I1823" t="s">
        <v>253</v>
      </c>
      <c r="J1823" t="s">
        <v>1617</v>
      </c>
      <c r="L1823" t="s">
        <v>2724</v>
      </c>
      <c r="M1823" t="s">
        <v>7748</v>
      </c>
    </row>
    <row r="1824" spans="9:13" x14ac:dyDescent="0.25">
      <c r="I1824" t="s">
        <v>311</v>
      </c>
      <c r="J1824" t="s">
        <v>1630</v>
      </c>
      <c r="L1824" t="s">
        <v>22</v>
      </c>
      <c r="M1824" t="s">
        <v>1690</v>
      </c>
    </row>
    <row r="1825" spans="9:13" x14ac:dyDescent="0.25">
      <c r="I1825" t="s">
        <v>37</v>
      </c>
      <c r="J1825" t="s">
        <v>1402</v>
      </c>
      <c r="L1825" t="s">
        <v>2727</v>
      </c>
      <c r="M1825" t="s">
        <v>1738</v>
      </c>
    </row>
    <row r="1826" spans="9:13" x14ac:dyDescent="0.25">
      <c r="I1826" t="s">
        <v>286</v>
      </c>
      <c r="J1826" t="s">
        <v>6786</v>
      </c>
      <c r="L1826" t="s">
        <v>2727</v>
      </c>
      <c r="M1826" t="s">
        <v>1875</v>
      </c>
    </row>
    <row r="1827" spans="9:13" x14ac:dyDescent="0.25">
      <c r="I1827" t="s">
        <v>313</v>
      </c>
      <c r="J1827" t="s">
        <v>849</v>
      </c>
      <c r="L1827" t="s">
        <v>6962</v>
      </c>
      <c r="M1827" t="s">
        <v>2120</v>
      </c>
    </row>
    <row r="1828" spans="9:13" x14ac:dyDescent="0.25">
      <c r="I1828" t="s">
        <v>3861</v>
      </c>
      <c r="J1828" t="s">
        <v>3874</v>
      </c>
      <c r="L1828" t="s">
        <v>2724</v>
      </c>
      <c r="M1828" t="s">
        <v>6917</v>
      </c>
    </row>
    <row r="1829" spans="9:13" x14ac:dyDescent="0.25">
      <c r="I1829" t="s">
        <v>338</v>
      </c>
      <c r="J1829" t="s">
        <v>2915</v>
      </c>
      <c r="L1829" t="s">
        <v>7383</v>
      </c>
      <c r="M1829" t="s">
        <v>1937</v>
      </c>
    </row>
    <row r="1830" spans="9:13" x14ac:dyDescent="0.25">
      <c r="I1830" t="s">
        <v>90</v>
      </c>
      <c r="J1830" t="s">
        <v>6223</v>
      </c>
      <c r="L1830" t="s">
        <v>7222</v>
      </c>
      <c r="M1830" t="s">
        <v>2014</v>
      </c>
    </row>
    <row r="1831" spans="9:13" x14ac:dyDescent="0.25">
      <c r="I1831" t="s">
        <v>137</v>
      </c>
      <c r="J1831" t="s">
        <v>2387</v>
      </c>
      <c r="L1831" t="s">
        <v>7307</v>
      </c>
      <c r="M1831" t="s">
        <v>7308</v>
      </c>
    </row>
    <row r="1832" spans="9:13" x14ac:dyDescent="0.25">
      <c r="I1832" t="s">
        <v>313</v>
      </c>
      <c r="J1832" t="s">
        <v>844</v>
      </c>
      <c r="L1832" t="s">
        <v>593</v>
      </c>
      <c r="M1832" t="s">
        <v>4316</v>
      </c>
    </row>
    <row r="1833" spans="9:13" x14ac:dyDescent="0.25">
      <c r="I1833" t="s">
        <v>551</v>
      </c>
      <c r="J1833" t="s">
        <v>6798</v>
      </c>
      <c r="L1833" t="s">
        <v>4826</v>
      </c>
      <c r="M1833" t="s">
        <v>7221</v>
      </c>
    </row>
    <row r="1834" spans="9:13" x14ac:dyDescent="0.25">
      <c r="I1834" t="s">
        <v>254</v>
      </c>
      <c r="J1834" t="s">
        <v>5690</v>
      </c>
      <c r="L1834" t="s">
        <v>7031</v>
      </c>
      <c r="M1834" t="s">
        <v>7544</v>
      </c>
    </row>
    <row r="1835" spans="9:13" x14ac:dyDescent="0.25">
      <c r="I1835" t="s">
        <v>286</v>
      </c>
      <c r="J1835" t="s">
        <v>6544</v>
      </c>
      <c r="L1835" t="s">
        <v>2727</v>
      </c>
      <c r="M1835" t="s">
        <v>7047</v>
      </c>
    </row>
    <row r="1836" spans="9:13" x14ac:dyDescent="0.25">
      <c r="I1836" t="s">
        <v>2748</v>
      </c>
      <c r="J1836" t="s">
        <v>2996</v>
      </c>
      <c r="L1836" t="s">
        <v>2727</v>
      </c>
      <c r="M1836" t="s">
        <v>6918</v>
      </c>
    </row>
    <row r="1837" spans="9:13" x14ac:dyDescent="0.25">
      <c r="I1837" t="s">
        <v>311</v>
      </c>
      <c r="J1837" t="s">
        <v>794</v>
      </c>
      <c r="L1837" t="s">
        <v>593</v>
      </c>
      <c r="M1837" t="s">
        <v>4161</v>
      </c>
    </row>
    <row r="1838" spans="9:13" x14ac:dyDescent="0.25">
      <c r="I1838" t="s">
        <v>253</v>
      </c>
      <c r="J1838" t="s">
        <v>1025</v>
      </c>
      <c r="L1838" t="s">
        <v>37</v>
      </c>
      <c r="M1838" t="s">
        <v>7557</v>
      </c>
    </row>
    <row r="1839" spans="9:13" x14ac:dyDescent="0.25">
      <c r="I1839" t="s">
        <v>394</v>
      </c>
      <c r="J1839" t="s">
        <v>1064</v>
      </c>
      <c r="L1839" t="s">
        <v>4826</v>
      </c>
      <c r="M1839" t="s">
        <v>7709</v>
      </c>
    </row>
    <row r="1840" spans="9:13" x14ac:dyDescent="0.25">
      <c r="I1840" t="s">
        <v>397</v>
      </c>
      <c r="J1840" t="s">
        <v>5375</v>
      </c>
      <c r="L1840" t="s">
        <v>7086</v>
      </c>
      <c r="M1840" t="s">
        <v>1939</v>
      </c>
    </row>
    <row r="1841" spans="9:13" x14ac:dyDescent="0.25">
      <c r="I1841" t="s">
        <v>401</v>
      </c>
      <c r="J1841" t="s">
        <v>5854</v>
      </c>
      <c r="L1841" t="s">
        <v>37</v>
      </c>
      <c r="M1841" t="s">
        <v>7176</v>
      </c>
    </row>
    <row r="1842" spans="9:13" x14ac:dyDescent="0.25">
      <c r="I1842" t="s">
        <v>90</v>
      </c>
      <c r="J1842" t="s">
        <v>952</v>
      </c>
      <c r="L1842" t="s">
        <v>593</v>
      </c>
      <c r="M1842" t="s">
        <v>4182</v>
      </c>
    </row>
    <row r="1843" spans="9:13" x14ac:dyDescent="0.25">
      <c r="I1843" t="s">
        <v>90</v>
      </c>
      <c r="J1843" t="s">
        <v>1507</v>
      </c>
      <c r="L1843" t="s">
        <v>3861</v>
      </c>
      <c r="M1843" t="s">
        <v>4166</v>
      </c>
    </row>
    <row r="1844" spans="9:13" x14ac:dyDescent="0.25">
      <c r="I1844" t="s">
        <v>280</v>
      </c>
      <c r="J1844" t="s">
        <v>6151</v>
      </c>
      <c r="L1844" t="s">
        <v>7795</v>
      </c>
      <c r="M1844" t="s">
        <v>2243</v>
      </c>
    </row>
    <row r="1845" spans="9:13" x14ac:dyDescent="0.25">
      <c r="I1845" t="s">
        <v>3861</v>
      </c>
      <c r="J1845" t="s">
        <v>3959</v>
      </c>
      <c r="L1845" t="s">
        <v>3861</v>
      </c>
      <c r="M1845" t="s">
        <v>4261</v>
      </c>
    </row>
    <row r="1846" spans="9:13" x14ac:dyDescent="0.25">
      <c r="I1846" t="s">
        <v>37</v>
      </c>
      <c r="J1846" t="s">
        <v>1505</v>
      </c>
      <c r="L1846" t="s">
        <v>37</v>
      </c>
      <c r="M1846" t="s">
        <v>7136</v>
      </c>
    </row>
    <row r="1847" spans="9:13" x14ac:dyDescent="0.25">
      <c r="I1847" t="s">
        <v>5250</v>
      </c>
      <c r="J1847" t="s">
        <v>3914</v>
      </c>
      <c r="L1847" t="s">
        <v>397</v>
      </c>
      <c r="M1847" t="s">
        <v>7586</v>
      </c>
    </row>
    <row r="1848" spans="9:13" x14ac:dyDescent="0.25">
      <c r="I1848" t="s">
        <v>313</v>
      </c>
      <c r="J1848" t="s">
        <v>896</v>
      </c>
      <c r="L1848" t="s">
        <v>2727</v>
      </c>
      <c r="M1848" t="s">
        <v>1740</v>
      </c>
    </row>
    <row r="1849" spans="9:13" x14ac:dyDescent="0.25">
      <c r="I1849" t="s">
        <v>2745</v>
      </c>
      <c r="J1849" t="s">
        <v>2999</v>
      </c>
      <c r="L1849" t="s">
        <v>7807</v>
      </c>
      <c r="M1849" t="s">
        <v>1720</v>
      </c>
    </row>
    <row r="1850" spans="9:13" x14ac:dyDescent="0.25">
      <c r="I1850" t="s">
        <v>3916</v>
      </c>
      <c r="J1850" t="s">
        <v>4075</v>
      </c>
      <c r="L1850" t="s">
        <v>46</v>
      </c>
      <c r="M1850" t="s">
        <v>2263</v>
      </c>
    </row>
    <row r="1851" spans="9:13" x14ac:dyDescent="0.25">
      <c r="I1851" t="s">
        <v>4438</v>
      </c>
      <c r="J1851" t="s">
        <v>6201</v>
      </c>
      <c r="L1851" t="s">
        <v>548</v>
      </c>
      <c r="M1851" t="s">
        <v>3233</v>
      </c>
    </row>
    <row r="1852" spans="9:13" x14ac:dyDescent="0.25">
      <c r="I1852" t="s">
        <v>394</v>
      </c>
      <c r="J1852" t="s">
        <v>1333</v>
      </c>
      <c r="L1852" t="s">
        <v>2724</v>
      </c>
      <c r="M1852" t="s">
        <v>2061</v>
      </c>
    </row>
    <row r="1853" spans="9:13" x14ac:dyDescent="0.25">
      <c r="I1853" t="s">
        <v>5523</v>
      </c>
      <c r="J1853" t="s">
        <v>3949</v>
      </c>
      <c r="L1853" t="s">
        <v>6991</v>
      </c>
      <c r="M1853" t="s">
        <v>6992</v>
      </c>
    </row>
    <row r="1854" spans="9:13" x14ac:dyDescent="0.25">
      <c r="I1854" t="s">
        <v>394</v>
      </c>
      <c r="J1854" t="s">
        <v>1269</v>
      </c>
      <c r="L1854" t="s">
        <v>6928</v>
      </c>
      <c r="M1854" t="s">
        <v>1680</v>
      </c>
    </row>
    <row r="1855" spans="9:13" x14ac:dyDescent="0.25">
      <c r="I1855" t="s">
        <v>91</v>
      </c>
      <c r="J1855" t="s">
        <v>5787</v>
      </c>
      <c r="L1855" t="s">
        <v>2724</v>
      </c>
      <c r="M1855" t="s">
        <v>7867</v>
      </c>
    </row>
    <row r="1856" spans="9:13" x14ac:dyDescent="0.25">
      <c r="I1856" t="s">
        <v>318</v>
      </c>
      <c r="J1856" t="s">
        <v>6766</v>
      </c>
      <c r="L1856" t="s">
        <v>37</v>
      </c>
      <c r="M1856" t="s">
        <v>7898</v>
      </c>
    </row>
    <row r="1857" spans="9:13" x14ac:dyDescent="0.25">
      <c r="I1857" t="s">
        <v>2748</v>
      </c>
      <c r="J1857" t="s">
        <v>2956</v>
      </c>
      <c r="L1857" t="s">
        <v>593</v>
      </c>
      <c r="M1857" t="s">
        <v>4304</v>
      </c>
    </row>
    <row r="1858" spans="9:13" x14ac:dyDescent="0.25">
      <c r="I1858" t="s">
        <v>2748</v>
      </c>
      <c r="J1858" t="s">
        <v>2914</v>
      </c>
      <c r="L1858" t="s">
        <v>593</v>
      </c>
      <c r="M1858" t="s">
        <v>4159</v>
      </c>
    </row>
    <row r="1859" spans="9:13" x14ac:dyDescent="0.25">
      <c r="I1859" t="s">
        <v>2748</v>
      </c>
      <c r="J1859" t="s">
        <v>2945</v>
      </c>
      <c r="L1859" t="s">
        <v>3861</v>
      </c>
      <c r="M1859" t="s">
        <v>4209</v>
      </c>
    </row>
    <row r="1860" spans="9:13" x14ac:dyDescent="0.25">
      <c r="I1860" t="s">
        <v>313</v>
      </c>
      <c r="J1860" t="s">
        <v>1021</v>
      </c>
      <c r="L1860" t="s">
        <v>7231</v>
      </c>
      <c r="M1860" t="s">
        <v>3140</v>
      </c>
    </row>
    <row r="1861" spans="9:13" x14ac:dyDescent="0.25">
      <c r="I1861" t="s">
        <v>4000</v>
      </c>
      <c r="J1861" t="s">
        <v>6019</v>
      </c>
      <c r="L1861" t="s">
        <v>306</v>
      </c>
      <c r="M1861" t="s">
        <v>2334</v>
      </c>
    </row>
    <row r="1862" spans="9:13" x14ac:dyDescent="0.25">
      <c r="I1862" t="s">
        <v>318</v>
      </c>
      <c r="J1862" t="s">
        <v>2836</v>
      </c>
      <c r="L1862" t="s">
        <v>2727</v>
      </c>
      <c r="M1862" t="s">
        <v>7827</v>
      </c>
    </row>
    <row r="1863" spans="9:13" x14ac:dyDescent="0.25">
      <c r="I1863" t="s">
        <v>397</v>
      </c>
      <c r="J1863" t="s">
        <v>1388</v>
      </c>
      <c r="L1863" t="s">
        <v>37</v>
      </c>
      <c r="M1863" t="s">
        <v>7172</v>
      </c>
    </row>
    <row r="1864" spans="9:13" x14ac:dyDescent="0.25">
      <c r="I1864" t="s">
        <v>39</v>
      </c>
      <c r="J1864" t="s">
        <v>6321</v>
      </c>
      <c r="L1864" t="s">
        <v>37</v>
      </c>
      <c r="M1864" t="s">
        <v>6940</v>
      </c>
    </row>
    <row r="1865" spans="9:13" x14ac:dyDescent="0.25">
      <c r="I1865" t="s">
        <v>95</v>
      </c>
      <c r="J1865" t="s">
        <v>1012</v>
      </c>
      <c r="L1865" t="s">
        <v>7259</v>
      </c>
      <c r="M1865" t="s">
        <v>1878</v>
      </c>
    </row>
    <row r="1866" spans="9:13" x14ac:dyDescent="0.25">
      <c r="I1866" t="s">
        <v>137</v>
      </c>
      <c r="J1866" t="s">
        <v>1445</v>
      </c>
      <c r="L1866" t="s">
        <v>37</v>
      </c>
      <c r="M1866" t="s">
        <v>7948</v>
      </c>
    </row>
    <row r="1867" spans="9:13" x14ac:dyDescent="0.25">
      <c r="I1867" t="s">
        <v>394</v>
      </c>
      <c r="J1867" t="s">
        <v>6815</v>
      </c>
      <c r="L1867" t="s">
        <v>37</v>
      </c>
      <c r="M1867" t="s">
        <v>7967</v>
      </c>
    </row>
    <row r="1868" spans="9:13" x14ac:dyDescent="0.25">
      <c r="I1868" t="s">
        <v>39</v>
      </c>
      <c r="J1868" t="s">
        <v>6319</v>
      </c>
      <c r="L1868" t="s">
        <v>36</v>
      </c>
      <c r="M1868" t="s">
        <v>6907</v>
      </c>
    </row>
    <row r="1869" spans="9:13" x14ac:dyDescent="0.25">
      <c r="I1869" t="s">
        <v>4943</v>
      </c>
      <c r="J1869" t="s">
        <v>963</v>
      </c>
      <c r="L1869" t="s">
        <v>593</v>
      </c>
      <c r="M1869" t="s">
        <v>4224</v>
      </c>
    </row>
    <row r="1870" spans="9:13" x14ac:dyDescent="0.25">
      <c r="I1870" t="s">
        <v>394</v>
      </c>
      <c r="J1870" t="s">
        <v>6802</v>
      </c>
      <c r="L1870" t="s">
        <v>2727</v>
      </c>
      <c r="M1870" t="s">
        <v>7287</v>
      </c>
    </row>
    <row r="1871" spans="9:13" x14ac:dyDescent="0.25">
      <c r="I1871" t="s">
        <v>6834</v>
      </c>
      <c r="J1871" t="s">
        <v>1627</v>
      </c>
      <c r="L1871" t="s">
        <v>22</v>
      </c>
      <c r="M1871" t="s">
        <v>1996</v>
      </c>
    </row>
    <row r="1872" spans="9:13" x14ac:dyDescent="0.25">
      <c r="I1872" t="s">
        <v>257</v>
      </c>
      <c r="J1872" t="s">
        <v>1160</v>
      </c>
      <c r="L1872" t="s">
        <v>593</v>
      </c>
      <c r="M1872" t="s">
        <v>4312</v>
      </c>
    </row>
    <row r="1873" spans="9:13" x14ac:dyDescent="0.25">
      <c r="I1873" t="s">
        <v>318</v>
      </c>
      <c r="J1873" t="s">
        <v>6229</v>
      </c>
      <c r="L1873" t="s">
        <v>306</v>
      </c>
      <c r="M1873" t="s">
        <v>1866</v>
      </c>
    </row>
    <row r="1874" spans="9:13" x14ac:dyDescent="0.25">
      <c r="I1874" t="s">
        <v>6714</v>
      </c>
      <c r="J1874" t="s">
        <v>6715</v>
      </c>
      <c r="L1874" t="s">
        <v>394</v>
      </c>
      <c r="M1874" t="s">
        <v>3166</v>
      </c>
    </row>
    <row r="1875" spans="9:13" x14ac:dyDescent="0.25">
      <c r="I1875" t="s">
        <v>551</v>
      </c>
      <c r="J1875" t="s">
        <v>5772</v>
      </c>
      <c r="L1875" t="s">
        <v>7101</v>
      </c>
      <c r="M1875" t="s">
        <v>1784</v>
      </c>
    </row>
    <row r="1876" spans="9:13" x14ac:dyDescent="0.25">
      <c r="I1876" t="s">
        <v>394</v>
      </c>
      <c r="J1876" t="s">
        <v>6206</v>
      </c>
      <c r="L1876" t="s">
        <v>2727</v>
      </c>
      <c r="M1876" t="s">
        <v>7882</v>
      </c>
    </row>
    <row r="1877" spans="9:13" x14ac:dyDescent="0.25">
      <c r="I1877" t="s">
        <v>2748</v>
      </c>
      <c r="J1877" t="s">
        <v>2946</v>
      </c>
      <c r="L1877" t="s">
        <v>22</v>
      </c>
      <c r="M1877" t="s">
        <v>1951</v>
      </c>
    </row>
    <row r="1878" spans="9:13" x14ac:dyDescent="0.25">
      <c r="I1878" t="s">
        <v>2748</v>
      </c>
      <c r="J1878" t="s">
        <v>2840</v>
      </c>
      <c r="L1878" t="s">
        <v>7086</v>
      </c>
      <c r="M1878" t="s">
        <v>7087</v>
      </c>
    </row>
    <row r="1879" spans="9:13" x14ac:dyDescent="0.25">
      <c r="I1879" t="s">
        <v>2748</v>
      </c>
      <c r="J1879" t="s">
        <v>2987</v>
      </c>
      <c r="L1879" t="s">
        <v>4557</v>
      </c>
      <c r="M1879" t="s">
        <v>1748</v>
      </c>
    </row>
    <row r="1880" spans="9:13" x14ac:dyDescent="0.25">
      <c r="I1880" t="s">
        <v>394</v>
      </c>
      <c r="J1880" t="s">
        <v>5416</v>
      </c>
      <c r="L1880" t="s">
        <v>37</v>
      </c>
      <c r="M1880" t="s">
        <v>7658</v>
      </c>
    </row>
    <row r="1881" spans="9:13" x14ac:dyDescent="0.25">
      <c r="I1881" t="s">
        <v>311</v>
      </c>
      <c r="J1881" t="s">
        <v>1010</v>
      </c>
      <c r="L1881" t="s">
        <v>397</v>
      </c>
      <c r="M1881" t="s">
        <v>7703</v>
      </c>
    </row>
    <row r="1882" spans="9:13" x14ac:dyDescent="0.25">
      <c r="I1882" t="s">
        <v>306</v>
      </c>
      <c r="J1882" t="s">
        <v>1301</v>
      </c>
      <c r="L1882" t="s">
        <v>37</v>
      </c>
      <c r="M1882" t="s">
        <v>7030</v>
      </c>
    </row>
    <row r="1883" spans="9:13" x14ac:dyDescent="0.25">
      <c r="I1883" t="s">
        <v>306</v>
      </c>
      <c r="J1883" t="s">
        <v>1603</v>
      </c>
      <c r="L1883" t="s">
        <v>36</v>
      </c>
      <c r="M1883" t="s">
        <v>7664</v>
      </c>
    </row>
    <row r="1884" spans="9:13" x14ac:dyDescent="0.25">
      <c r="I1884" t="s">
        <v>289</v>
      </c>
      <c r="J1884" t="s">
        <v>992</v>
      </c>
      <c r="L1884" t="s">
        <v>7469</v>
      </c>
      <c r="M1884" t="s">
        <v>7547</v>
      </c>
    </row>
    <row r="1885" spans="9:13" x14ac:dyDescent="0.25">
      <c r="I1885" t="s">
        <v>3861</v>
      </c>
      <c r="J1885" t="s">
        <v>6182</v>
      </c>
      <c r="L1885" t="s">
        <v>401</v>
      </c>
      <c r="M1885" t="s">
        <v>1919</v>
      </c>
    </row>
    <row r="1886" spans="9:13" x14ac:dyDescent="0.25">
      <c r="I1886" t="s">
        <v>90</v>
      </c>
      <c r="J1886" t="s">
        <v>1202</v>
      </c>
      <c r="L1886" t="s">
        <v>4763</v>
      </c>
      <c r="M1886" t="s">
        <v>1903</v>
      </c>
    </row>
    <row r="1887" spans="9:13" x14ac:dyDescent="0.25">
      <c r="I1887" t="s">
        <v>401</v>
      </c>
      <c r="J1887" t="s">
        <v>1143</v>
      </c>
      <c r="L1887" t="s">
        <v>7086</v>
      </c>
      <c r="M1887" t="s">
        <v>7810</v>
      </c>
    </row>
    <row r="1888" spans="9:13" x14ac:dyDescent="0.25">
      <c r="I1888" t="s">
        <v>394</v>
      </c>
      <c r="J1888" t="s">
        <v>5444</v>
      </c>
      <c r="L1888" t="s">
        <v>7222</v>
      </c>
      <c r="M1888" t="s">
        <v>7965</v>
      </c>
    </row>
    <row r="1889" spans="9:13" x14ac:dyDescent="0.25">
      <c r="I1889" t="s">
        <v>5822</v>
      </c>
      <c r="J1889" t="s">
        <v>1077</v>
      </c>
      <c r="L1889" t="s">
        <v>593</v>
      </c>
      <c r="M1889" t="s">
        <v>4174</v>
      </c>
    </row>
    <row r="1890" spans="9:13" x14ac:dyDescent="0.25">
      <c r="I1890" t="s">
        <v>394</v>
      </c>
      <c r="J1890" t="s">
        <v>1358</v>
      </c>
      <c r="L1890" t="s">
        <v>593</v>
      </c>
      <c r="M1890" t="s">
        <v>4311</v>
      </c>
    </row>
    <row r="1891" spans="9:13" x14ac:dyDescent="0.25">
      <c r="I1891" t="s">
        <v>6199</v>
      </c>
      <c r="J1891" t="s">
        <v>1277</v>
      </c>
      <c r="L1891" t="s">
        <v>37</v>
      </c>
      <c r="M1891" t="s">
        <v>6996</v>
      </c>
    </row>
    <row r="1892" spans="9:13" x14ac:dyDescent="0.25">
      <c r="I1892" t="s">
        <v>313</v>
      </c>
      <c r="J1892" t="s">
        <v>1523</v>
      </c>
      <c r="L1892" t="s">
        <v>593</v>
      </c>
      <c r="M1892" t="s">
        <v>4294</v>
      </c>
    </row>
    <row r="1893" spans="9:13" x14ac:dyDescent="0.25">
      <c r="I1893" t="s">
        <v>3924</v>
      </c>
      <c r="J1893" t="s">
        <v>4004</v>
      </c>
      <c r="L1893" t="s">
        <v>7356</v>
      </c>
      <c r="M1893" t="s">
        <v>1918</v>
      </c>
    </row>
    <row r="1894" spans="9:13" x14ac:dyDescent="0.25">
      <c r="I1894" t="s">
        <v>5959</v>
      </c>
      <c r="J1894" t="s">
        <v>5960</v>
      </c>
      <c r="L1894" t="s">
        <v>37</v>
      </c>
      <c r="M1894" t="s">
        <v>7121</v>
      </c>
    </row>
    <row r="1895" spans="9:13" x14ac:dyDescent="0.25">
      <c r="I1895" t="s">
        <v>280</v>
      </c>
      <c r="J1895" t="s">
        <v>5447</v>
      </c>
      <c r="L1895" t="s">
        <v>37</v>
      </c>
      <c r="M1895" t="s">
        <v>3174</v>
      </c>
    </row>
    <row r="1896" spans="9:13" x14ac:dyDescent="0.25">
      <c r="I1896" t="s">
        <v>5913</v>
      </c>
      <c r="J1896" t="s">
        <v>2843</v>
      </c>
      <c r="L1896" t="s">
        <v>397</v>
      </c>
      <c r="M1896" t="s">
        <v>7822</v>
      </c>
    </row>
    <row r="1897" spans="9:13" x14ac:dyDescent="0.25">
      <c r="I1897" t="s">
        <v>356</v>
      </c>
      <c r="J1897" t="s">
        <v>4024</v>
      </c>
      <c r="L1897" t="s">
        <v>3861</v>
      </c>
      <c r="M1897" t="s">
        <v>4260</v>
      </c>
    </row>
    <row r="1898" spans="9:13" x14ac:dyDescent="0.25">
      <c r="I1898" t="s">
        <v>394</v>
      </c>
      <c r="J1898" t="s">
        <v>978</v>
      </c>
      <c r="L1898" t="s">
        <v>4826</v>
      </c>
      <c r="M1898" t="s">
        <v>7048</v>
      </c>
    </row>
    <row r="1899" spans="9:13" x14ac:dyDescent="0.25">
      <c r="I1899" t="s">
        <v>2748</v>
      </c>
      <c r="J1899" t="s">
        <v>2990</v>
      </c>
      <c r="L1899" t="s">
        <v>593</v>
      </c>
      <c r="M1899" t="s">
        <v>4248</v>
      </c>
    </row>
    <row r="1900" spans="9:13" x14ac:dyDescent="0.25">
      <c r="I1900" t="s">
        <v>2748</v>
      </c>
      <c r="J1900" t="s">
        <v>2979</v>
      </c>
      <c r="L1900" t="s">
        <v>7222</v>
      </c>
      <c r="M1900" t="s">
        <v>7694</v>
      </c>
    </row>
    <row r="1901" spans="9:13" x14ac:dyDescent="0.25">
      <c r="I1901" t="s">
        <v>276</v>
      </c>
      <c r="J1901" t="s">
        <v>1376</v>
      </c>
      <c r="L1901" t="s">
        <v>4826</v>
      </c>
      <c r="M1901" t="s">
        <v>7813</v>
      </c>
    </row>
    <row r="1902" spans="9:13" x14ac:dyDescent="0.25">
      <c r="I1902" t="s">
        <v>286</v>
      </c>
      <c r="J1902" t="s">
        <v>6491</v>
      </c>
      <c r="L1902" t="s">
        <v>46</v>
      </c>
      <c r="M1902" t="s">
        <v>2621</v>
      </c>
    </row>
    <row r="1903" spans="9:13" x14ac:dyDescent="0.25">
      <c r="I1903" t="s">
        <v>5309</v>
      </c>
      <c r="J1903" t="s">
        <v>5518</v>
      </c>
      <c r="L1903" t="s">
        <v>2727</v>
      </c>
      <c r="M1903" t="s">
        <v>2165</v>
      </c>
    </row>
    <row r="1904" spans="9:13" x14ac:dyDescent="0.25">
      <c r="I1904" t="s">
        <v>401</v>
      </c>
      <c r="J1904" t="s">
        <v>2384</v>
      </c>
      <c r="L1904" t="s">
        <v>2727</v>
      </c>
      <c r="M1904" t="s">
        <v>7029</v>
      </c>
    </row>
    <row r="1905" spans="9:13" x14ac:dyDescent="0.25">
      <c r="I1905" t="s">
        <v>356</v>
      </c>
      <c r="J1905" t="s">
        <v>4079</v>
      </c>
      <c r="L1905" t="s">
        <v>401</v>
      </c>
      <c r="M1905" t="s">
        <v>2169</v>
      </c>
    </row>
    <row r="1906" spans="9:13" x14ac:dyDescent="0.25">
      <c r="I1906" t="s">
        <v>4943</v>
      </c>
      <c r="J1906" t="s">
        <v>5759</v>
      </c>
      <c r="L1906" t="s">
        <v>4826</v>
      </c>
      <c r="M1906" t="s">
        <v>7879</v>
      </c>
    </row>
    <row r="1907" spans="9:13" x14ac:dyDescent="0.25">
      <c r="I1907" t="s">
        <v>254</v>
      </c>
      <c r="J1907" t="s">
        <v>6090</v>
      </c>
      <c r="L1907" t="s">
        <v>459</v>
      </c>
      <c r="M1907" t="s">
        <v>7609</v>
      </c>
    </row>
    <row r="1908" spans="9:13" x14ac:dyDescent="0.25">
      <c r="I1908" t="s">
        <v>5312</v>
      </c>
      <c r="J1908" t="s">
        <v>5313</v>
      </c>
      <c r="L1908" t="s">
        <v>394</v>
      </c>
      <c r="M1908" t="s">
        <v>1772</v>
      </c>
    </row>
    <row r="1909" spans="9:13" x14ac:dyDescent="0.25">
      <c r="I1909" t="s">
        <v>311</v>
      </c>
      <c r="J1909" t="s">
        <v>842</v>
      </c>
      <c r="L1909" t="s">
        <v>22</v>
      </c>
      <c r="M1909" t="s">
        <v>1920</v>
      </c>
    </row>
    <row r="1910" spans="9:13" x14ac:dyDescent="0.25">
      <c r="I1910" t="s">
        <v>6479</v>
      </c>
      <c r="J1910" t="s">
        <v>1431</v>
      </c>
      <c r="L1910" t="s">
        <v>37</v>
      </c>
      <c r="M1910" t="s">
        <v>7754</v>
      </c>
    </row>
    <row r="1911" spans="9:13" x14ac:dyDescent="0.25">
      <c r="I1911" t="s">
        <v>356</v>
      </c>
      <c r="J1911" t="s">
        <v>3958</v>
      </c>
      <c r="L1911" t="s">
        <v>394</v>
      </c>
      <c r="M1911" t="s">
        <v>4307</v>
      </c>
    </row>
    <row r="1912" spans="9:13" x14ac:dyDescent="0.25">
      <c r="I1912" t="s">
        <v>47</v>
      </c>
      <c r="J1912" t="s">
        <v>1162</v>
      </c>
      <c r="L1912" t="s">
        <v>37</v>
      </c>
      <c r="M1912" t="s">
        <v>1854</v>
      </c>
    </row>
    <row r="1913" spans="9:13" x14ac:dyDescent="0.25">
      <c r="I1913" t="s">
        <v>90</v>
      </c>
      <c r="J1913" t="s">
        <v>5646</v>
      </c>
      <c r="L1913" t="s">
        <v>306</v>
      </c>
      <c r="M1913" t="s">
        <v>1823</v>
      </c>
    </row>
    <row r="1914" spans="9:13" x14ac:dyDescent="0.25">
      <c r="I1914" t="s">
        <v>346</v>
      </c>
      <c r="J1914" t="s">
        <v>1485</v>
      </c>
      <c r="L1914" t="s">
        <v>4826</v>
      </c>
      <c r="M1914" t="s">
        <v>7674</v>
      </c>
    </row>
    <row r="1915" spans="9:13" x14ac:dyDescent="0.25">
      <c r="I1915" t="s">
        <v>356</v>
      </c>
      <c r="J1915" t="s">
        <v>5606</v>
      </c>
      <c r="L1915" t="s">
        <v>394</v>
      </c>
      <c r="M1915" t="s">
        <v>2129</v>
      </c>
    </row>
    <row r="1916" spans="9:13" x14ac:dyDescent="0.25">
      <c r="I1916" t="s">
        <v>95</v>
      </c>
      <c r="J1916" t="s">
        <v>1255</v>
      </c>
      <c r="L1916" t="s">
        <v>7937</v>
      </c>
      <c r="M1916" t="s">
        <v>2322</v>
      </c>
    </row>
    <row r="1917" spans="9:13" x14ac:dyDescent="0.25">
      <c r="I1917" t="s">
        <v>394</v>
      </c>
      <c r="J1917" t="s">
        <v>5922</v>
      </c>
      <c r="L1917" t="s">
        <v>7119</v>
      </c>
      <c r="M1917" t="s">
        <v>1931</v>
      </c>
    </row>
    <row r="1918" spans="9:13" x14ac:dyDescent="0.25">
      <c r="I1918" t="s">
        <v>5263</v>
      </c>
      <c r="J1918" t="s">
        <v>5264</v>
      </c>
      <c r="L1918" t="s">
        <v>280</v>
      </c>
      <c r="M1918" t="s">
        <v>2280</v>
      </c>
    </row>
    <row r="1919" spans="9:13" x14ac:dyDescent="0.25">
      <c r="I1919" t="s">
        <v>257</v>
      </c>
      <c r="J1919" t="s">
        <v>6844</v>
      </c>
      <c r="L1919" t="s">
        <v>280</v>
      </c>
      <c r="M1919" t="s">
        <v>2612</v>
      </c>
    </row>
    <row r="1920" spans="9:13" x14ac:dyDescent="0.25">
      <c r="I1920" t="s">
        <v>5294</v>
      </c>
      <c r="J1920" t="s">
        <v>808</v>
      </c>
      <c r="L1920" t="s">
        <v>394</v>
      </c>
      <c r="M1920" t="s">
        <v>4208</v>
      </c>
    </row>
    <row r="1921" spans="9:13" x14ac:dyDescent="0.25">
      <c r="I1921" t="s">
        <v>21</v>
      </c>
      <c r="J1921" t="s">
        <v>891</v>
      </c>
      <c r="L1921" t="s">
        <v>7548</v>
      </c>
      <c r="M1921" t="s">
        <v>2055</v>
      </c>
    </row>
    <row r="1922" spans="9:13" x14ac:dyDescent="0.25">
      <c r="I1922" t="s">
        <v>289</v>
      </c>
      <c r="J1922" t="s">
        <v>873</v>
      </c>
      <c r="L1922" t="s">
        <v>459</v>
      </c>
      <c r="M1922" t="s">
        <v>7391</v>
      </c>
    </row>
    <row r="1923" spans="9:13" x14ac:dyDescent="0.25">
      <c r="I1923" t="s">
        <v>551</v>
      </c>
      <c r="J1923" t="s">
        <v>6174</v>
      </c>
      <c r="L1923" t="s">
        <v>459</v>
      </c>
      <c r="M1923" t="s">
        <v>1797</v>
      </c>
    </row>
    <row r="1924" spans="9:13" x14ac:dyDescent="0.25">
      <c r="I1924" t="s">
        <v>394</v>
      </c>
      <c r="J1924" t="s">
        <v>1399</v>
      </c>
      <c r="L1924" t="s">
        <v>2727</v>
      </c>
      <c r="M1924" t="s">
        <v>7296</v>
      </c>
    </row>
    <row r="1925" spans="9:13" x14ac:dyDescent="0.25">
      <c r="I1925" t="s">
        <v>289</v>
      </c>
      <c r="J1925" t="s">
        <v>1347</v>
      </c>
      <c r="L1925" t="s">
        <v>22</v>
      </c>
      <c r="M1925" t="s">
        <v>1890</v>
      </c>
    </row>
    <row r="1926" spans="9:13" x14ac:dyDescent="0.25">
      <c r="I1926" t="s">
        <v>551</v>
      </c>
      <c r="J1926" t="s">
        <v>6866</v>
      </c>
      <c r="L1926" t="s">
        <v>459</v>
      </c>
      <c r="M1926" t="s">
        <v>7727</v>
      </c>
    </row>
    <row r="1927" spans="9:13" x14ac:dyDescent="0.25">
      <c r="I1927" t="s">
        <v>318</v>
      </c>
      <c r="J1927" t="s">
        <v>5442</v>
      </c>
      <c r="L1927" t="s">
        <v>462</v>
      </c>
      <c r="M1927" t="s">
        <v>7431</v>
      </c>
    </row>
    <row r="1928" spans="9:13" x14ac:dyDescent="0.25">
      <c r="I1928" t="s">
        <v>313</v>
      </c>
      <c r="J1928" t="s">
        <v>1049</v>
      </c>
      <c r="L1928" t="s">
        <v>7314</v>
      </c>
      <c r="M1928" t="s">
        <v>1899</v>
      </c>
    </row>
    <row r="1929" spans="9:13" x14ac:dyDescent="0.25">
      <c r="I1929" t="s">
        <v>313</v>
      </c>
      <c r="J1929" t="s">
        <v>6619</v>
      </c>
      <c r="L1929" t="s">
        <v>3861</v>
      </c>
      <c r="M1929" t="s">
        <v>4237</v>
      </c>
    </row>
    <row r="1930" spans="9:13" x14ac:dyDescent="0.25">
      <c r="I1930" t="s">
        <v>401</v>
      </c>
      <c r="J1930" t="s">
        <v>5525</v>
      </c>
      <c r="L1930" t="s">
        <v>4438</v>
      </c>
      <c r="M1930" t="s">
        <v>7456</v>
      </c>
    </row>
    <row r="1931" spans="9:13" x14ac:dyDescent="0.25">
      <c r="I1931" t="s">
        <v>90</v>
      </c>
      <c r="J1931" t="s">
        <v>1354</v>
      </c>
      <c r="L1931" t="s">
        <v>461</v>
      </c>
      <c r="M1931" t="s">
        <v>7235</v>
      </c>
    </row>
    <row r="1932" spans="9:13" x14ac:dyDescent="0.25">
      <c r="I1932" t="s">
        <v>5324</v>
      </c>
      <c r="J1932" t="s">
        <v>5325</v>
      </c>
      <c r="L1932" t="s">
        <v>313</v>
      </c>
      <c r="M1932" t="s">
        <v>2216</v>
      </c>
    </row>
    <row r="1933" spans="9:13" x14ac:dyDescent="0.25">
      <c r="I1933" t="s">
        <v>6261</v>
      </c>
      <c r="J1933" t="s">
        <v>1314</v>
      </c>
      <c r="L1933" t="s">
        <v>7216</v>
      </c>
      <c r="M1933" t="s">
        <v>1855</v>
      </c>
    </row>
    <row r="1934" spans="9:13" x14ac:dyDescent="0.25">
      <c r="I1934" t="s">
        <v>6511</v>
      </c>
      <c r="J1934" t="s">
        <v>1451</v>
      </c>
      <c r="L1934" t="s">
        <v>41</v>
      </c>
      <c r="M1934" t="s">
        <v>2314</v>
      </c>
    </row>
    <row r="1935" spans="9:13" x14ac:dyDescent="0.25">
      <c r="I1935" t="s">
        <v>399</v>
      </c>
      <c r="J1935" t="s">
        <v>6338</v>
      </c>
      <c r="L1935" t="s">
        <v>6140</v>
      </c>
      <c r="M1935" t="s">
        <v>7789</v>
      </c>
    </row>
    <row r="1936" spans="9:13" x14ac:dyDescent="0.25">
      <c r="I1936" t="s">
        <v>289</v>
      </c>
      <c r="J1936" t="s">
        <v>1244</v>
      </c>
      <c r="L1936" t="s">
        <v>6964</v>
      </c>
      <c r="M1936" t="s">
        <v>6965</v>
      </c>
    </row>
    <row r="1937" spans="9:13" x14ac:dyDescent="0.25">
      <c r="I1937" t="s">
        <v>280</v>
      </c>
      <c r="J1937" t="s">
        <v>2898</v>
      </c>
      <c r="L1937" t="s">
        <v>3861</v>
      </c>
      <c r="M1937" t="s">
        <v>4147</v>
      </c>
    </row>
    <row r="1938" spans="9:13" x14ac:dyDescent="0.25">
      <c r="I1938" t="s">
        <v>2736</v>
      </c>
      <c r="J1938" t="s">
        <v>4021</v>
      </c>
      <c r="L1938" t="s">
        <v>37</v>
      </c>
      <c r="M1938" t="s">
        <v>1871</v>
      </c>
    </row>
    <row r="1939" spans="9:13" x14ac:dyDescent="0.25">
      <c r="I1939" t="s">
        <v>90</v>
      </c>
      <c r="J1939" t="s">
        <v>6141</v>
      </c>
      <c r="L1939" t="s">
        <v>4575</v>
      </c>
      <c r="M1939" t="s">
        <v>3184</v>
      </c>
    </row>
    <row r="1940" spans="9:13" x14ac:dyDescent="0.25">
      <c r="I1940" t="s">
        <v>3861</v>
      </c>
      <c r="J1940" t="s">
        <v>4038</v>
      </c>
      <c r="L1940" t="s">
        <v>4154</v>
      </c>
      <c r="M1940" t="s">
        <v>4245</v>
      </c>
    </row>
    <row r="1941" spans="9:13" x14ac:dyDescent="0.25">
      <c r="I1941" t="s">
        <v>313</v>
      </c>
      <c r="J1941" t="s">
        <v>859</v>
      </c>
      <c r="L1941" t="s">
        <v>7427</v>
      </c>
      <c r="M1941" t="s">
        <v>1968</v>
      </c>
    </row>
    <row r="1942" spans="9:13" x14ac:dyDescent="0.25">
      <c r="I1942" t="s">
        <v>289</v>
      </c>
      <c r="J1942" t="s">
        <v>1556</v>
      </c>
      <c r="L1942" t="s">
        <v>280</v>
      </c>
      <c r="M1942" t="s">
        <v>2575</v>
      </c>
    </row>
    <row r="1943" spans="9:13" x14ac:dyDescent="0.25">
      <c r="I1943" t="s">
        <v>6792</v>
      </c>
      <c r="J1943" t="s">
        <v>1602</v>
      </c>
      <c r="L1943" t="s">
        <v>280</v>
      </c>
      <c r="M1943" t="s">
        <v>2273</v>
      </c>
    </row>
    <row r="1944" spans="9:13" x14ac:dyDescent="0.25">
      <c r="I1944" t="s">
        <v>39</v>
      </c>
      <c r="J1944" t="s">
        <v>1220</v>
      </c>
      <c r="L1944" t="s">
        <v>313</v>
      </c>
      <c r="M1944" t="s">
        <v>2147</v>
      </c>
    </row>
    <row r="1945" spans="9:13" x14ac:dyDescent="0.25">
      <c r="I1945" t="s">
        <v>4943</v>
      </c>
      <c r="J1945" t="s">
        <v>778</v>
      </c>
      <c r="L1945" t="s">
        <v>7198</v>
      </c>
      <c r="M1945" t="s">
        <v>4191</v>
      </c>
    </row>
    <row r="1946" spans="9:13" x14ac:dyDescent="0.25">
      <c r="I1946" t="s">
        <v>37</v>
      </c>
      <c r="J1946" t="s">
        <v>1192</v>
      </c>
      <c r="L1946" t="s">
        <v>462</v>
      </c>
      <c r="M1946" t="s">
        <v>7644</v>
      </c>
    </row>
    <row r="1947" spans="9:13" x14ac:dyDescent="0.25">
      <c r="I1947" t="s">
        <v>313</v>
      </c>
      <c r="J1947" t="s">
        <v>5725</v>
      </c>
      <c r="L1947" t="s">
        <v>37</v>
      </c>
      <c r="M1947" t="s">
        <v>3237</v>
      </c>
    </row>
    <row r="1948" spans="9:13" x14ac:dyDescent="0.25">
      <c r="I1948" t="s">
        <v>311</v>
      </c>
      <c r="J1948" t="s">
        <v>1632</v>
      </c>
    </row>
    <row r="1949" spans="9:13" x14ac:dyDescent="0.25">
      <c r="I1949" t="s">
        <v>5765</v>
      </c>
      <c r="J1949" t="s">
        <v>1383</v>
      </c>
    </row>
    <row r="1950" spans="9:13" x14ac:dyDescent="0.25">
      <c r="I1950" t="s">
        <v>46</v>
      </c>
      <c r="J1950" t="s">
        <v>1370</v>
      </c>
    </row>
    <row r="1951" spans="9:13" x14ac:dyDescent="0.25">
      <c r="I1951" t="s">
        <v>95</v>
      </c>
      <c r="J1951" t="s">
        <v>4077</v>
      </c>
    </row>
    <row r="1952" spans="9:13" x14ac:dyDescent="0.25">
      <c r="I1952" t="s">
        <v>551</v>
      </c>
      <c r="J1952" t="s">
        <v>5912</v>
      </c>
    </row>
    <row r="1953" spans="9:10" x14ac:dyDescent="0.25">
      <c r="I1953" t="s">
        <v>37</v>
      </c>
      <c r="J1953" t="s">
        <v>1135</v>
      </c>
    </row>
    <row r="1954" spans="9:10" x14ac:dyDescent="0.25">
      <c r="I1954" t="s">
        <v>5720</v>
      </c>
      <c r="J1954" t="s">
        <v>5721</v>
      </c>
    </row>
    <row r="1955" spans="9:10" x14ac:dyDescent="0.25">
      <c r="I1955" t="s">
        <v>90</v>
      </c>
      <c r="J1955" t="s">
        <v>5373</v>
      </c>
    </row>
    <row r="1956" spans="9:10" x14ac:dyDescent="0.25">
      <c r="I1956" t="s">
        <v>46</v>
      </c>
      <c r="J1956" t="s">
        <v>1073</v>
      </c>
    </row>
    <row r="1957" spans="9:10" x14ac:dyDescent="0.25">
      <c r="I1957" t="s">
        <v>6547</v>
      </c>
      <c r="J1957" t="s">
        <v>1477</v>
      </c>
    </row>
    <row r="1958" spans="9:10" x14ac:dyDescent="0.25">
      <c r="I1958" t="s">
        <v>254</v>
      </c>
      <c r="J1958" t="s">
        <v>6473</v>
      </c>
    </row>
    <row r="1959" spans="9:10" x14ac:dyDescent="0.25">
      <c r="I1959" t="s">
        <v>137</v>
      </c>
      <c r="J1959" t="s">
        <v>1286</v>
      </c>
    </row>
    <row r="1960" spans="9:10" x14ac:dyDescent="0.25">
      <c r="I1960" t="s">
        <v>289</v>
      </c>
      <c r="J1960" t="s">
        <v>1131</v>
      </c>
    </row>
    <row r="1961" spans="9:10" x14ac:dyDescent="0.25">
      <c r="I1961" t="s">
        <v>36</v>
      </c>
      <c r="J1961" t="s">
        <v>6148</v>
      </c>
    </row>
    <row r="1962" spans="9:10" x14ac:dyDescent="0.25">
      <c r="I1962" t="s">
        <v>286</v>
      </c>
      <c r="J1962" t="s">
        <v>5915</v>
      </c>
    </row>
    <row r="1963" spans="9:10" x14ac:dyDescent="0.25">
      <c r="I1963" t="s">
        <v>253</v>
      </c>
      <c r="J1963" t="s">
        <v>1348</v>
      </c>
    </row>
    <row r="1964" spans="9:10" x14ac:dyDescent="0.25">
      <c r="I1964" t="s">
        <v>6068</v>
      </c>
      <c r="J1964" t="s">
        <v>2863</v>
      </c>
    </row>
    <row r="1965" spans="9:10" x14ac:dyDescent="0.25">
      <c r="I1965" t="s">
        <v>22</v>
      </c>
      <c r="J1965" t="s">
        <v>1072</v>
      </c>
    </row>
    <row r="1966" spans="9:10" x14ac:dyDescent="0.25">
      <c r="I1966" t="s">
        <v>6761</v>
      </c>
      <c r="J1966" t="s">
        <v>2985</v>
      </c>
    </row>
    <row r="1967" spans="9:10" x14ac:dyDescent="0.25">
      <c r="I1967" t="s">
        <v>306</v>
      </c>
      <c r="J1967" t="s">
        <v>795</v>
      </c>
    </row>
    <row r="1968" spans="9:10" x14ac:dyDescent="0.25">
      <c r="I1968" t="s">
        <v>5841</v>
      </c>
      <c r="J1968" t="s">
        <v>1085</v>
      </c>
    </row>
    <row r="1969" spans="9:10" x14ac:dyDescent="0.25">
      <c r="I1969" t="s">
        <v>356</v>
      </c>
      <c r="J1969" t="s">
        <v>4028</v>
      </c>
    </row>
    <row r="1970" spans="9:10" x14ac:dyDescent="0.25">
      <c r="I1970" t="s">
        <v>253</v>
      </c>
      <c r="J1970" t="s">
        <v>914</v>
      </c>
    </row>
    <row r="1971" spans="9:10" x14ac:dyDescent="0.25">
      <c r="I1971" t="s">
        <v>394</v>
      </c>
      <c r="J1971" t="s">
        <v>1320</v>
      </c>
    </row>
    <row r="1972" spans="9:10" x14ac:dyDescent="0.25">
      <c r="I1972" t="s">
        <v>289</v>
      </c>
      <c r="J1972" t="s">
        <v>6407</v>
      </c>
    </row>
    <row r="1973" spans="9:10" x14ac:dyDescent="0.25">
      <c r="I1973" t="s">
        <v>5807</v>
      </c>
      <c r="J1973" t="s">
        <v>5808</v>
      </c>
    </row>
    <row r="1974" spans="9:10" x14ac:dyDescent="0.25">
      <c r="I1974" t="s">
        <v>3924</v>
      </c>
      <c r="J1974" t="s">
        <v>4022</v>
      </c>
    </row>
    <row r="1975" spans="9:10" x14ac:dyDescent="0.25">
      <c r="I1975" t="s">
        <v>286</v>
      </c>
      <c r="J1975" t="s">
        <v>1353</v>
      </c>
    </row>
    <row r="1976" spans="9:10" x14ac:dyDescent="0.25">
      <c r="I1976" t="s">
        <v>5273</v>
      </c>
      <c r="J1976" t="s">
        <v>6373</v>
      </c>
    </row>
    <row r="1977" spans="9:10" x14ac:dyDescent="0.25">
      <c r="I1977" t="s">
        <v>3924</v>
      </c>
      <c r="J1977" t="s">
        <v>3926</v>
      </c>
    </row>
    <row r="1978" spans="9:10" x14ac:dyDescent="0.25">
      <c r="I1978" t="s">
        <v>313</v>
      </c>
      <c r="J1978" t="s">
        <v>6094</v>
      </c>
    </row>
    <row r="1979" spans="9:10" x14ac:dyDescent="0.25">
      <c r="I1979" t="s">
        <v>401</v>
      </c>
      <c r="J1979" t="s">
        <v>6208</v>
      </c>
    </row>
    <row r="1980" spans="9:10" x14ac:dyDescent="0.25">
      <c r="I1980" t="s">
        <v>295</v>
      </c>
      <c r="J1980" t="s">
        <v>2371</v>
      </c>
    </row>
    <row r="1981" spans="9:10" x14ac:dyDescent="0.25">
      <c r="I1981" t="s">
        <v>394</v>
      </c>
      <c r="J1981" t="s">
        <v>979</v>
      </c>
    </row>
    <row r="1982" spans="9:10" x14ac:dyDescent="0.25">
      <c r="I1982" t="s">
        <v>309</v>
      </c>
      <c r="J1982" t="s">
        <v>1181</v>
      </c>
    </row>
    <row r="1983" spans="9:10" x14ac:dyDescent="0.25">
      <c r="I1983" t="s">
        <v>3861</v>
      </c>
      <c r="J1983" t="s">
        <v>4006</v>
      </c>
    </row>
    <row r="1984" spans="9:10" x14ac:dyDescent="0.25">
      <c r="I1984" t="s">
        <v>356</v>
      </c>
      <c r="J1984" t="s">
        <v>6769</v>
      </c>
    </row>
    <row r="1985" spans="9:10" x14ac:dyDescent="0.25">
      <c r="I1985" t="s">
        <v>6805</v>
      </c>
      <c r="J1985" t="s">
        <v>1609</v>
      </c>
    </row>
    <row r="1986" spans="9:10" x14ac:dyDescent="0.25">
      <c r="I1986" t="s">
        <v>39</v>
      </c>
      <c r="J1986" t="s">
        <v>6825</v>
      </c>
    </row>
    <row r="1987" spans="9:10" x14ac:dyDescent="0.25">
      <c r="I1987" t="s">
        <v>551</v>
      </c>
      <c r="J1987" t="s">
        <v>5436</v>
      </c>
    </row>
    <row r="1988" spans="9:10" x14ac:dyDescent="0.25">
      <c r="I1988" t="s">
        <v>289</v>
      </c>
      <c r="J1988" t="s">
        <v>6776</v>
      </c>
    </row>
    <row r="1989" spans="9:10" x14ac:dyDescent="0.25">
      <c r="I1989" t="s">
        <v>39</v>
      </c>
      <c r="J1989" t="s">
        <v>6132</v>
      </c>
    </row>
    <row r="1990" spans="9:10" x14ac:dyDescent="0.25">
      <c r="I1990" t="s">
        <v>6228</v>
      </c>
      <c r="J1990" t="s">
        <v>1293</v>
      </c>
    </row>
    <row r="1991" spans="9:10" x14ac:dyDescent="0.25">
      <c r="I1991" t="s">
        <v>286</v>
      </c>
      <c r="J1991" t="s">
        <v>5781</v>
      </c>
    </row>
    <row r="1992" spans="9:10" x14ac:dyDescent="0.25">
      <c r="I1992" t="s">
        <v>5755</v>
      </c>
      <c r="J1992" t="s">
        <v>1047</v>
      </c>
    </row>
    <row r="1993" spans="9:10" x14ac:dyDescent="0.25">
      <c r="I1993" t="s">
        <v>313</v>
      </c>
      <c r="J1993" t="s">
        <v>1225</v>
      </c>
    </row>
    <row r="1994" spans="9:10" x14ac:dyDescent="0.25">
      <c r="I1994" t="s">
        <v>6856</v>
      </c>
      <c r="J1994" t="s">
        <v>6857</v>
      </c>
    </row>
    <row r="1995" spans="9:10" x14ac:dyDescent="0.25">
      <c r="I1995" t="s">
        <v>394</v>
      </c>
      <c r="J1995" t="s">
        <v>1454</v>
      </c>
    </row>
    <row r="1996" spans="9:10" x14ac:dyDescent="0.25">
      <c r="I1996" t="s">
        <v>313</v>
      </c>
      <c r="J1996" t="s">
        <v>6215</v>
      </c>
    </row>
    <row r="1997" spans="9:10" x14ac:dyDescent="0.25">
      <c r="I1997" t="s">
        <v>3861</v>
      </c>
      <c r="J1997" t="s">
        <v>4005</v>
      </c>
    </row>
    <row r="1998" spans="9:10" x14ac:dyDescent="0.25">
      <c r="I1998" t="s">
        <v>346</v>
      </c>
      <c r="J1998" t="s">
        <v>1297</v>
      </c>
    </row>
    <row r="1999" spans="9:10" x14ac:dyDescent="0.25">
      <c r="I1999" t="s">
        <v>254</v>
      </c>
      <c r="J1999" t="s">
        <v>1335</v>
      </c>
    </row>
    <row r="2000" spans="9:10" x14ac:dyDescent="0.25">
      <c r="I2000" t="s">
        <v>313</v>
      </c>
      <c r="J2000" t="s">
        <v>6816</v>
      </c>
    </row>
    <row r="2001" spans="9:10" x14ac:dyDescent="0.25">
      <c r="I2001" t="s">
        <v>6569</v>
      </c>
      <c r="J2001" t="s">
        <v>1491</v>
      </c>
    </row>
    <row r="2002" spans="9:10" x14ac:dyDescent="0.25">
      <c r="I2002" t="s">
        <v>315</v>
      </c>
      <c r="J2002" t="s">
        <v>1625</v>
      </c>
    </row>
    <row r="2003" spans="9:10" x14ac:dyDescent="0.25">
      <c r="I2003" t="s">
        <v>45</v>
      </c>
      <c r="J2003" t="s">
        <v>1298</v>
      </c>
    </row>
    <row r="2004" spans="9:10" x14ac:dyDescent="0.25">
      <c r="I2004" t="s">
        <v>553</v>
      </c>
      <c r="J2004" t="s">
        <v>2514</v>
      </c>
    </row>
    <row r="2005" spans="9:10" x14ac:dyDescent="0.25">
      <c r="I2005" t="s">
        <v>313</v>
      </c>
      <c r="J2005" t="s">
        <v>6513</v>
      </c>
    </row>
    <row r="2006" spans="9:10" x14ac:dyDescent="0.25">
      <c r="I2006" t="s">
        <v>254</v>
      </c>
      <c r="J2006" t="s">
        <v>1104</v>
      </c>
    </row>
    <row r="2007" spans="9:10" x14ac:dyDescent="0.25">
      <c r="I2007" t="s">
        <v>257</v>
      </c>
      <c r="J2007" t="s">
        <v>5971</v>
      </c>
    </row>
    <row r="2008" spans="9:10" x14ac:dyDescent="0.25">
      <c r="I2008" t="s">
        <v>6875</v>
      </c>
      <c r="J2008" t="s">
        <v>1645</v>
      </c>
    </row>
    <row r="2009" spans="9:10" x14ac:dyDescent="0.25">
      <c r="I2009" t="s">
        <v>394</v>
      </c>
      <c r="J2009" t="s">
        <v>6616</v>
      </c>
    </row>
    <row r="2010" spans="9:10" x14ac:dyDescent="0.25">
      <c r="I2010" t="s">
        <v>4943</v>
      </c>
      <c r="J2010" t="s">
        <v>6287</v>
      </c>
    </row>
    <row r="2011" spans="9:10" x14ac:dyDescent="0.25">
      <c r="I2011" t="s">
        <v>394</v>
      </c>
      <c r="J2011" t="s">
        <v>941</v>
      </c>
    </row>
    <row r="2012" spans="9:10" x14ac:dyDescent="0.25">
      <c r="I2012" t="s">
        <v>254</v>
      </c>
      <c r="J2012" t="s">
        <v>1078</v>
      </c>
    </row>
    <row r="2013" spans="9:10" x14ac:dyDescent="0.25">
      <c r="I2013" t="s">
        <v>313</v>
      </c>
      <c r="J2013" t="s">
        <v>5314</v>
      </c>
    </row>
    <row r="2014" spans="9:10" x14ac:dyDescent="0.25">
      <c r="I2014" t="s">
        <v>289</v>
      </c>
      <c r="J2014" t="s">
        <v>2982</v>
      </c>
    </row>
    <row r="2015" spans="9:10" x14ac:dyDescent="0.25">
      <c r="I2015" t="s">
        <v>548</v>
      </c>
      <c r="J2015" t="s">
        <v>6623</v>
      </c>
    </row>
    <row r="2016" spans="9:10" x14ac:dyDescent="0.25">
      <c r="I2016" t="s">
        <v>394</v>
      </c>
      <c r="J2016" t="s">
        <v>6548</v>
      </c>
    </row>
    <row r="2017" spans="9:10" x14ac:dyDescent="0.25">
      <c r="I2017" t="s">
        <v>313</v>
      </c>
      <c r="J2017" t="s">
        <v>1241</v>
      </c>
    </row>
    <row r="2018" spans="9:10" x14ac:dyDescent="0.25">
      <c r="I2018" t="s">
        <v>137</v>
      </c>
      <c r="J2018" t="s">
        <v>1263</v>
      </c>
    </row>
    <row r="2019" spans="9:10" x14ac:dyDescent="0.25">
      <c r="I2019" t="s">
        <v>91</v>
      </c>
      <c r="J2019" t="s">
        <v>5622</v>
      </c>
    </row>
    <row r="2020" spans="9:10" x14ac:dyDescent="0.25">
      <c r="I2020" t="s">
        <v>394</v>
      </c>
      <c r="J2020" t="s">
        <v>1462</v>
      </c>
    </row>
    <row r="2021" spans="9:10" x14ac:dyDescent="0.25">
      <c r="I2021" t="s">
        <v>2730</v>
      </c>
      <c r="J2021" t="s">
        <v>2878</v>
      </c>
    </row>
    <row r="2022" spans="9:10" x14ac:dyDescent="0.25">
      <c r="I2022" t="s">
        <v>91</v>
      </c>
      <c r="J2022" t="s">
        <v>2539</v>
      </c>
    </row>
    <row r="2023" spans="9:10" x14ac:dyDescent="0.25">
      <c r="I2023" t="s">
        <v>313</v>
      </c>
      <c r="J2023" t="s">
        <v>1553</v>
      </c>
    </row>
    <row r="2024" spans="9:10" x14ac:dyDescent="0.25">
      <c r="I2024" t="s">
        <v>6727</v>
      </c>
      <c r="J2024" t="s">
        <v>6728</v>
      </c>
    </row>
    <row r="2025" spans="9:10" x14ac:dyDescent="0.25">
      <c r="I2025" t="s">
        <v>280</v>
      </c>
      <c r="J2025" t="s">
        <v>5505</v>
      </c>
    </row>
    <row r="2026" spans="9:10" x14ac:dyDescent="0.25">
      <c r="I2026" t="s">
        <v>37</v>
      </c>
      <c r="J2026" t="s">
        <v>6826</v>
      </c>
    </row>
    <row r="2027" spans="9:10" x14ac:dyDescent="0.25">
      <c r="I2027" t="s">
        <v>313</v>
      </c>
      <c r="J2027" t="s">
        <v>1560</v>
      </c>
    </row>
    <row r="2028" spans="9:10" x14ac:dyDescent="0.25">
      <c r="I2028" t="s">
        <v>6162</v>
      </c>
      <c r="J2028" t="s">
        <v>1259</v>
      </c>
    </row>
    <row r="2029" spans="9:10" x14ac:dyDescent="0.25">
      <c r="I2029" t="s">
        <v>313</v>
      </c>
      <c r="J2029" t="s">
        <v>5599</v>
      </c>
    </row>
    <row r="2030" spans="9:10" x14ac:dyDescent="0.25">
      <c r="I2030" t="s">
        <v>6649</v>
      </c>
      <c r="J2030" t="s">
        <v>6650</v>
      </c>
    </row>
    <row r="2031" spans="9:10" x14ac:dyDescent="0.25">
      <c r="I2031" t="s">
        <v>254</v>
      </c>
      <c r="J2031" t="s">
        <v>958</v>
      </c>
    </row>
    <row r="2032" spans="9:10" x14ac:dyDescent="0.25">
      <c r="I2032" t="s">
        <v>289</v>
      </c>
      <c r="J2032" t="s">
        <v>1253</v>
      </c>
    </row>
    <row r="2033" spans="9:10" x14ac:dyDescent="0.25">
      <c r="I2033" t="s">
        <v>286</v>
      </c>
      <c r="J2033" t="s">
        <v>5790</v>
      </c>
    </row>
    <row r="2034" spans="9:10" x14ac:dyDescent="0.25">
      <c r="I2034" t="s">
        <v>278</v>
      </c>
      <c r="J2034" t="s">
        <v>1446</v>
      </c>
    </row>
    <row r="2035" spans="9:10" x14ac:dyDescent="0.25">
      <c r="I2035" t="s">
        <v>548</v>
      </c>
      <c r="J2035" t="s">
        <v>5678</v>
      </c>
    </row>
    <row r="2036" spans="9:10" x14ac:dyDescent="0.25">
      <c r="I2036" t="s">
        <v>2733</v>
      </c>
      <c r="J2036" t="s">
        <v>2965</v>
      </c>
    </row>
    <row r="2037" spans="9:10" x14ac:dyDescent="0.25">
      <c r="I2037" t="s">
        <v>6450</v>
      </c>
      <c r="J2037" t="s">
        <v>1414</v>
      </c>
    </row>
    <row r="2038" spans="9:10" x14ac:dyDescent="0.25">
      <c r="I2038" t="s">
        <v>95</v>
      </c>
      <c r="J2038" t="s">
        <v>6784</v>
      </c>
    </row>
    <row r="2039" spans="9:10" x14ac:dyDescent="0.25">
      <c r="I2039" t="s">
        <v>394</v>
      </c>
      <c r="J2039" t="s">
        <v>957</v>
      </c>
    </row>
    <row r="2040" spans="9:10" x14ac:dyDescent="0.25">
      <c r="I2040" t="s">
        <v>90</v>
      </c>
      <c r="J2040" t="s">
        <v>886</v>
      </c>
    </row>
    <row r="2041" spans="9:10" x14ac:dyDescent="0.25">
      <c r="I2041" t="s">
        <v>289</v>
      </c>
      <c r="J2041" t="s">
        <v>5987</v>
      </c>
    </row>
    <row r="2042" spans="9:10" x14ac:dyDescent="0.25">
      <c r="I2042" t="s">
        <v>4438</v>
      </c>
      <c r="J2042" t="s">
        <v>5779</v>
      </c>
    </row>
    <row r="2043" spans="9:10" x14ac:dyDescent="0.25">
      <c r="I2043" t="s">
        <v>394</v>
      </c>
      <c r="J2043" t="s">
        <v>6664</v>
      </c>
    </row>
    <row r="2044" spans="9:10" x14ac:dyDescent="0.25">
      <c r="I2044" t="s">
        <v>2745</v>
      </c>
      <c r="J2044" t="s">
        <v>2941</v>
      </c>
    </row>
    <row r="2045" spans="9:10" x14ac:dyDescent="0.25">
      <c r="I2045" t="s">
        <v>46</v>
      </c>
      <c r="J2045" t="s">
        <v>1317</v>
      </c>
    </row>
    <row r="2046" spans="9:10" x14ac:dyDescent="0.25">
      <c r="I2046" t="s">
        <v>45</v>
      </c>
      <c r="J2046" t="s">
        <v>1552</v>
      </c>
    </row>
    <row r="2047" spans="9:10" x14ac:dyDescent="0.25">
      <c r="I2047" t="s">
        <v>311</v>
      </c>
      <c r="J2047" t="s">
        <v>1222</v>
      </c>
    </row>
    <row r="2048" spans="9:10" x14ac:dyDescent="0.25">
      <c r="I2048" t="s">
        <v>311</v>
      </c>
      <c r="J2048" t="s">
        <v>1641</v>
      </c>
    </row>
    <row r="2049" spans="9:10" x14ac:dyDescent="0.25">
      <c r="I2049" t="s">
        <v>5917</v>
      </c>
      <c r="J2049" t="s">
        <v>1121</v>
      </c>
    </row>
    <row r="2050" spans="9:10" x14ac:dyDescent="0.25">
      <c r="I2050" t="s">
        <v>286</v>
      </c>
      <c r="J2050" t="s">
        <v>6012</v>
      </c>
    </row>
    <row r="2051" spans="9:10" x14ac:dyDescent="0.25">
      <c r="I2051" t="s">
        <v>5575</v>
      </c>
      <c r="J2051" t="s">
        <v>2373</v>
      </c>
    </row>
    <row r="2052" spans="9:10" x14ac:dyDescent="0.25">
      <c r="I2052" t="s">
        <v>22</v>
      </c>
      <c r="J2052" t="s">
        <v>798</v>
      </c>
    </row>
    <row r="2053" spans="9:10" x14ac:dyDescent="0.25">
      <c r="I2053" t="s">
        <v>137</v>
      </c>
      <c r="J2053" t="s">
        <v>853</v>
      </c>
    </row>
    <row r="2054" spans="9:10" x14ac:dyDescent="0.25">
      <c r="I2054" t="s">
        <v>37</v>
      </c>
      <c r="J2054" t="s">
        <v>1480</v>
      </c>
    </row>
    <row r="2055" spans="9:10" x14ac:dyDescent="0.25">
      <c r="I2055" t="s">
        <v>4000</v>
      </c>
      <c r="J2055" t="s">
        <v>6311</v>
      </c>
    </row>
    <row r="2056" spans="9:10" x14ac:dyDescent="0.25">
      <c r="I2056" t="s">
        <v>90</v>
      </c>
      <c r="J2056" t="s">
        <v>6226</v>
      </c>
    </row>
    <row r="2057" spans="9:10" x14ac:dyDescent="0.25">
      <c r="I2057" t="s">
        <v>313</v>
      </c>
      <c r="J2057" t="s">
        <v>6155</v>
      </c>
    </row>
    <row r="2058" spans="9:10" x14ac:dyDescent="0.25">
      <c r="I2058" t="s">
        <v>5726</v>
      </c>
      <c r="J2058" t="s">
        <v>2516</v>
      </c>
    </row>
    <row r="2059" spans="9:10" x14ac:dyDescent="0.25">
      <c r="I2059" t="s">
        <v>6657</v>
      </c>
      <c r="J2059" t="s">
        <v>6658</v>
      </c>
    </row>
    <row r="2060" spans="9:10" x14ac:dyDescent="0.25">
      <c r="I2060" t="s">
        <v>394</v>
      </c>
      <c r="J2060" t="s">
        <v>6380</v>
      </c>
    </row>
    <row r="2061" spans="9:10" x14ac:dyDescent="0.25">
      <c r="I2061" t="s">
        <v>313</v>
      </c>
      <c r="J2061" t="s">
        <v>1210</v>
      </c>
    </row>
    <row r="2062" spans="9:10" x14ac:dyDescent="0.25">
      <c r="I2062" t="s">
        <v>6568</v>
      </c>
      <c r="J2062" t="s">
        <v>1490</v>
      </c>
    </row>
    <row r="2063" spans="9:10" x14ac:dyDescent="0.25">
      <c r="I2063" t="s">
        <v>122</v>
      </c>
      <c r="J2063" t="s">
        <v>6691</v>
      </c>
    </row>
    <row r="2064" spans="9:10" x14ac:dyDescent="0.25">
      <c r="I2064" t="s">
        <v>254</v>
      </c>
      <c r="J2064" t="s">
        <v>1285</v>
      </c>
    </row>
    <row r="2065" spans="9:10" x14ac:dyDescent="0.25">
      <c r="I2065" t="s">
        <v>254</v>
      </c>
      <c r="J2065" t="s">
        <v>3906</v>
      </c>
    </row>
    <row r="2066" spans="9:10" x14ac:dyDescent="0.25">
      <c r="I2066" t="s">
        <v>3908</v>
      </c>
      <c r="J2066" t="s">
        <v>6209</v>
      </c>
    </row>
    <row r="2067" spans="9:10" x14ac:dyDescent="0.25">
      <c r="I2067" t="s">
        <v>6392</v>
      </c>
      <c r="J2067" t="s">
        <v>6393</v>
      </c>
    </row>
    <row r="2068" spans="9:10" x14ac:dyDescent="0.25">
      <c r="I2068" t="s">
        <v>123</v>
      </c>
      <c r="J2068" t="s">
        <v>5359</v>
      </c>
    </row>
    <row r="2069" spans="9:10" x14ac:dyDescent="0.25">
      <c r="I2069" t="s">
        <v>2748</v>
      </c>
      <c r="J2069" t="s">
        <v>2882</v>
      </c>
    </row>
    <row r="2070" spans="9:10" x14ac:dyDescent="0.25">
      <c r="I2070" t="s">
        <v>5933</v>
      </c>
      <c r="J2070" t="s">
        <v>5934</v>
      </c>
    </row>
    <row r="2071" spans="9:10" x14ac:dyDescent="0.25">
      <c r="I2071" t="s">
        <v>4438</v>
      </c>
      <c r="J2071" t="s">
        <v>6109</v>
      </c>
    </row>
    <row r="2072" spans="9:10" x14ac:dyDescent="0.25">
      <c r="I2072" t="s">
        <v>2748</v>
      </c>
      <c r="J2072" t="s">
        <v>2791</v>
      </c>
    </row>
    <row r="2073" spans="9:10" x14ac:dyDescent="0.25">
      <c r="I2073" t="s">
        <v>2743</v>
      </c>
      <c r="J2073" t="s">
        <v>3918</v>
      </c>
    </row>
    <row r="2074" spans="9:10" x14ac:dyDescent="0.25">
      <c r="I2074" t="s">
        <v>313</v>
      </c>
      <c r="J2074" t="s">
        <v>1272</v>
      </c>
    </row>
    <row r="2075" spans="9:10" x14ac:dyDescent="0.25">
      <c r="I2075" t="s">
        <v>394</v>
      </c>
      <c r="J2075" t="s">
        <v>1081</v>
      </c>
    </row>
    <row r="2076" spans="9:10" x14ac:dyDescent="0.25">
      <c r="I2076" t="s">
        <v>2741</v>
      </c>
      <c r="J2076" t="s">
        <v>2925</v>
      </c>
    </row>
    <row r="2077" spans="9:10" x14ac:dyDescent="0.25">
      <c r="I2077" t="s">
        <v>2741</v>
      </c>
      <c r="J2077" t="s">
        <v>4060</v>
      </c>
    </row>
    <row r="2078" spans="9:10" x14ac:dyDescent="0.25">
      <c r="I2078" t="s">
        <v>2745</v>
      </c>
      <c r="J2078" t="s">
        <v>2918</v>
      </c>
    </row>
    <row r="2079" spans="9:10" x14ac:dyDescent="0.25">
      <c r="I2079" t="s">
        <v>2745</v>
      </c>
      <c r="J2079" t="s">
        <v>2862</v>
      </c>
    </row>
    <row r="2080" spans="9:10" x14ac:dyDescent="0.25">
      <c r="I2080" t="s">
        <v>2741</v>
      </c>
      <c r="J2080" t="s">
        <v>3992</v>
      </c>
    </row>
    <row r="2081" spans="9:10" x14ac:dyDescent="0.25">
      <c r="I2081" t="s">
        <v>286</v>
      </c>
      <c r="J2081" t="s">
        <v>5734</v>
      </c>
    </row>
    <row r="2082" spans="9:10" x14ac:dyDescent="0.25">
      <c r="I2082" t="s">
        <v>551</v>
      </c>
      <c r="J2082" t="s">
        <v>6713</v>
      </c>
    </row>
    <row r="2083" spans="9:10" x14ac:dyDescent="0.25">
      <c r="I2083" t="s">
        <v>313</v>
      </c>
      <c r="J2083" t="s">
        <v>1355</v>
      </c>
    </row>
    <row r="2084" spans="9:10" x14ac:dyDescent="0.25">
      <c r="I2084" t="s">
        <v>254</v>
      </c>
      <c r="J2084" t="s">
        <v>1497</v>
      </c>
    </row>
    <row r="2085" spans="9:10" x14ac:dyDescent="0.25">
      <c r="I2085" t="s">
        <v>276</v>
      </c>
      <c r="J2085" t="s">
        <v>1113</v>
      </c>
    </row>
    <row r="2086" spans="9:10" x14ac:dyDescent="0.25">
      <c r="I2086" t="s">
        <v>5955</v>
      </c>
      <c r="J2086" t="s">
        <v>5956</v>
      </c>
    </row>
    <row r="2087" spans="9:10" x14ac:dyDescent="0.25">
      <c r="I2087" t="s">
        <v>311</v>
      </c>
      <c r="J2087" t="s">
        <v>1528</v>
      </c>
    </row>
    <row r="2088" spans="9:10" x14ac:dyDescent="0.25">
      <c r="I2088" t="s">
        <v>311</v>
      </c>
      <c r="J2088" t="s">
        <v>6444</v>
      </c>
    </row>
    <row r="2089" spans="9:10" x14ac:dyDescent="0.25">
      <c r="I2089" t="s">
        <v>6127</v>
      </c>
      <c r="J2089" t="s">
        <v>1233</v>
      </c>
    </row>
    <row r="2090" spans="9:10" x14ac:dyDescent="0.25">
      <c r="I2090" t="s">
        <v>551</v>
      </c>
      <c r="J2090" t="s">
        <v>2478</v>
      </c>
    </row>
    <row r="2091" spans="9:10" x14ac:dyDescent="0.25">
      <c r="I2091" t="s">
        <v>311</v>
      </c>
      <c r="J2091" t="s">
        <v>1316</v>
      </c>
    </row>
    <row r="2092" spans="9:10" x14ac:dyDescent="0.25">
      <c r="I2092" t="s">
        <v>289</v>
      </c>
      <c r="J2092" t="s">
        <v>1628</v>
      </c>
    </row>
    <row r="2093" spans="9:10" x14ac:dyDescent="0.25">
      <c r="I2093" t="s">
        <v>5831</v>
      </c>
      <c r="J2093" t="s">
        <v>1307</v>
      </c>
    </row>
    <row r="2094" spans="9:10" x14ac:dyDescent="0.25">
      <c r="I2094" t="s">
        <v>313</v>
      </c>
      <c r="J2094" t="s">
        <v>1235</v>
      </c>
    </row>
    <row r="2095" spans="9:10" x14ac:dyDescent="0.25">
      <c r="I2095" t="s">
        <v>3861</v>
      </c>
      <c r="J2095" t="s">
        <v>4068</v>
      </c>
    </row>
    <row r="2096" spans="9:10" x14ac:dyDescent="0.25">
      <c r="I2096" t="s">
        <v>46</v>
      </c>
      <c r="J2096" t="s">
        <v>953</v>
      </c>
    </row>
    <row r="2097" spans="9:10" x14ac:dyDescent="0.25">
      <c r="I2097" t="s">
        <v>21</v>
      </c>
      <c r="J2097" t="s">
        <v>1489</v>
      </c>
    </row>
    <row r="2098" spans="9:10" x14ac:dyDescent="0.25">
      <c r="I2098" t="s">
        <v>315</v>
      </c>
      <c r="J2098" t="s">
        <v>1238</v>
      </c>
    </row>
    <row r="2099" spans="9:10" x14ac:dyDescent="0.25">
      <c r="I2099" t="s">
        <v>5931</v>
      </c>
      <c r="J2099" t="s">
        <v>1130</v>
      </c>
    </row>
    <row r="2100" spans="9:10" x14ac:dyDescent="0.25">
      <c r="I2100" t="s">
        <v>551</v>
      </c>
      <c r="J2100" t="s">
        <v>5630</v>
      </c>
    </row>
    <row r="2101" spans="9:10" x14ac:dyDescent="0.25">
      <c r="I2101" t="s">
        <v>346</v>
      </c>
      <c r="J2101" t="s">
        <v>789</v>
      </c>
    </row>
    <row r="2102" spans="9:10" x14ac:dyDescent="0.25">
      <c r="I2102" t="s">
        <v>90</v>
      </c>
      <c r="J2102" t="s">
        <v>6841</v>
      </c>
    </row>
    <row r="2103" spans="9:10" x14ac:dyDescent="0.25">
      <c r="I2103" t="s">
        <v>394</v>
      </c>
      <c r="J2103" t="s">
        <v>2377</v>
      </c>
    </row>
    <row r="2104" spans="9:10" x14ac:dyDescent="0.25">
      <c r="I2104" t="s">
        <v>122</v>
      </c>
      <c r="J2104" t="s">
        <v>1557</v>
      </c>
    </row>
    <row r="2105" spans="9:10" x14ac:dyDescent="0.25">
      <c r="I2105" t="s">
        <v>280</v>
      </c>
      <c r="J2105" t="s">
        <v>3915</v>
      </c>
    </row>
    <row r="2106" spans="9:10" x14ac:dyDescent="0.25">
      <c r="I2106" t="s">
        <v>394</v>
      </c>
      <c r="J2106" t="s">
        <v>5789</v>
      </c>
    </row>
    <row r="2107" spans="9:10" x14ac:dyDescent="0.25">
      <c r="I2107" t="s">
        <v>6001</v>
      </c>
      <c r="J2107" t="s">
        <v>1169</v>
      </c>
    </row>
    <row r="2108" spans="9:10" x14ac:dyDescent="0.25">
      <c r="I2108" t="s">
        <v>280</v>
      </c>
      <c r="J2108" t="s">
        <v>1053</v>
      </c>
    </row>
    <row r="2109" spans="9:10" x14ac:dyDescent="0.25">
      <c r="I2109" t="s">
        <v>356</v>
      </c>
      <c r="J2109" t="s">
        <v>3899</v>
      </c>
    </row>
    <row r="2110" spans="9:10" x14ac:dyDescent="0.25">
      <c r="I2110" t="s">
        <v>338</v>
      </c>
      <c r="J2110" t="s">
        <v>2888</v>
      </c>
    </row>
    <row r="2111" spans="9:10" x14ac:dyDescent="0.25">
      <c r="I2111" t="s">
        <v>45</v>
      </c>
      <c r="J2111" t="s">
        <v>2370</v>
      </c>
    </row>
    <row r="2112" spans="9:10" x14ac:dyDescent="0.25">
      <c r="I2112" t="s">
        <v>551</v>
      </c>
      <c r="J2112" t="s">
        <v>5696</v>
      </c>
    </row>
    <row r="2113" spans="9:10" x14ac:dyDescent="0.25">
      <c r="I2113" t="s">
        <v>40</v>
      </c>
      <c r="J2113" t="s">
        <v>6310</v>
      </c>
    </row>
    <row r="2114" spans="9:10" x14ac:dyDescent="0.25">
      <c r="I2114" t="s">
        <v>318</v>
      </c>
      <c r="J2114" t="s">
        <v>2781</v>
      </c>
    </row>
    <row r="2115" spans="9:10" x14ac:dyDescent="0.25">
      <c r="I2115" t="s">
        <v>309</v>
      </c>
      <c r="J2115" t="s">
        <v>986</v>
      </c>
    </row>
    <row r="2116" spans="9:10" x14ac:dyDescent="0.25">
      <c r="I2116" t="s">
        <v>91</v>
      </c>
      <c r="J2116" t="s">
        <v>6720</v>
      </c>
    </row>
    <row r="2117" spans="9:10" x14ac:dyDescent="0.25">
      <c r="I2117" t="s">
        <v>289</v>
      </c>
      <c r="J2117" t="s">
        <v>2967</v>
      </c>
    </row>
    <row r="2118" spans="9:10" x14ac:dyDescent="0.25">
      <c r="I2118" t="s">
        <v>5260</v>
      </c>
      <c r="J2118" t="s">
        <v>5261</v>
      </c>
    </row>
    <row r="2119" spans="9:10" x14ac:dyDescent="0.25">
      <c r="I2119" t="s">
        <v>40</v>
      </c>
      <c r="J2119" t="s">
        <v>922</v>
      </c>
    </row>
    <row r="2120" spans="9:10" x14ac:dyDescent="0.25">
      <c r="I2120" t="s">
        <v>548</v>
      </c>
      <c r="J2120" t="s">
        <v>2830</v>
      </c>
    </row>
    <row r="2121" spans="9:10" x14ac:dyDescent="0.25">
      <c r="I2121" t="s">
        <v>313</v>
      </c>
      <c r="J2121" t="s">
        <v>6596</v>
      </c>
    </row>
    <row r="2122" spans="9:10" x14ac:dyDescent="0.25">
      <c r="I2122" t="s">
        <v>394</v>
      </c>
      <c r="J2122" t="s">
        <v>869</v>
      </c>
    </row>
    <row r="2123" spans="9:10" x14ac:dyDescent="0.25">
      <c r="I2123" t="s">
        <v>254</v>
      </c>
      <c r="J2123" t="s">
        <v>967</v>
      </c>
    </row>
    <row r="2124" spans="9:10" x14ac:dyDescent="0.25">
      <c r="I2124" t="s">
        <v>5327</v>
      </c>
      <c r="J2124" t="s">
        <v>1635</v>
      </c>
    </row>
    <row r="2125" spans="9:10" x14ac:dyDescent="0.25">
      <c r="I2125" t="s">
        <v>254</v>
      </c>
      <c r="J2125" t="s">
        <v>6065</v>
      </c>
    </row>
    <row r="2126" spans="9:10" x14ac:dyDescent="0.25">
      <c r="I2126" t="s">
        <v>5323</v>
      </c>
      <c r="J2126" t="s">
        <v>1232</v>
      </c>
    </row>
    <row r="2127" spans="9:10" x14ac:dyDescent="0.25">
      <c r="I2127" t="s">
        <v>289</v>
      </c>
      <c r="J2127" t="s">
        <v>1163</v>
      </c>
    </row>
    <row r="2128" spans="9:10" x14ac:dyDescent="0.25">
      <c r="I2128" t="s">
        <v>356</v>
      </c>
      <c r="J2128" t="s">
        <v>6753</v>
      </c>
    </row>
    <row r="2129" spans="9:10" x14ac:dyDescent="0.25">
      <c r="I2129" t="s">
        <v>5309</v>
      </c>
      <c r="J2129" t="s">
        <v>5718</v>
      </c>
    </row>
    <row r="2130" spans="9:10" x14ac:dyDescent="0.25">
      <c r="I2130" t="s">
        <v>306</v>
      </c>
      <c r="J2130" t="s">
        <v>2855</v>
      </c>
    </row>
    <row r="2131" spans="9:10" x14ac:dyDescent="0.25">
      <c r="I2131" t="s">
        <v>5307</v>
      </c>
      <c r="J2131" t="s">
        <v>816</v>
      </c>
    </row>
    <row r="2132" spans="9:10" x14ac:dyDescent="0.25">
      <c r="I2132" t="s">
        <v>313</v>
      </c>
      <c r="J2132" t="s">
        <v>5806</v>
      </c>
    </row>
    <row r="2133" spans="9:10" x14ac:dyDescent="0.25">
      <c r="I2133" t="s">
        <v>394</v>
      </c>
      <c r="J2133" t="s">
        <v>5679</v>
      </c>
    </row>
    <row r="2134" spans="9:10" x14ac:dyDescent="0.25">
      <c r="I2134" t="s">
        <v>313</v>
      </c>
      <c r="J2134" t="s">
        <v>1300</v>
      </c>
    </row>
    <row r="2135" spans="9:10" x14ac:dyDescent="0.25">
      <c r="I2135" t="s">
        <v>311</v>
      </c>
      <c r="J2135" t="s">
        <v>1636</v>
      </c>
    </row>
    <row r="2136" spans="9:10" x14ac:dyDescent="0.25">
      <c r="I2136" t="s">
        <v>21</v>
      </c>
      <c r="J2136" t="s">
        <v>1356</v>
      </c>
    </row>
    <row r="2137" spans="9:10" x14ac:dyDescent="0.25">
      <c r="I2137" t="s">
        <v>5544</v>
      </c>
      <c r="J2137" t="s">
        <v>927</v>
      </c>
    </row>
    <row r="2138" spans="9:10" x14ac:dyDescent="0.25">
      <c r="I2138" t="s">
        <v>254</v>
      </c>
      <c r="J2138" t="s">
        <v>1331</v>
      </c>
    </row>
    <row r="2139" spans="9:10" x14ac:dyDescent="0.25">
      <c r="I2139" t="s">
        <v>4943</v>
      </c>
      <c r="J2139" t="s">
        <v>1343</v>
      </c>
    </row>
    <row r="2140" spans="9:10" x14ac:dyDescent="0.25">
      <c r="I2140" t="s">
        <v>5777</v>
      </c>
      <c r="J2140" t="s">
        <v>1060</v>
      </c>
    </row>
    <row r="2141" spans="9:10" x14ac:dyDescent="0.25">
      <c r="I2141" t="s">
        <v>4736</v>
      </c>
      <c r="J2141" t="s">
        <v>1328</v>
      </c>
    </row>
    <row r="2142" spans="9:10" x14ac:dyDescent="0.25">
      <c r="I2142" t="s">
        <v>5276</v>
      </c>
      <c r="J2142" t="s">
        <v>800</v>
      </c>
    </row>
    <row r="2143" spans="9:10" x14ac:dyDescent="0.25">
      <c r="I2143" t="s">
        <v>36</v>
      </c>
      <c r="J2143" t="s">
        <v>848</v>
      </c>
    </row>
    <row r="2144" spans="9:10" x14ac:dyDescent="0.25">
      <c r="I2144" t="s">
        <v>254</v>
      </c>
      <c r="J2144" t="s">
        <v>1386</v>
      </c>
    </row>
    <row r="2145" spans="9:10" x14ac:dyDescent="0.25">
      <c r="I2145" t="s">
        <v>6172</v>
      </c>
      <c r="J2145" t="s">
        <v>6173</v>
      </c>
    </row>
    <row r="2146" spans="9:10" x14ac:dyDescent="0.25">
      <c r="I2146" t="s">
        <v>3861</v>
      </c>
      <c r="J2146" t="s">
        <v>4023</v>
      </c>
    </row>
    <row r="2147" spans="9:10" x14ac:dyDescent="0.25">
      <c r="I2147" t="s">
        <v>315</v>
      </c>
      <c r="J2147" t="s">
        <v>2954</v>
      </c>
    </row>
    <row r="2148" spans="9:10" x14ac:dyDescent="0.25">
      <c r="I2148" t="s">
        <v>309</v>
      </c>
      <c r="J2148" t="s">
        <v>1587</v>
      </c>
    </row>
    <row r="2149" spans="9:10" x14ac:dyDescent="0.25">
      <c r="I2149" t="s">
        <v>311</v>
      </c>
      <c r="J2149" t="s">
        <v>1357</v>
      </c>
    </row>
    <row r="2150" spans="9:10" x14ac:dyDescent="0.25">
      <c r="I2150" t="s">
        <v>394</v>
      </c>
      <c r="J2150" t="s">
        <v>2927</v>
      </c>
    </row>
    <row r="2151" spans="9:10" x14ac:dyDescent="0.25">
      <c r="I2151" t="s">
        <v>254</v>
      </c>
      <c r="J2151" t="s">
        <v>5780</v>
      </c>
    </row>
    <row r="2152" spans="9:10" x14ac:dyDescent="0.25">
      <c r="I2152" t="s">
        <v>313</v>
      </c>
      <c r="J2152" t="s">
        <v>1094</v>
      </c>
    </row>
    <row r="2153" spans="9:10" x14ac:dyDescent="0.25">
      <c r="I2153" t="s">
        <v>5650</v>
      </c>
      <c r="J2153" t="s">
        <v>981</v>
      </c>
    </row>
    <row r="2154" spans="9:10" x14ac:dyDescent="0.25">
      <c r="I2154" t="s">
        <v>401</v>
      </c>
      <c r="J2154" t="s">
        <v>5672</v>
      </c>
    </row>
    <row r="2155" spans="9:10" x14ac:dyDescent="0.25">
      <c r="I2155" t="s">
        <v>2359</v>
      </c>
      <c r="J2155" t="s">
        <v>6591</v>
      </c>
    </row>
    <row r="2156" spans="9:10" x14ac:dyDescent="0.25">
      <c r="I2156" t="s">
        <v>5312</v>
      </c>
      <c r="J2156" t="s">
        <v>5460</v>
      </c>
    </row>
    <row r="2157" spans="9:10" x14ac:dyDescent="0.25">
      <c r="I2157" t="s">
        <v>548</v>
      </c>
      <c r="J2157" t="s">
        <v>6852</v>
      </c>
    </row>
    <row r="2158" spans="9:10" x14ac:dyDescent="0.25">
      <c r="I2158" t="s">
        <v>313</v>
      </c>
      <c r="J2158" t="s">
        <v>1302</v>
      </c>
    </row>
    <row r="2159" spans="9:10" x14ac:dyDescent="0.25">
      <c r="I2159" t="s">
        <v>4965</v>
      </c>
      <c r="J2159" t="s">
        <v>6161</v>
      </c>
    </row>
    <row r="2160" spans="9:10" x14ac:dyDescent="0.25">
      <c r="I2160" t="s">
        <v>90</v>
      </c>
      <c r="J2160" t="s">
        <v>6556</v>
      </c>
    </row>
    <row r="2161" spans="9:10" x14ac:dyDescent="0.25">
      <c r="I2161" t="s">
        <v>45</v>
      </c>
      <c r="J2161" t="s">
        <v>1125</v>
      </c>
    </row>
    <row r="2162" spans="9:10" x14ac:dyDescent="0.25">
      <c r="I2162" t="s">
        <v>4943</v>
      </c>
      <c r="J2162" t="s">
        <v>1084</v>
      </c>
    </row>
    <row r="2163" spans="9:10" x14ac:dyDescent="0.25">
      <c r="I2163" t="s">
        <v>37</v>
      </c>
      <c r="J2163" t="s">
        <v>1450</v>
      </c>
    </row>
    <row r="2164" spans="9:10" x14ac:dyDescent="0.25">
      <c r="I2164" t="s">
        <v>2739</v>
      </c>
      <c r="J2164" t="s">
        <v>5424</v>
      </c>
    </row>
    <row r="2165" spans="9:10" x14ac:dyDescent="0.25">
      <c r="I2165" t="s">
        <v>254</v>
      </c>
      <c r="J2165" t="s">
        <v>6488</v>
      </c>
    </row>
    <row r="2166" spans="9:10" x14ac:dyDescent="0.25">
      <c r="I2166" t="s">
        <v>6165</v>
      </c>
      <c r="J2166" t="s">
        <v>6166</v>
      </c>
    </row>
    <row r="2167" spans="9:10" x14ac:dyDescent="0.25">
      <c r="I2167" t="s">
        <v>5516</v>
      </c>
      <c r="J2167" t="s">
        <v>5517</v>
      </c>
    </row>
    <row r="2168" spans="9:10" x14ac:dyDescent="0.25">
      <c r="I2168" t="s">
        <v>6723</v>
      </c>
      <c r="J2168" t="s">
        <v>6724</v>
      </c>
    </row>
    <row r="2169" spans="9:10" x14ac:dyDescent="0.25">
      <c r="I2169" t="s">
        <v>5761</v>
      </c>
      <c r="J2169" t="s">
        <v>1050</v>
      </c>
    </row>
    <row r="2170" spans="9:10" x14ac:dyDescent="0.25">
      <c r="I2170" t="s">
        <v>5273</v>
      </c>
      <c r="J2170" t="s">
        <v>1442</v>
      </c>
    </row>
    <row r="2171" spans="9:10" x14ac:dyDescent="0.25">
      <c r="I2171" t="s">
        <v>5979</v>
      </c>
      <c r="J2171" t="s">
        <v>1154</v>
      </c>
    </row>
    <row r="2172" spans="9:10" x14ac:dyDescent="0.25">
      <c r="I2172" t="s">
        <v>6674</v>
      </c>
      <c r="J2172" t="s">
        <v>1542</v>
      </c>
    </row>
    <row r="2173" spans="9:10" x14ac:dyDescent="0.25">
      <c r="I2173" t="s">
        <v>254</v>
      </c>
      <c r="J2173" t="s">
        <v>1303</v>
      </c>
    </row>
    <row r="2174" spans="9:10" x14ac:dyDescent="0.25">
      <c r="I2174" t="s">
        <v>313</v>
      </c>
      <c r="J2174" t="s">
        <v>5984</v>
      </c>
    </row>
    <row r="2175" spans="9:10" x14ac:dyDescent="0.25">
      <c r="I2175" t="s">
        <v>5833</v>
      </c>
      <c r="J2175" t="s">
        <v>1083</v>
      </c>
    </row>
    <row r="2176" spans="9:10" x14ac:dyDescent="0.25">
      <c r="I2176" t="s">
        <v>289</v>
      </c>
      <c r="J2176" t="s">
        <v>6651</v>
      </c>
    </row>
    <row r="2177" spans="9:10" x14ac:dyDescent="0.25">
      <c r="I2177" t="s">
        <v>3861</v>
      </c>
      <c r="J2177" t="s">
        <v>3923</v>
      </c>
    </row>
    <row r="2178" spans="9:10" x14ac:dyDescent="0.25">
      <c r="I2178" t="s">
        <v>5400</v>
      </c>
      <c r="J2178" t="s">
        <v>6422</v>
      </c>
    </row>
    <row r="2179" spans="9:10" x14ac:dyDescent="0.25">
      <c r="I2179" t="s">
        <v>5675</v>
      </c>
      <c r="J2179" t="s">
        <v>6564</v>
      </c>
    </row>
    <row r="2180" spans="9:10" x14ac:dyDescent="0.25">
      <c r="I2180" t="s">
        <v>5712</v>
      </c>
      <c r="J2180" t="s">
        <v>1022</v>
      </c>
    </row>
    <row r="2181" spans="9:10" x14ac:dyDescent="0.25">
      <c r="I2181" t="s">
        <v>6047</v>
      </c>
      <c r="J2181" t="s">
        <v>1193</v>
      </c>
    </row>
    <row r="2182" spans="9:10" x14ac:dyDescent="0.25">
      <c r="I2182" t="s">
        <v>548</v>
      </c>
      <c r="J2182" t="s">
        <v>818</v>
      </c>
    </row>
    <row r="2183" spans="9:10" x14ac:dyDescent="0.25">
      <c r="I2183" t="s">
        <v>5389</v>
      </c>
      <c r="J2183" t="s">
        <v>860</v>
      </c>
    </row>
    <row r="2184" spans="9:10" x14ac:dyDescent="0.25">
      <c r="I2184" t="s">
        <v>311</v>
      </c>
      <c r="J2184" t="s">
        <v>1268</v>
      </c>
    </row>
    <row r="2185" spans="9:10" x14ac:dyDescent="0.25">
      <c r="I2185" t="s">
        <v>313</v>
      </c>
      <c r="J2185" t="s">
        <v>6089</v>
      </c>
    </row>
    <row r="2186" spans="9:10" x14ac:dyDescent="0.25">
      <c r="I2186" t="s">
        <v>286</v>
      </c>
      <c r="J2186" t="s">
        <v>5983</v>
      </c>
    </row>
    <row r="2187" spans="9:10" x14ac:dyDescent="0.25">
      <c r="I2187" t="s">
        <v>45</v>
      </c>
      <c r="J2187" t="s">
        <v>1504</v>
      </c>
    </row>
    <row r="2188" spans="9:10" x14ac:dyDescent="0.25">
      <c r="I2188" t="s">
        <v>5996</v>
      </c>
      <c r="J2188" t="s">
        <v>1166</v>
      </c>
    </row>
    <row r="2189" spans="9:10" x14ac:dyDescent="0.25">
      <c r="I2189" t="s">
        <v>6420</v>
      </c>
      <c r="J2189" t="s">
        <v>2919</v>
      </c>
    </row>
    <row r="2190" spans="9:10" x14ac:dyDescent="0.25">
      <c r="I2190" t="s">
        <v>6047</v>
      </c>
      <c r="J2190" t="s">
        <v>1372</v>
      </c>
    </row>
    <row r="2191" spans="9:10" x14ac:dyDescent="0.25">
      <c r="I2191" t="s">
        <v>548</v>
      </c>
      <c r="J2191" t="s">
        <v>5399</v>
      </c>
    </row>
    <row r="2192" spans="9:10" x14ac:dyDescent="0.25">
      <c r="I2192" t="s">
        <v>254</v>
      </c>
      <c r="J2192" t="s">
        <v>1127</v>
      </c>
    </row>
    <row r="2193" spans="9:10" x14ac:dyDescent="0.25">
      <c r="I2193" t="s">
        <v>5589</v>
      </c>
      <c r="J2193" t="s">
        <v>955</v>
      </c>
    </row>
    <row r="2194" spans="9:10" x14ac:dyDescent="0.25">
      <c r="I2194" t="s">
        <v>5840</v>
      </c>
      <c r="J2194" t="s">
        <v>1551</v>
      </c>
    </row>
    <row r="2195" spans="9:10" x14ac:dyDescent="0.25">
      <c r="I2195" t="s">
        <v>6455</v>
      </c>
      <c r="J2195" t="s">
        <v>6456</v>
      </c>
    </row>
    <row r="2196" spans="9:10" x14ac:dyDescent="0.25">
      <c r="I2196" t="s">
        <v>6647</v>
      </c>
      <c r="J2196" t="s">
        <v>1531</v>
      </c>
    </row>
    <row r="2197" spans="9:10" x14ac:dyDescent="0.25">
      <c r="I2197" t="s">
        <v>289</v>
      </c>
      <c r="J2197" t="s">
        <v>2950</v>
      </c>
    </row>
    <row r="2198" spans="9:10" x14ac:dyDescent="0.25">
      <c r="I2198" t="s">
        <v>90</v>
      </c>
      <c r="J2198" t="s">
        <v>6271</v>
      </c>
    </row>
    <row r="2199" spans="9:10" x14ac:dyDescent="0.25">
      <c r="I2199" t="s">
        <v>39</v>
      </c>
      <c r="J2199" t="s">
        <v>5907</v>
      </c>
    </row>
    <row r="2200" spans="9:10" x14ac:dyDescent="0.25">
      <c r="I2200" t="s">
        <v>276</v>
      </c>
      <c r="J2200" t="s">
        <v>2804</v>
      </c>
    </row>
    <row r="2201" spans="9:10" x14ac:dyDescent="0.25">
      <c r="I2201" t="s">
        <v>5567</v>
      </c>
      <c r="J2201" t="s">
        <v>939</v>
      </c>
    </row>
    <row r="2202" spans="9:10" x14ac:dyDescent="0.25">
      <c r="I2202" t="s">
        <v>5407</v>
      </c>
      <c r="J2202" t="s">
        <v>872</v>
      </c>
    </row>
    <row r="2203" spans="9:10" x14ac:dyDescent="0.25">
      <c r="I2203" t="s">
        <v>309</v>
      </c>
      <c r="J2203" t="s">
        <v>802</v>
      </c>
    </row>
    <row r="2204" spans="9:10" x14ac:dyDescent="0.25">
      <c r="I2204" t="s">
        <v>313</v>
      </c>
      <c r="J2204" t="s">
        <v>6733</v>
      </c>
    </row>
    <row r="2205" spans="9:10" x14ac:dyDescent="0.25">
      <c r="I2205" t="s">
        <v>4779</v>
      </c>
      <c r="J2205" t="s">
        <v>6191</v>
      </c>
    </row>
    <row r="2206" spans="9:10" x14ac:dyDescent="0.25">
      <c r="I2206" t="s">
        <v>404</v>
      </c>
      <c r="J2206" t="s">
        <v>1035</v>
      </c>
    </row>
    <row r="2207" spans="9:10" x14ac:dyDescent="0.25">
      <c r="I2207" t="s">
        <v>5568</v>
      </c>
      <c r="J2207" t="s">
        <v>5569</v>
      </c>
    </row>
    <row r="2208" spans="9:10" x14ac:dyDescent="0.25">
      <c r="I2208" t="s">
        <v>253</v>
      </c>
      <c r="J2208" t="s">
        <v>5472</v>
      </c>
    </row>
    <row r="2209" spans="9:10" x14ac:dyDescent="0.25">
      <c r="I2209" t="s">
        <v>5005</v>
      </c>
      <c r="J2209" t="s">
        <v>805</v>
      </c>
    </row>
    <row r="2210" spans="9:10" x14ac:dyDescent="0.25">
      <c r="I2210" t="s">
        <v>254</v>
      </c>
      <c r="J2210" t="s">
        <v>972</v>
      </c>
    </row>
    <row r="2211" spans="9:10" x14ac:dyDescent="0.25">
      <c r="I2211" t="s">
        <v>356</v>
      </c>
      <c r="J2211" t="s">
        <v>5766</v>
      </c>
    </row>
    <row r="2212" spans="9:10" x14ac:dyDescent="0.25">
      <c r="I2212" t="s">
        <v>315</v>
      </c>
      <c r="J2212" t="s">
        <v>2977</v>
      </c>
    </row>
    <row r="2213" spans="9:10" x14ac:dyDescent="0.25">
      <c r="I2213" t="s">
        <v>254</v>
      </c>
      <c r="J2213" t="s">
        <v>5453</v>
      </c>
    </row>
    <row r="2214" spans="9:10" x14ac:dyDescent="0.25">
      <c r="I2214" t="s">
        <v>289</v>
      </c>
      <c r="J2214" t="s">
        <v>2778</v>
      </c>
    </row>
    <row r="2215" spans="9:10" x14ac:dyDescent="0.25">
      <c r="I2215" t="s">
        <v>5400</v>
      </c>
      <c r="J2215" t="s">
        <v>5945</v>
      </c>
    </row>
    <row r="2216" spans="9:10" x14ac:dyDescent="0.25">
      <c r="I2216" t="s">
        <v>313</v>
      </c>
      <c r="J2216" t="s">
        <v>6345</v>
      </c>
    </row>
    <row r="2217" spans="9:10" x14ac:dyDescent="0.25">
      <c r="I2217" t="s">
        <v>257</v>
      </c>
      <c r="J2217" t="s">
        <v>6437</v>
      </c>
    </row>
    <row r="2218" spans="9:10" x14ac:dyDescent="0.25">
      <c r="I2218" t="s">
        <v>253</v>
      </c>
      <c r="J2218" t="s">
        <v>5925</v>
      </c>
    </row>
    <row r="2219" spans="9:10" x14ac:dyDescent="0.25">
      <c r="I2219" t="s">
        <v>6575</v>
      </c>
      <c r="J2219" t="s">
        <v>1494</v>
      </c>
    </row>
    <row r="2220" spans="9:10" x14ac:dyDescent="0.25">
      <c r="I2220" t="s">
        <v>315</v>
      </c>
      <c r="J2220" t="s">
        <v>2382</v>
      </c>
    </row>
    <row r="2221" spans="9:10" x14ac:dyDescent="0.25">
      <c r="I2221" t="s">
        <v>6207</v>
      </c>
      <c r="J2221" t="s">
        <v>2879</v>
      </c>
    </row>
    <row r="2222" spans="9:10" x14ac:dyDescent="0.25">
      <c r="I2222" t="s">
        <v>6415</v>
      </c>
      <c r="J2222" t="s">
        <v>2917</v>
      </c>
    </row>
    <row r="2223" spans="9:10" x14ac:dyDescent="0.25">
      <c r="I2223" t="s">
        <v>5647</v>
      </c>
      <c r="J2223" t="s">
        <v>5648</v>
      </c>
    </row>
    <row r="2224" spans="9:10" x14ac:dyDescent="0.25">
      <c r="I2224" t="s">
        <v>276</v>
      </c>
      <c r="J2224" t="s">
        <v>2796</v>
      </c>
    </row>
    <row r="2225" spans="9:10" x14ac:dyDescent="0.25">
      <c r="I2225" t="s">
        <v>253</v>
      </c>
      <c r="J2225" t="s">
        <v>6685</v>
      </c>
    </row>
    <row r="2226" spans="9:10" x14ac:dyDescent="0.25">
      <c r="I2226" t="s">
        <v>5664</v>
      </c>
      <c r="J2226" t="s">
        <v>1545</v>
      </c>
    </row>
    <row r="2227" spans="9:10" x14ac:dyDescent="0.25">
      <c r="I2227" t="s">
        <v>548</v>
      </c>
      <c r="J2227" t="s">
        <v>944</v>
      </c>
    </row>
    <row r="2228" spans="9:10" x14ac:dyDescent="0.25">
      <c r="I2228" t="s">
        <v>5675</v>
      </c>
      <c r="J2228" t="s">
        <v>5701</v>
      </c>
    </row>
    <row r="2229" spans="9:10" x14ac:dyDescent="0.25">
      <c r="I2229" t="s">
        <v>254</v>
      </c>
      <c r="J2229" t="s">
        <v>5993</v>
      </c>
    </row>
    <row r="2230" spans="9:10" x14ac:dyDescent="0.25">
      <c r="I2230" t="s">
        <v>5659</v>
      </c>
      <c r="J2230" t="s">
        <v>988</v>
      </c>
    </row>
    <row r="2231" spans="9:10" x14ac:dyDescent="0.25">
      <c r="I2231" t="s">
        <v>36</v>
      </c>
      <c r="J2231" t="s">
        <v>812</v>
      </c>
    </row>
    <row r="2232" spans="9:10" x14ac:dyDescent="0.25">
      <c r="I2232" t="s">
        <v>5616</v>
      </c>
      <c r="J2232" t="s">
        <v>968</v>
      </c>
    </row>
    <row r="2233" spans="9:10" x14ac:dyDescent="0.25">
      <c r="I2233" t="s">
        <v>289</v>
      </c>
      <c r="J2233" t="s">
        <v>2986</v>
      </c>
    </row>
    <row r="2234" spans="9:10" x14ac:dyDescent="0.25">
      <c r="I2234" t="s">
        <v>6221</v>
      </c>
      <c r="J2234" t="s">
        <v>1631</v>
      </c>
    </row>
    <row r="2235" spans="9:10" x14ac:dyDescent="0.25">
      <c r="I2235" t="s">
        <v>254</v>
      </c>
      <c r="J2235" t="s">
        <v>5785</v>
      </c>
    </row>
    <row r="2236" spans="9:10" x14ac:dyDescent="0.25">
      <c r="I2236" t="s">
        <v>6523</v>
      </c>
      <c r="J2236" t="s">
        <v>1459</v>
      </c>
    </row>
    <row r="2237" spans="9:10" x14ac:dyDescent="0.25">
      <c r="I2237" t="s">
        <v>5308</v>
      </c>
      <c r="J2237" t="s">
        <v>817</v>
      </c>
    </row>
    <row r="2238" spans="9:10" x14ac:dyDescent="0.25">
      <c r="I2238" t="s">
        <v>313</v>
      </c>
      <c r="J2238" t="s">
        <v>1567</v>
      </c>
    </row>
    <row r="2239" spans="9:10" x14ac:dyDescent="0.25">
      <c r="I2239" t="s">
        <v>548</v>
      </c>
      <c r="J2239" t="s">
        <v>6789</v>
      </c>
    </row>
    <row r="2240" spans="9:10" x14ac:dyDescent="0.25">
      <c r="I2240" t="s">
        <v>3861</v>
      </c>
      <c r="J2240" t="s">
        <v>3975</v>
      </c>
    </row>
    <row r="2241" spans="9:10" x14ac:dyDescent="0.25">
      <c r="I2241" t="s">
        <v>5323</v>
      </c>
      <c r="J2241" t="s">
        <v>1596</v>
      </c>
    </row>
    <row r="2242" spans="9:10" x14ac:dyDescent="0.25">
      <c r="I2242" t="s">
        <v>6214</v>
      </c>
      <c r="J2242" t="s">
        <v>1283</v>
      </c>
    </row>
    <row r="2243" spans="9:10" x14ac:dyDescent="0.25">
      <c r="I2243" t="s">
        <v>254</v>
      </c>
      <c r="J2243" t="s">
        <v>5520</v>
      </c>
    </row>
    <row r="2244" spans="9:10" x14ac:dyDescent="0.25">
      <c r="I2244" t="s">
        <v>3861</v>
      </c>
      <c r="J2244" t="s">
        <v>3966</v>
      </c>
    </row>
    <row r="2245" spans="9:10" x14ac:dyDescent="0.25">
      <c r="I2245" t="s">
        <v>256</v>
      </c>
      <c r="J2245" t="s">
        <v>6247</v>
      </c>
    </row>
    <row r="2246" spans="9:10" x14ac:dyDescent="0.25">
      <c r="I2246" t="s">
        <v>311</v>
      </c>
      <c r="J2246" t="s">
        <v>1547</v>
      </c>
    </row>
    <row r="2247" spans="9:10" x14ac:dyDescent="0.25">
      <c r="I2247" t="s">
        <v>47</v>
      </c>
      <c r="J2247" t="s">
        <v>1521</v>
      </c>
    </row>
    <row r="2248" spans="9:10" x14ac:dyDescent="0.25">
      <c r="I2248" t="s">
        <v>6292</v>
      </c>
      <c r="J2248" t="s">
        <v>6293</v>
      </c>
    </row>
    <row r="2249" spans="9:10" x14ac:dyDescent="0.25">
      <c r="I2249" t="s">
        <v>336</v>
      </c>
      <c r="J2249" t="s">
        <v>2837</v>
      </c>
    </row>
    <row r="2250" spans="9:10" x14ac:dyDescent="0.25">
      <c r="I2250" t="s">
        <v>313</v>
      </c>
      <c r="J2250" t="s">
        <v>1289</v>
      </c>
    </row>
    <row r="2251" spans="9:10" x14ac:dyDescent="0.25">
      <c r="I2251" t="s">
        <v>5961</v>
      </c>
      <c r="J2251" t="s">
        <v>1148</v>
      </c>
    </row>
    <row r="2252" spans="9:10" x14ac:dyDescent="0.25">
      <c r="I2252" t="s">
        <v>22</v>
      </c>
      <c r="J2252" t="s">
        <v>1311</v>
      </c>
    </row>
    <row r="2253" spans="9:10" x14ac:dyDescent="0.25">
      <c r="I2253" t="s">
        <v>6453</v>
      </c>
      <c r="J2253" t="s">
        <v>1415</v>
      </c>
    </row>
    <row r="2254" spans="9:10" x14ac:dyDescent="0.25">
      <c r="I2254" t="s">
        <v>313</v>
      </c>
      <c r="J2254" t="s">
        <v>5450</v>
      </c>
    </row>
    <row r="2255" spans="9:10" x14ac:dyDescent="0.25">
      <c r="I2255" t="s">
        <v>313</v>
      </c>
      <c r="J2255" t="s">
        <v>1541</v>
      </c>
    </row>
    <row r="2256" spans="9:10" x14ac:dyDescent="0.25">
      <c r="I2256" t="s">
        <v>6268</v>
      </c>
      <c r="J2256" t="s">
        <v>1319</v>
      </c>
    </row>
    <row r="2257" spans="9:10" x14ac:dyDescent="0.25">
      <c r="I2257" t="s">
        <v>37</v>
      </c>
      <c r="J2257" t="s">
        <v>6602</v>
      </c>
    </row>
    <row r="2258" spans="9:10" x14ac:dyDescent="0.25">
      <c r="I2258" t="s">
        <v>313</v>
      </c>
      <c r="J2258" t="s">
        <v>2850</v>
      </c>
    </row>
    <row r="2259" spans="9:10" x14ac:dyDescent="0.25">
      <c r="I2259" t="s">
        <v>289</v>
      </c>
      <c r="J2259" t="s">
        <v>1000</v>
      </c>
    </row>
    <row r="2260" spans="9:10" x14ac:dyDescent="0.25">
      <c r="I2260" t="s">
        <v>39</v>
      </c>
      <c r="J2260" t="s">
        <v>5477</v>
      </c>
    </row>
    <row r="2261" spans="9:10" x14ac:dyDescent="0.25">
      <c r="I2261" t="s">
        <v>397</v>
      </c>
      <c r="J2261" t="s">
        <v>5495</v>
      </c>
    </row>
    <row r="2262" spans="9:10" x14ac:dyDescent="0.25">
      <c r="I2262" t="s">
        <v>6197</v>
      </c>
      <c r="J2262" t="s">
        <v>6198</v>
      </c>
    </row>
    <row r="2263" spans="9:10" x14ac:dyDescent="0.25">
      <c r="I2263" t="s">
        <v>50</v>
      </c>
      <c r="J2263" t="s">
        <v>919</v>
      </c>
    </row>
    <row r="2264" spans="9:10" x14ac:dyDescent="0.25">
      <c r="I2264" t="s">
        <v>313</v>
      </c>
      <c r="J2264" t="s">
        <v>2369</v>
      </c>
    </row>
    <row r="2265" spans="9:10" x14ac:dyDescent="0.25">
      <c r="I2265" t="s">
        <v>311</v>
      </c>
      <c r="J2265" t="s">
        <v>871</v>
      </c>
    </row>
    <row r="2266" spans="9:10" x14ac:dyDescent="0.25">
      <c r="I2266" t="s">
        <v>254</v>
      </c>
      <c r="J2266" t="s">
        <v>1578</v>
      </c>
    </row>
    <row r="2267" spans="9:10" x14ac:dyDescent="0.25">
      <c r="I2267" t="s">
        <v>254</v>
      </c>
      <c r="J2267" t="s">
        <v>1516</v>
      </c>
    </row>
    <row r="2268" spans="9:10" x14ac:dyDescent="0.25">
      <c r="I2268" t="s">
        <v>397</v>
      </c>
      <c r="J2268" t="s">
        <v>6008</v>
      </c>
    </row>
    <row r="2269" spans="9:10" x14ac:dyDescent="0.25">
      <c r="I2269" t="s">
        <v>37</v>
      </c>
      <c r="J2269" t="s">
        <v>5512</v>
      </c>
    </row>
    <row r="2270" spans="9:10" x14ac:dyDescent="0.25">
      <c r="I2270" t="s">
        <v>313</v>
      </c>
      <c r="J2270" t="s">
        <v>5939</v>
      </c>
    </row>
    <row r="2271" spans="9:10" x14ac:dyDescent="0.25">
      <c r="I2271" t="s">
        <v>6781</v>
      </c>
      <c r="J2271" t="s">
        <v>1592</v>
      </c>
    </row>
    <row r="2272" spans="9:10" x14ac:dyDescent="0.25">
      <c r="I2272" t="s">
        <v>5425</v>
      </c>
      <c r="J2272" t="s">
        <v>878</v>
      </c>
    </row>
    <row r="2273" spans="9:10" x14ac:dyDescent="0.25">
      <c r="I2273" t="s">
        <v>289</v>
      </c>
      <c r="J2273" t="s">
        <v>1571</v>
      </c>
    </row>
    <row r="2274" spans="9:10" x14ac:dyDescent="0.25">
      <c r="I2274" t="s">
        <v>6080</v>
      </c>
      <c r="J2274" t="s">
        <v>1206</v>
      </c>
    </row>
    <row r="2275" spans="9:10" x14ac:dyDescent="0.25">
      <c r="I2275" t="s">
        <v>6259</v>
      </c>
      <c r="J2275" t="s">
        <v>1437</v>
      </c>
    </row>
    <row r="2276" spans="9:10" x14ac:dyDescent="0.25">
      <c r="I2276" t="s">
        <v>254</v>
      </c>
      <c r="J2276" t="s">
        <v>1123</v>
      </c>
    </row>
    <row r="2277" spans="9:10" x14ac:dyDescent="0.25">
      <c r="I2277" t="s">
        <v>39</v>
      </c>
      <c r="J2277" t="s">
        <v>6231</v>
      </c>
    </row>
    <row r="2278" spans="9:10" x14ac:dyDescent="0.25">
      <c r="I2278" t="s">
        <v>6592</v>
      </c>
      <c r="J2278" t="s">
        <v>6593</v>
      </c>
    </row>
    <row r="2279" spans="9:10" x14ac:dyDescent="0.25">
      <c r="I2279" t="s">
        <v>6035</v>
      </c>
      <c r="J2279" t="s">
        <v>2857</v>
      </c>
    </row>
    <row r="2280" spans="9:10" x14ac:dyDescent="0.25">
      <c r="I2280" t="s">
        <v>40</v>
      </c>
      <c r="J2280" t="s">
        <v>1031</v>
      </c>
    </row>
    <row r="2281" spans="9:10" x14ac:dyDescent="0.25">
      <c r="I2281" t="s">
        <v>289</v>
      </c>
      <c r="J2281" t="s">
        <v>1588</v>
      </c>
    </row>
    <row r="2282" spans="9:10" x14ac:dyDescent="0.25">
      <c r="I2282" t="s">
        <v>253</v>
      </c>
      <c r="J2282" t="s">
        <v>5265</v>
      </c>
    </row>
    <row r="2283" spans="9:10" x14ac:dyDescent="0.25">
      <c r="I2283" t="s">
        <v>311</v>
      </c>
      <c r="J2283" t="s">
        <v>1118</v>
      </c>
    </row>
    <row r="2284" spans="9:10" x14ac:dyDescent="0.25">
      <c r="I2284" t="s">
        <v>276</v>
      </c>
      <c r="J2284" t="s">
        <v>836</v>
      </c>
    </row>
    <row r="2285" spans="9:10" x14ac:dyDescent="0.25">
      <c r="I2285" t="s">
        <v>39</v>
      </c>
      <c r="J2285" t="s">
        <v>2994</v>
      </c>
    </row>
    <row r="2286" spans="9:10" x14ac:dyDescent="0.25">
      <c r="I2286" t="s">
        <v>311</v>
      </c>
      <c r="J2286" t="s">
        <v>1515</v>
      </c>
    </row>
    <row r="2287" spans="9:10" x14ac:dyDescent="0.25">
      <c r="I2287" t="s">
        <v>253</v>
      </c>
      <c r="J2287" t="s">
        <v>807</v>
      </c>
    </row>
    <row r="2288" spans="9:10" x14ac:dyDescent="0.25">
      <c r="I2288" t="s">
        <v>6633</v>
      </c>
      <c r="J2288" t="s">
        <v>2955</v>
      </c>
    </row>
    <row r="2289" spans="9:10" x14ac:dyDescent="0.25">
      <c r="I2289" t="s">
        <v>6363</v>
      </c>
      <c r="J2289" t="s">
        <v>2908</v>
      </c>
    </row>
    <row r="2290" spans="9:10" x14ac:dyDescent="0.25">
      <c r="I2290" t="s">
        <v>5663</v>
      </c>
      <c r="J2290" t="s">
        <v>994</v>
      </c>
    </row>
    <row r="2291" spans="9:10" x14ac:dyDescent="0.25">
      <c r="I2291" t="s">
        <v>6036</v>
      </c>
      <c r="J2291" t="s">
        <v>6037</v>
      </c>
    </row>
    <row r="2292" spans="9:10" x14ac:dyDescent="0.25">
      <c r="I2292" t="s">
        <v>5538</v>
      </c>
      <c r="J2292" t="s">
        <v>5539</v>
      </c>
    </row>
    <row r="2293" spans="9:10" x14ac:dyDescent="0.25">
      <c r="I2293" t="s">
        <v>15</v>
      </c>
      <c r="J2293" t="s">
        <v>2852</v>
      </c>
    </row>
    <row r="2294" spans="9:10" x14ac:dyDescent="0.25">
      <c r="I2294" t="s">
        <v>5621</v>
      </c>
      <c r="J2294" t="s">
        <v>2816</v>
      </c>
    </row>
    <row r="2295" spans="9:10" x14ac:dyDescent="0.25">
      <c r="I2295" t="s">
        <v>39</v>
      </c>
      <c r="J2295" t="s">
        <v>2875</v>
      </c>
    </row>
    <row r="2296" spans="9:10" x14ac:dyDescent="0.25">
      <c r="I2296" t="s">
        <v>273</v>
      </c>
      <c r="J2296" t="s">
        <v>1276</v>
      </c>
    </row>
    <row r="2297" spans="9:10" x14ac:dyDescent="0.25">
      <c r="I2297" t="s">
        <v>253</v>
      </c>
      <c r="J2297" t="s">
        <v>1144</v>
      </c>
    </row>
    <row r="2298" spans="9:10" x14ac:dyDescent="0.25">
      <c r="I2298" t="s">
        <v>6015</v>
      </c>
      <c r="J2298" t="s">
        <v>1175</v>
      </c>
    </row>
    <row r="2299" spans="9:10" x14ac:dyDescent="0.25">
      <c r="I2299" t="s">
        <v>37</v>
      </c>
      <c r="J2299" t="s">
        <v>5253</v>
      </c>
    </row>
    <row r="2300" spans="9:10" x14ac:dyDescent="0.25">
      <c r="I2300" t="s">
        <v>311</v>
      </c>
      <c r="J2300" t="s">
        <v>912</v>
      </c>
    </row>
    <row r="2301" spans="9:10" x14ac:dyDescent="0.25">
      <c r="I2301" t="s">
        <v>37</v>
      </c>
      <c r="J2301" t="s">
        <v>6821</v>
      </c>
    </row>
    <row r="2302" spans="9:10" x14ac:dyDescent="0.25">
      <c r="I2302" t="s">
        <v>5496</v>
      </c>
      <c r="J2302" t="s">
        <v>5497</v>
      </c>
    </row>
    <row r="2303" spans="9:10" x14ac:dyDescent="0.25">
      <c r="I2303" t="s">
        <v>39</v>
      </c>
      <c r="J2303" t="s">
        <v>2865</v>
      </c>
    </row>
    <row r="2304" spans="9:10" x14ac:dyDescent="0.25">
      <c r="I2304" t="s">
        <v>5923</v>
      </c>
      <c r="J2304" t="s">
        <v>1126</v>
      </c>
    </row>
    <row r="2305" spans="9:10" x14ac:dyDescent="0.25">
      <c r="I2305" t="s">
        <v>5655</v>
      </c>
      <c r="J2305" t="s">
        <v>985</v>
      </c>
    </row>
    <row r="2306" spans="9:10" x14ac:dyDescent="0.25">
      <c r="I2306" t="s">
        <v>253</v>
      </c>
      <c r="J2306" t="s">
        <v>911</v>
      </c>
    </row>
    <row r="2307" spans="9:10" x14ac:dyDescent="0.25">
      <c r="I2307" t="s">
        <v>394</v>
      </c>
      <c r="J2307" t="s">
        <v>1321</v>
      </c>
    </row>
    <row r="2308" spans="9:10" x14ac:dyDescent="0.25">
      <c r="I2308" t="s">
        <v>551</v>
      </c>
      <c r="J2308" t="s">
        <v>2931</v>
      </c>
    </row>
    <row r="2309" spans="9:10" x14ac:dyDescent="0.25">
      <c r="I2309" t="s">
        <v>394</v>
      </c>
      <c r="J2309" t="s">
        <v>5687</v>
      </c>
    </row>
    <row r="2310" spans="9:10" x14ac:dyDescent="0.25">
      <c r="I2310" t="s">
        <v>6331</v>
      </c>
      <c r="J2310" t="s">
        <v>1359</v>
      </c>
    </row>
    <row r="2311" spans="9:10" x14ac:dyDescent="0.25">
      <c r="I2311" t="s">
        <v>5743</v>
      </c>
      <c r="J2311" t="s">
        <v>5744</v>
      </c>
    </row>
    <row r="2312" spans="9:10" x14ac:dyDescent="0.25">
      <c r="I2312" t="s">
        <v>2739</v>
      </c>
      <c r="J2312" t="s">
        <v>3905</v>
      </c>
    </row>
    <row r="2313" spans="9:10" x14ac:dyDescent="0.25">
      <c r="I2313" t="s">
        <v>45</v>
      </c>
      <c r="J2313" t="s">
        <v>1005</v>
      </c>
    </row>
    <row r="2314" spans="9:10" x14ac:dyDescent="0.25">
      <c r="I2314" t="s">
        <v>394</v>
      </c>
      <c r="J2314" t="s">
        <v>1018</v>
      </c>
    </row>
    <row r="2315" spans="9:10" x14ac:dyDescent="0.25">
      <c r="I2315" t="s">
        <v>254</v>
      </c>
      <c r="J2315" t="s">
        <v>5379</v>
      </c>
    </row>
    <row r="2316" spans="9:10" x14ac:dyDescent="0.25">
      <c r="I2316" t="s">
        <v>394</v>
      </c>
      <c r="J2316" t="s">
        <v>2819</v>
      </c>
    </row>
    <row r="2317" spans="9:10" x14ac:dyDescent="0.25">
      <c r="I2317" t="s">
        <v>313</v>
      </c>
      <c r="J2317" t="s">
        <v>1274</v>
      </c>
    </row>
    <row r="2318" spans="9:10" x14ac:dyDescent="0.25">
      <c r="I2318" t="s">
        <v>280</v>
      </c>
      <c r="J2318" t="s">
        <v>1322</v>
      </c>
    </row>
    <row r="2319" spans="9:10" x14ac:dyDescent="0.25">
      <c r="I2319" t="s">
        <v>401</v>
      </c>
      <c r="J2319" t="s">
        <v>1398</v>
      </c>
    </row>
    <row r="2320" spans="9:10" x14ac:dyDescent="0.25">
      <c r="I2320" t="s">
        <v>37</v>
      </c>
      <c r="J2320" t="s">
        <v>6807</v>
      </c>
    </row>
    <row r="2321" spans="9:10" x14ac:dyDescent="0.25">
      <c r="I2321" t="s">
        <v>37</v>
      </c>
      <c r="J2321" t="s">
        <v>6566</v>
      </c>
    </row>
    <row r="2322" spans="9:10" x14ac:dyDescent="0.25">
      <c r="I2322" t="s">
        <v>306</v>
      </c>
      <c r="J2322" t="s">
        <v>1054</v>
      </c>
    </row>
    <row r="2323" spans="9:10" x14ac:dyDescent="0.25">
      <c r="I2323" t="s">
        <v>5451</v>
      </c>
      <c r="J2323" t="s">
        <v>889</v>
      </c>
    </row>
    <row r="2324" spans="9:10" x14ac:dyDescent="0.25">
      <c r="I2324" t="s">
        <v>254</v>
      </c>
      <c r="J2324" t="s">
        <v>6615</v>
      </c>
    </row>
    <row r="2325" spans="9:10" x14ac:dyDescent="0.25">
      <c r="I2325" t="s">
        <v>280</v>
      </c>
      <c r="J2325" t="s">
        <v>850</v>
      </c>
    </row>
    <row r="2326" spans="9:10" x14ac:dyDescent="0.25">
      <c r="I2326" t="s">
        <v>253</v>
      </c>
      <c r="J2326" t="s">
        <v>5982</v>
      </c>
    </row>
    <row r="2327" spans="9:10" x14ac:dyDescent="0.25">
      <c r="I2327" t="s">
        <v>278</v>
      </c>
      <c r="J2327" t="s">
        <v>1506</v>
      </c>
    </row>
    <row r="2328" spans="9:10" x14ac:dyDescent="0.25">
      <c r="I2328" t="s">
        <v>273</v>
      </c>
      <c r="J2328" t="s">
        <v>1539</v>
      </c>
    </row>
    <row r="2329" spans="9:10" x14ac:dyDescent="0.25">
      <c r="I2329" t="s">
        <v>4438</v>
      </c>
      <c r="J2329" t="s">
        <v>6227</v>
      </c>
    </row>
    <row r="2330" spans="9:10" x14ac:dyDescent="0.25">
      <c r="I2330" t="s">
        <v>347</v>
      </c>
      <c r="J2330" t="s">
        <v>905</v>
      </c>
    </row>
    <row r="2331" spans="9:10" x14ac:dyDescent="0.25">
      <c r="I2331" t="s">
        <v>6533</v>
      </c>
      <c r="J2331" t="s">
        <v>6534</v>
      </c>
    </row>
    <row r="2332" spans="9:10" x14ac:dyDescent="0.25">
      <c r="I2332" t="s">
        <v>551</v>
      </c>
      <c r="J2332" t="s">
        <v>6021</v>
      </c>
    </row>
    <row r="2333" spans="9:10" x14ac:dyDescent="0.25">
      <c r="I2333" t="s">
        <v>6663</v>
      </c>
      <c r="J2333" t="s">
        <v>4102</v>
      </c>
    </row>
    <row r="2334" spans="9:10" x14ac:dyDescent="0.25">
      <c r="I2334" t="s">
        <v>394</v>
      </c>
      <c r="J2334" t="s">
        <v>2524</v>
      </c>
    </row>
    <row r="2335" spans="9:10" x14ac:dyDescent="0.25">
      <c r="I2335" t="s">
        <v>311</v>
      </c>
      <c r="J2335" t="s">
        <v>879</v>
      </c>
    </row>
    <row r="2336" spans="9:10" x14ac:dyDescent="0.25">
      <c r="I2336" t="s">
        <v>5309</v>
      </c>
      <c r="J2336" t="s">
        <v>1164</v>
      </c>
    </row>
    <row r="2337" spans="9:10" x14ac:dyDescent="0.25">
      <c r="I2337" t="s">
        <v>6006</v>
      </c>
      <c r="J2337" t="s">
        <v>4133</v>
      </c>
    </row>
    <row r="2338" spans="9:10" x14ac:dyDescent="0.25">
      <c r="I2338" t="s">
        <v>280</v>
      </c>
      <c r="J2338" t="s">
        <v>5235</v>
      </c>
    </row>
    <row r="2339" spans="9:10" x14ac:dyDescent="0.25">
      <c r="I2339" t="s">
        <v>44</v>
      </c>
      <c r="J2339" t="s">
        <v>6052</v>
      </c>
    </row>
    <row r="2340" spans="9:10" x14ac:dyDescent="0.25">
      <c r="I2340" t="s">
        <v>123</v>
      </c>
      <c r="J2340" t="s">
        <v>6284</v>
      </c>
    </row>
    <row r="2341" spans="9:10" x14ac:dyDescent="0.25">
      <c r="I2341" t="s">
        <v>313</v>
      </c>
      <c r="J2341" t="s">
        <v>6326</v>
      </c>
    </row>
    <row r="2342" spans="9:10" x14ac:dyDescent="0.25">
      <c r="I2342" t="s">
        <v>280</v>
      </c>
      <c r="J2342" t="s">
        <v>867</v>
      </c>
    </row>
    <row r="2343" spans="9:10" x14ac:dyDescent="0.25">
      <c r="I2343" t="s">
        <v>254</v>
      </c>
      <c r="J2343" t="s">
        <v>6111</v>
      </c>
    </row>
    <row r="2344" spans="9:10" x14ac:dyDescent="0.25">
      <c r="I2344" t="s">
        <v>39</v>
      </c>
      <c r="J2344" t="s">
        <v>2797</v>
      </c>
    </row>
    <row r="2345" spans="9:10" x14ac:dyDescent="0.25">
      <c r="I2345" t="s">
        <v>551</v>
      </c>
      <c r="J2345" t="s">
        <v>8000</v>
      </c>
    </row>
    <row r="2346" spans="9:10" x14ac:dyDescent="0.25">
      <c r="I2346" t="s">
        <v>551</v>
      </c>
      <c r="J2346" t="s">
        <v>1116</v>
      </c>
    </row>
    <row r="2347" spans="9:10" x14ac:dyDescent="0.25">
      <c r="I2347" t="s">
        <v>289</v>
      </c>
      <c r="J2347" t="s">
        <v>1626</v>
      </c>
    </row>
    <row r="2348" spans="9:10" x14ac:dyDescent="0.25">
      <c r="I2348" t="s">
        <v>5741</v>
      </c>
      <c r="J2348" t="s">
        <v>1435</v>
      </c>
    </row>
    <row r="2349" spans="9:10" x14ac:dyDescent="0.25">
      <c r="I2349" t="s">
        <v>356</v>
      </c>
      <c r="J2349" t="s">
        <v>3920</v>
      </c>
    </row>
    <row r="2350" spans="9:10" x14ac:dyDescent="0.25">
      <c r="I2350" t="s">
        <v>295</v>
      </c>
      <c r="J2350" t="s">
        <v>6517</v>
      </c>
    </row>
    <row r="2351" spans="9:10" x14ac:dyDescent="0.25">
      <c r="I2351" t="s">
        <v>91</v>
      </c>
      <c r="J2351" t="s">
        <v>1156</v>
      </c>
    </row>
    <row r="2352" spans="9:10" x14ac:dyDescent="0.25">
      <c r="I2352" t="s">
        <v>5236</v>
      </c>
      <c r="J2352" t="s">
        <v>1141</v>
      </c>
    </row>
    <row r="2353" spans="9:10" x14ac:dyDescent="0.25">
      <c r="I2353" t="s">
        <v>253</v>
      </c>
      <c r="J2353" t="s">
        <v>6505</v>
      </c>
    </row>
    <row r="2354" spans="9:10" x14ac:dyDescent="0.25">
      <c r="I2354" t="s">
        <v>6398</v>
      </c>
      <c r="J2354" t="s">
        <v>1134</v>
      </c>
    </row>
    <row r="2355" spans="9:10" x14ac:dyDescent="0.25">
      <c r="I2355" t="s">
        <v>280</v>
      </c>
      <c r="J2355" t="s">
        <v>5502</v>
      </c>
    </row>
    <row r="2356" spans="9:10" x14ac:dyDescent="0.25">
      <c r="I2356" t="s">
        <v>273</v>
      </c>
      <c r="J2356" t="s">
        <v>1334</v>
      </c>
    </row>
    <row r="2357" spans="9:10" x14ac:dyDescent="0.25">
      <c r="I2357" t="s">
        <v>40</v>
      </c>
      <c r="J2357" t="s">
        <v>1463</v>
      </c>
    </row>
    <row r="2358" spans="9:10" x14ac:dyDescent="0.25">
      <c r="I2358" t="s">
        <v>4438</v>
      </c>
      <c r="J2358" t="s">
        <v>5388</v>
      </c>
    </row>
    <row r="2359" spans="9:10" x14ac:dyDescent="0.25">
      <c r="I2359" t="s">
        <v>3861</v>
      </c>
      <c r="J2359" t="s">
        <v>4114</v>
      </c>
    </row>
    <row r="2360" spans="9:10" x14ac:dyDescent="0.25">
      <c r="I2360" t="s">
        <v>254</v>
      </c>
      <c r="J2360" t="s">
        <v>6489</v>
      </c>
    </row>
    <row r="2361" spans="9:10" x14ac:dyDescent="0.25">
      <c r="I2361" t="s">
        <v>394</v>
      </c>
      <c r="J2361" t="s">
        <v>1100</v>
      </c>
    </row>
    <row r="2362" spans="9:10" x14ac:dyDescent="0.25">
      <c r="I2362" t="s">
        <v>123</v>
      </c>
      <c r="J2362" t="s">
        <v>6034</v>
      </c>
    </row>
    <row r="2363" spans="9:10" x14ac:dyDescent="0.25">
      <c r="I2363" t="s">
        <v>5920</v>
      </c>
      <c r="J2363" t="s">
        <v>1122</v>
      </c>
    </row>
    <row r="2364" spans="9:10" x14ac:dyDescent="0.25">
      <c r="I2364" t="s">
        <v>347</v>
      </c>
      <c r="J2364" t="s">
        <v>1375</v>
      </c>
    </row>
    <row r="2365" spans="9:10" x14ac:dyDescent="0.25">
      <c r="I2365" t="s">
        <v>276</v>
      </c>
      <c r="J2365" t="s">
        <v>6434</v>
      </c>
    </row>
    <row r="2366" spans="9:10" x14ac:dyDescent="0.25">
      <c r="I2366" t="s">
        <v>276</v>
      </c>
      <c r="J2366" t="s">
        <v>6120</v>
      </c>
    </row>
    <row r="2367" spans="9:10" x14ac:dyDescent="0.25">
      <c r="I2367" t="s">
        <v>46</v>
      </c>
      <c r="J2367" t="s">
        <v>2481</v>
      </c>
    </row>
    <row r="2368" spans="9:10" x14ac:dyDescent="0.25">
      <c r="I2368" t="s">
        <v>5309</v>
      </c>
      <c r="J2368" t="s">
        <v>935</v>
      </c>
    </row>
    <row r="2369" spans="9:10" x14ac:dyDescent="0.25">
      <c r="I2369" t="s">
        <v>39</v>
      </c>
      <c r="J2369" t="s">
        <v>5850</v>
      </c>
    </row>
    <row r="2370" spans="9:10" x14ac:dyDescent="0.25">
      <c r="I2370" t="s">
        <v>313</v>
      </c>
      <c r="J2370" t="s">
        <v>909</v>
      </c>
    </row>
    <row r="2371" spans="9:10" x14ac:dyDescent="0.25">
      <c r="I2371" t="s">
        <v>394</v>
      </c>
      <c r="J2371" t="s">
        <v>998</v>
      </c>
    </row>
    <row r="2372" spans="9:10" x14ac:dyDescent="0.25">
      <c r="I2372" t="s">
        <v>551</v>
      </c>
      <c r="J2372" t="s">
        <v>5731</v>
      </c>
    </row>
    <row r="2373" spans="9:10" x14ac:dyDescent="0.25">
      <c r="I2373" t="s">
        <v>356</v>
      </c>
      <c r="J2373" t="s">
        <v>3878</v>
      </c>
    </row>
    <row r="2374" spans="9:10" x14ac:dyDescent="0.25">
      <c r="I2374" t="s">
        <v>4943</v>
      </c>
      <c r="J2374" t="s">
        <v>6064</v>
      </c>
    </row>
    <row r="2375" spans="9:10" x14ac:dyDescent="0.25">
      <c r="I2375" t="s">
        <v>40</v>
      </c>
      <c r="J2375" t="s">
        <v>6406</v>
      </c>
    </row>
    <row r="2376" spans="9:10" x14ac:dyDescent="0.25">
      <c r="I2376" t="s">
        <v>311</v>
      </c>
      <c r="J2376" t="s">
        <v>1139</v>
      </c>
    </row>
    <row r="2377" spans="9:10" x14ac:dyDescent="0.25">
      <c r="I2377" t="s">
        <v>3892</v>
      </c>
      <c r="J2377" t="s">
        <v>4050</v>
      </c>
    </row>
    <row r="2378" spans="9:10" x14ac:dyDescent="0.25">
      <c r="I2378" t="s">
        <v>313</v>
      </c>
      <c r="J2378" t="s">
        <v>6325</v>
      </c>
    </row>
    <row r="2379" spans="9:10" x14ac:dyDescent="0.25">
      <c r="I2379" t="s">
        <v>5475</v>
      </c>
      <c r="J2379" t="s">
        <v>2380</v>
      </c>
    </row>
    <row r="2380" spans="9:10" x14ac:dyDescent="0.25">
      <c r="I2380" t="s">
        <v>6114</v>
      </c>
      <c r="J2380" t="s">
        <v>1226</v>
      </c>
    </row>
    <row r="2381" spans="9:10" x14ac:dyDescent="0.25">
      <c r="I2381" t="s">
        <v>5631</v>
      </c>
      <c r="J2381" t="s">
        <v>6742</v>
      </c>
    </row>
    <row r="2382" spans="9:10" x14ac:dyDescent="0.25">
      <c r="I2382" t="s">
        <v>122</v>
      </c>
      <c r="J2382" t="s">
        <v>5877</v>
      </c>
    </row>
    <row r="2383" spans="9:10" x14ac:dyDescent="0.25">
      <c r="I2383" t="s">
        <v>336</v>
      </c>
      <c r="J2383" t="s">
        <v>6270</v>
      </c>
    </row>
    <row r="2384" spans="9:10" x14ac:dyDescent="0.25">
      <c r="I2384" t="s">
        <v>4789</v>
      </c>
      <c r="J2384" t="s">
        <v>852</v>
      </c>
    </row>
    <row r="2385" spans="9:10" x14ac:dyDescent="0.25">
      <c r="I2385" t="s">
        <v>397</v>
      </c>
      <c r="J2385" t="s">
        <v>4010</v>
      </c>
    </row>
    <row r="2386" spans="9:10" x14ac:dyDescent="0.25">
      <c r="I2386" t="s">
        <v>254</v>
      </c>
      <c r="J2386" t="s">
        <v>6168</v>
      </c>
    </row>
    <row r="2387" spans="9:10" x14ac:dyDescent="0.25">
      <c r="I2387" t="s">
        <v>397</v>
      </c>
      <c r="J2387" t="s">
        <v>4020</v>
      </c>
    </row>
    <row r="2388" spans="9:10" x14ac:dyDescent="0.25">
      <c r="I2388" t="s">
        <v>36</v>
      </c>
      <c r="J2388" t="s">
        <v>5862</v>
      </c>
    </row>
    <row r="2389" spans="9:10" x14ac:dyDescent="0.25">
      <c r="I2389" t="s">
        <v>5243</v>
      </c>
      <c r="J2389" t="s">
        <v>5244</v>
      </c>
    </row>
    <row r="2390" spans="9:10" x14ac:dyDescent="0.25">
      <c r="I2390" t="s">
        <v>5391</v>
      </c>
      <c r="J2390" t="s">
        <v>3991</v>
      </c>
    </row>
    <row r="2391" spans="9:10" x14ac:dyDescent="0.25">
      <c r="I2391" t="s">
        <v>39</v>
      </c>
      <c r="J2391" t="s">
        <v>2374</v>
      </c>
    </row>
    <row r="2392" spans="9:10" x14ac:dyDescent="0.25">
      <c r="I2392" t="s">
        <v>123</v>
      </c>
      <c r="J2392" t="s">
        <v>6423</v>
      </c>
    </row>
    <row r="2393" spans="9:10" x14ac:dyDescent="0.25">
      <c r="I2393" t="s">
        <v>6097</v>
      </c>
      <c r="J2393" t="s">
        <v>6098</v>
      </c>
    </row>
    <row r="2394" spans="9:10" x14ac:dyDescent="0.25">
      <c r="I2394" t="s">
        <v>44</v>
      </c>
      <c r="J2394" t="s">
        <v>6424</v>
      </c>
    </row>
    <row r="2395" spans="9:10" x14ac:dyDescent="0.25">
      <c r="I2395" t="s">
        <v>37</v>
      </c>
      <c r="J2395" t="s">
        <v>5826</v>
      </c>
    </row>
    <row r="2396" spans="9:10" x14ac:dyDescent="0.25">
      <c r="I2396" t="s">
        <v>280</v>
      </c>
      <c r="J2396" t="s">
        <v>5590</v>
      </c>
    </row>
    <row r="2397" spans="9:10" x14ac:dyDescent="0.25">
      <c r="I2397" t="s">
        <v>5918</v>
      </c>
      <c r="J2397" t="s">
        <v>2492</v>
      </c>
    </row>
    <row r="2398" spans="9:10" x14ac:dyDescent="0.25">
      <c r="I2398" t="s">
        <v>289</v>
      </c>
      <c r="J2398" t="s">
        <v>1564</v>
      </c>
    </row>
    <row r="2399" spans="9:10" x14ac:dyDescent="0.25">
      <c r="I2399" t="s">
        <v>289</v>
      </c>
      <c r="J2399" t="s">
        <v>6877</v>
      </c>
    </row>
    <row r="2400" spans="9:10" x14ac:dyDescent="0.25">
      <c r="I2400" t="s">
        <v>5250</v>
      </c>
      <c r="J2400" t="s">
        <v>4058</v>
      </c>
    </row>
    <row r="2401" spans="9:10" x14ac:dyDescent="0.25">
      <c r="I2401" t="s">
        <v>37</v>
      </c>
      <c r="J2401" t="s">
        <v>6062</v>
      </c>
    </row>
    <row r="2402" spans="9:10" x14ac:dyDescent="0.25">
      <c r="I2402" t="s">
        <v>257</v>
      </c>
      <c r="J2402" t="s">
        <v>5592</v>
      </c>
    </row>
    <row r="2403" spans="9:10" x14ac:dyDescent="0.25">
      <c r="I2403" t="s">
        <v>5598</v>
      </c>
      <c r="J2403" t="s">
        <v>3931</v>
      </c>
    </row>
    <row r="2404" spans="9:10" x14ac:dyDescent="0.25">
      <c r="I2404" t="s">
        <v>419</v>
      </c>
      <c r="J2404" t="s">
        <v>6608</v>
      </c>
    </row>
    <row r="2405" spans="9:10" x14ac:dyDescent="0.25">
      <c r="I2405" t="s">
        <v>4438</v>
      </c>
      <c r="J2405" t="s">
        <v>5747</v>
      </c>
    </row>
    <row r="2406" spans="9:10" x14ac:dyDescent="0.25">
      <c r="I2406" t="s">
        <v>313</v>
      </c>
      <c r="J2406" t="s">
        <v>7992</v>
      </c>
    </row>
    <row r="2407" spans="9:10" x14ac:dyDescent="0.25">
      <c r="I2407" t="s">
        <v>6429</v>
      </c>
      <c r="J2407" t="s">
        <v>1408</v>
      </c>
    </row>
    <row r="2408" spans="9:10" x14ac:dyDescent="0.25">
      <c r="I2408" t="s">
        <v>318</v>
      </c>
      <c r="J2408" t="s">
        <v>5863</v>
      </c>
    </row>
    <row r="2409" spans="9:10" x14ac:dyDescent="0.25">
      <c r="I2409" t="s">
        <v>4438</v>
      </c>
      <c r="J2409" t="s">
        <v>6216</v>
      </c>
    </row>
    <row r="2410" spans="9:10" x14ac:dyDescent="0.25">
      <c r="I2410" t="s">
        <v>401</v>
      </c>
      <c r="J2410" t="s">
        <v>5281</v>
      </c>
    </row>
    <row r="2411" spans="9:10" x14ac:dyDescent="0.25">
      <c r="I2411" t="s">
        <v>5309</v>
      </c>
      <c r="J2411" t="s">
        <v>2513</v>
      </c>
    </row>
    <row r="2412" spans="9:10" x14ac:dyDescent="0.25">
      <c r="I2412" t="s">
        <v>419</v>
      </c>
      <c r="J2412" t="s">
        <v>6636</v>
      </c>
    </row>
    <row r="2413" spans="9:10" x14ac:dyDescent="0.25">
      <c r="I2413" t="s">
        <v>36</v>
      </c>
      <c r="J2413" t="s">
        <v>5974</v>
      </c>
    </row>
    <row r="2414" spans="9:10" x14ac:dyDescent="0.25">
      <c r="I2414" t="s">
        <v>37</v>
      </c>
      <c r="J2414" t="s">
        <v>5335</v>
      </c>
    </row>
    <row r="2415" spans="9:10" x14ac:dyDescent="0.25">
      <c r="I2415" t="s">
        <v>276</v>
      </c>
      <c r="J2415" t="s">
        <v>5924</v>
      </c>
    </row>
    <row r="2416" spans="9:10" x14ac:dyDescent="0.25">
      <c r="I2416" t="s">
        <v>276</v>
      </c>
      <c r="J2416" t="s">
        <v>5909</v>
      </c>
    </row>
    <row r="2417" spans="9:10" x14ac:dyDescent="0.25">
      <c r="I2417" t="s">
        <v>313</v>
      </c>
      <c r="J2417" t="s">
        <v>1030</v>
      </c>
    </row>
    <row r="2418" spans="9:10" x14ac:dyDescent="0.25">
      <c r="I2418" t="s">
        <v>6011</v>
      </c>
      <c r="J2418" t="s">
        <v>2495</v>
      </c>
    </row>
    <row r="2419" spans="9:10" x14ac:dyDescent="0.25">
      <c r="I2419" t="s">
        <v>5323</v>
      </c>
      <c r="J2419" t="s">
        <v>824</v>
      </c>
    </row>
    <row r="2420" spans="9:10" x14ac:dyDescent="0.25">
      <c r="I2420" t="s">
        <v>6684</v>
      </c>
      <c r="J2420" t="s">
        <v>2964</v>
      </c>
    </row>
    <row r="2421" spans="9:10" x14ac:dyDescent="0.25">
      <c r="I2421" t="s">
        <v>306</v>
      </c>
      <c r="J2421" t="s">
        <v>6171</v>
      </c>
    </row>
    <row r="2422" spans="9:10" x14ac:dyDescent="0.25">
      <c r="I2422" t="s">
        <v>289</v>
      </c>
      <c r="J2422" t="s">
        <v>1569</v>
      </c>
    </row>
    <row r="2423" spans="9:10" x14ac:dyDescent="0.25">
      <c r="I2423" t="s">
        <v>419</v>
      </c>
      <c r="J2423" t="s">
        <v>6497</v>
      </c>
    </row>
    <row r="2424" spans="9:10" x14ac:dyDescent="0.25">
      <c r="I2424" t="s">
        <v>39</v>
      </c>
      <c r="J2424" t="s">
        <v>5745</v>
      </c>
    </row>
    <row r="2425" spans="9:10" x14ac:dyDescent="0.25">
      <c r="I2425" t="s">
        <v>40</v>
      </c>
      <c r="J2425" t="s">
        <v>6438</v>
      </c>
    </row>
    <row r="2426" spans="9:10" x14ac:dyDescent="0.25">
      <c r="I2426" t="s">
        <v>5372</v>
      </c>
      <c r="J2426" t="s">
        <v>3900</v>
      </c>
    </row>
    <row r="2427" spans="9:10" x14ac:dyDescent="0.25">
      <c r="I2427" t="s">
        <v>2450</v>
      </c>
      <c r="J2427" t="s">
        <v>6692</v>
      </c>
    </row>
    <row r="2428" spans="9:10" x14ac:dyDescent="0.25">
      <c r="I2428" t="s">
        <v>289</v>
      </c>
      <c r="J2428" t="s">
        <v>1574</v>
      </c>
    </row>
    <row r="2429" spans="9:10" x14ac:dyDescent="0.25">
      <c r="I2429" t="s">
        <v>6006</v>
      </c>
      <c r="J2429" t="s">
        <v>3999</v>
      </c>
    </row>
    <row r="2430" spans="9:10" x14ac:dyDescent="0.25">
      <c r="I2430" t="s">
        <v>5309</v>
      </c>
      <c r="J2430" t="s">
        <v>1063</v>
      </c>
    </row>
    <row r="2431" spans="9:10" x14ac:dyDescent="0.25">
      <c r="I2431" t="s">
        <v>2450</v>
      </c>
      <c r="J2431" t="s">
        <v>6628</v>
      </c>
    </row>
    <row r="2432" spans="9:10" x14ac:dyDescent="0.25">
      <c r="I2432" t="s">
        <v>419</v>
      </c>
      <c r="J2432" t="s">
        <v>6576</v>
      </c>
    </row>
    <row r="2433" spans="9:10" x14ac:dyDescent="0.25">
      <c r="I2433" t="s">
        <v>313</v>
      </c>
      <c r="J2433" t="s">
        <v>1211</v>
      </c>
    </row>
    <row r="2434" spans="9:10" x14ac:dyDescent="0.25">
      <c r="I2434" t="s">
        <v>123</v>
      </c>
      <c r="J2434" t="s">
        <v>6865</v>
      </c>
    </row>
    <row r="2435" spans="9:10" x14ac:dyDescent="0.25">
      <c r="I2435" t="s">
        <v>2450</v>
      </c>
      <c r="J2435" t="s">
        <v>6454</v>
      </c>
    </row>
    <row r="2436" spans="9:10" x14ac:dyDescent="0.25">
      <c r="I2436" t="s">
        <v>419</v>
      </c>
      <c r="J2436" t="s">
        <v>6719</v>
      </c>
    </row>
    <row r="2437" spans="9:10" x14ac:dyDescent="0.25">
      <c r="I2437" t="s">
        <v>419</v>
      </c>
      <c r="J2437" t="s">
        <v>6280</v>
      </c>
    </row>
    <row r="2438" spans="9:10" x14ac:dyDescent="0.25">
      <c r="I2438" t="s">
        <v>3861</v>
      </c>
      <c r="J2438" t="s">
        <v>3929</v>
      </c>
    </row>
    <row r="2439" spans="9:10" x14ac:dyDescent="0.25">
      <c r="I2439" t="s">
        <v>123</v>
      </c>
      <c r="J2439" t="s">
        <v>6837</v>
      </c>
    </row>
    <row r="2440" spans="9:10" x14ac:dyDescent="0.25">
      <c r="I2440" t="s">
        <v>44</v>
      </c>
      <c r="J2440" t="s">
        <v>6026</v>
      </c>
    </row>
    <row r="2441" spans="9:10" x14ac:dyDescent="0.25">
      <c r="I2441" t="s">
        <v>280</v>
      </c>
      <c r="J2441" t="s">
        <v>5981</v>
      </c>
    </row>
    <row r="2442" spans="9:10" x14ac:dyDescent="0.25">
      <c r="I2442" t="s">
        <v>39</v>
      </c>
      <c r="J2442" t="s">
        <v>5988</v>
      </c>
    </row>
    <row r="2443" spans="9:10" x14ac:dyDescent="0.25">
      <c r="I2443" t="s">
        <v>419</v>
      </c>
      <c r="J2443" t="s">
        <v>6079</v>
      </c>
    </row>
    <row r="2444" spans="9:10" x14ac:dyDescent="0.25">
      <c r="I2444" t="s">
        <v>39</v>
      </c>
      <c r="J2444" t="s">
        <v>6350</v>
      </c>
    </row>
    <row r="2445" spans="9:10" x14ac:dyDescent="0.25">
      <c r="I2445" t="s">
        <v>3861</v>
      </c>
      <c r="J2445" t="s">
        <v>4115</v>
      </c>
    </row>
    <row r="2446" spans="9:10" x14ac:dyDescent="0.25">
      <c r="I2446" t="s">
        <v>40</v>
      </c>
      <c r="J2446" t="s">
        <v>6490</v>
      </c>
    </row>
    <row r="2447" spans="9:10" x14ac:dyDescent="0.25">
      <c r="I2447" t="s">
        <v>551</v>
      </c>
      <c r="J2447" t="s">
        <v>5869</v>
      </c>
    </row>
    <row r="2448" spans="9:10" x14ac:dyDescent="0.25">
      <c r="I2448" t="s">
        <v>280</v>
      </c>
      <c r="J2448" t="s">
        <v>5878</v>
      </c>
    </row>
    <row r="2449" spans="9:10" x14ac:dyDescent="0.25">
      <c r="I2449" t="s">
        <v>2450</v>
      </c>
      <c r="J2449" t="s">
        <v>6081</v>
      </c>
    </row>
    <row r="2450" spans="9:10" x14ac:dyDescent="0.25">
      <c r="I2450" t="s">
        <v>399</v>
      </c>
      <c r="J2450" t="s">
        <v>6334</v>
      </c>
    </row>
    <row r="2451" spans="9:10" x14ac:dyDescent="0.25">
      <c r="I2451" t="s">
        <v>419</v>
      </c>
      <c r="J2451" t="s">
        <v>6760</v>
      </c>
    </row>
    <row r="2452" spans="9:10" x14ac:dyDescent="0.25">
      <c r="I2452" t="s">
        <v>551</v>
      </c>
      <c r="J2452" t="s">
        <v>6366</v>
      </c>
    </row>
    <row r="2453" spans="9:10" x14ac:dyDescent="0.25">
      <c r="I2453" t="s">
        <v>5764</v>
      </c>
      <c r="J2453" t="s">
        <v>1051</v>
      </c>
    </row>
    <row r="2454" spans="9:10" x14ac:dyDescent="0.25">
      <c r="I2454" t="s">
        <v>5559</v>
      </c>
      <c r="J2454" t="s">
        <v>2372</v>
      </c>
    </row>
    <row r="2455" spans="9:10" x14ac:dyDescent="0.25">
      <c r="I2455" t="s">
        <v>2748</v>
      </c>
      <c r="J2455" t="s">
        <v>6846</v>
      </c>
    </row>
    <row r="2456" spans="9:10" x14ac:dyDescent="0.25">
      <c r="I2456" t="s">
        <v>6508</v>
      </c>
      <c r="J2456" t="s">
        <v>1448</v>
      </c>
    </row>
    <row r="2457" spans="9:10" x14ac:dyDescent="0.25">
      <c r="I2457" t="s">
        <v>4438</v>
      </c>
      <c r="J2457" t="s">
        <v>5855</v>
      </c>
    </row>
    <row r="2458" spans="9:10" x14ac:dyDescent="0.25">
      <c r="I2458" t="s">
        <v>122</v>
      </c>
      <c r="J2458" t="s">
        <v>6732</v>
      </c>
    </row>
    <row r="2459" spans="9:10" x14ac:dyDescent="0.25">
      <c r="I2459" t="s">
        <v>336</v>
      </c>
      <c r="J2459" t="s">
        <v>1219</v>
      </c>
    </row>
    <row r="2460" spans="9:10" x14ac:dyDescent="0.25">
      <c r="I2460" t="s">
        <v>37</v>
      </c>
      <c r="J2460" t="s">
        <v>6134</v>
      </c>
    </row>
    <row r="2461" spans="9:10" x14ac:dyDescent="0.25">
      <c r="I2461" t="s">
        <v>37</v>
      </c>
      <c r="J2461" t="s">
        <v>5254</v>
      </c>
    </row>
    <row r="2462" spans="9:10" x14ac:dyDescent="0.25">
      <c r="I2462" t="s">
        <v>276</v>
      </c>
      <c r="J2462" t="s">
        <v>5941</v>
      </c>
    </row>
    <row r="2463" spans="9:10" x14ac:dyDescent="0.25">
      <c r="I2463" t="s">
        <v>276</v>
      </c>
      <c r="J2463" t="s">
        <v>6086</v>
      </c>
    </row>
    <row r="2464" spans="9:10" x14ac:dyDescent="0.25">
      <c r="I2464" t="s">
        <v>257</v>
      </c>
      <c r="J2464" t="s">
        <v>5374</v>
      </c>
    </row>
    <row r="2465" spans="9:10" x14ac:dyDescent="0.25">
      <c r="I2465" t="s">
        <v>36</v>
      </c>
      <c r="J2465" t="s">
        <v>5293</v>
      </c>
    </row>
    <row r="2466" spans="9:10" x14ac:dyDescent="0.25">
      <c r="I2466" t="s">
        <v>419</v>
      </c>
      <c r="J2466" t="s">
        <v>6233</v>
      </c>
    </row>
    <row r="2467" spans="9:10" x14ac:dyDescent="0.25">
      <c r="I2467" t="s">
        <v>39</v>
      </c>
      <c r="J2467" t="s">
        <v>6318</v>
      </c>
    </row>
    <row r="2468" spans="9:10" x14ac:dyDescent="0.25">
      <c r="I2468" t="s">
        <v>39</v>
      </c>
      <c r="J2468" t="s">
        <v>6778</v>
      </c>
    </row>
    <row r="2469" spans="9:10" x14ac:dyDescent="0.25">
      <c r="I2469" t="s">
        <v>5985</v>
      </c>
      <c r="J2469" t="s">
        <v>1157</v>
      </c>
    </row>
    <row r="2470" spans="9:10" x14ac:dyDescent="0.25">
      <c r="I2470" t="s">
        <v>347</v>
      </c>
      <c r="J2470" t="s">
        <v>6617</v>
      </c>
    </row>
    <row r="2471" spans="9:10" x14ac:dyDescent="0.25">
      <c r="I2471" t="s">
        <v>5949</v>
      </c>
      <c r="J2471" t="s">
        <v>5950</v>
      </c>
    </row>
    <row r="2472" spans="9:10" x14ac:dyDescent="0.25">
      <c r="I2472" t="s">
        <v>313</v>
      </c>
      <c r="J2472" t="s">
        <v>2553</v>
      </c>
    </row>
    <row r="2473" spans="9:10" x14ac:dyDescent="0.25">
      <c r="I2473" t="s">
        <v>551</v>
      </c>
      <c r="J2473" t="s">
        <v>6077</v>
      </c>
    </row>
    <row r="2474" spans="9:10" x14ac:dyDescent="0.25">
      <c r="I2474" t="s">
        <v>551</v>
      </c>
      <c r="J2474" t="s">
        <v>6180</v>
      </c>
    </row>
    <row r="2475" spans="9:10" x14ac:dyDescent="0.25">
      <c r="I2475" t="s">
        <v>313</v>
      </c>
      <c r="J2475" t="s">
        <v>5366</v>
      </c>
    </row>
    <row r="2476" spans="9:10" x14ac:dyDescent="0.25">
      <c r="I2476" t="s">
        <v>2743</v>
      </c>
      <c r="J2476" t="s">
        <v>4088</v>
      </c>
    </row>
    <row r="2477" spans="9:10" x14ac:dyDescent="0.25">
      <c r="I2477" t="s">
        <v>40</v>
      </c>
      <c r="J2477" t="s">
        <v>6070</v>
      </c>
    </row>
    <row r="2478" spans="9:10" x14ac:dyDescent="0.25">
      <c r="I2478" t="s">
        <v>3861</v>
      </c>
      <c r="J2478" t="s">
        <v>4078</v>
      </c>
    </row>
    <row r="2479" spans="9:10" x14ac:dyDescent="0.25">
      <c r="I2479" t="s">
        <v>39</v>
      </c>
      <c r="J2479" t="s">
        <v>6603</v>
      </c>
    </row>
    <row r="2480" spans="9:10" x14ac:dyDescent="0.25">
      <c r="I2480" t="s">
        <v>2450</v>
      </c>
      <c r="J2480" t="s">
        <v>5800</v>
      </c>
    </row>
    <row r="2481" spans="9:10" x14ac:dyDescent="0.25">
      <c r="I2481" t="s">
        <v>122</v>
      </c>
      <c r="J2481" t="s">
        <v>6378</v>
      </c>
    </row>
    <row r="2482" spans="9:10" x14ac:dyDescent="0.25">
      <c r="I2482" t="s">
        <v>39</v>
      </c>
      <c r="J2482" t="s">
        <v>5999</v>
      </c>
    </row>
    <row r="2483" spans="9:10" x14ac:dyDescent="0.25">
      <c r="I2483" t="s">
        <v>2450</v>
      </c>
      <c r="J2483" t="s">
        <v>6677</v>
      </c>
    </row>
    <row r="2484" spans="9:10" x14ac:dyDescent="0.25">
      <c r="I2484" t="s">
        <v>313</v>
      </c>
      <c r="J2484" t="s">
        <v>6388</v>
      </c>
    </row>
    <row r="2485" spans="9:10" x14ac:dyDescent="0.25">
      <c r="I2485" t="s">
        <v>122</v>
      </c>
      <c r="J2485" t="s">
        <v>5431</v>
      </c>
    </row>
    <row r="2486" spans="9:10" x14ac:dyDescent="0.25">
      <c r="I2486" t="s">
        <v>40</v>
      </c>
      <c r="J2486" t="s">
        <v>6410</v>
      </c>
    </row>
    <row r="2487" spans="9:10" x14ac:dyDescent="0.25">
      <c r="I2487" t="s">
        <v>311</v>
      </c>
      <c r="J2487" t="s">
        <v>6749</v>
      </c>
    </row>
    <row r="2488" spans="9:10" x14ac:dyDescent="0.25">
      <c r="I2488" t="s">
        <v>419</v>
      </c>
      <c r="J2488" t="s">
        <v>5824</v>
      </c>
    </row>
    <row r="2489" spans="9:10" x14ac:dyDescent="0.25">
      <c r="I2489" t="s">
        <v>5752</v>
      </c>
      <c r="J2489" t="s">
        <v>1044</v>
      </c>
    </row>
    <row r="2490" spans="9:10" x14ac:dyDescent="0.25">
      <c r="I2490" t="s">
        <v>419</v>
      </c>
      <c r="J2490" t="s">
        <v>5383</v>
      </c>
    </row>
    <row r="2491" spans="9:10" x14ac:dyDescent="0.25">
      <c r="I2491" t="s">
        <v>419</v>
      </c>
      <c r="J2491" t="s">
        <v>6678</v>
      </c>
    </row>
    <row r="2492" spans="9:10" x14ac:dyDescent="0.25">
      <c r="I2492" t="s">
        <v>313</v>
      </c>
      <c r="J2492" t="s">
        <v>5426</v>
      </c>
    </row>
    <row r="2493" spans="9:10" x14ac:dyDescent="0.25">
      <c r="I2493" t="s">
        <v>254</v>
      </c>
      <c r="J2493" t="s">
        <v>2385</v>
      </c>
    </row>
    <row r="2494" spans="9:10" x14ac:dyDescent="0.25">
      <c r="I2494" t="s">
        <v>95</v>
      </c>
      <c r="J2494" t="s">
        <v>2968</v>
      </c>
    </row>
    <row r="2495" spans="9:10" x14ac:dyDescent="0.25">
      <c r="I2495" t="s">
        <v>5364</v>
      </c>
      <c r="J2495" t="s">
        <v>5365</v>
      </c>
    </row>
    <row r="2496" spans="9:10" x14ac:dyDescent="0.25">
      <c r="I2496" t="s">
        <v>122</v>
      </c>
      <c r="J2496" t="s">
        <v>5633</v>
      </c>
    </row>
    <row r="2497" spans="9:10" x14ac:dyDescent="0.25">
      <c r="I2497" t="s">
        <v>311</v>
      </c>
      <c r="J2497" t="s">
        <v>1443</v>
      </c>
    </row>
    <row r="2498" spans="9:10" x14ac:dyDescent="0.25">
      <c r="I2498" t="s">
        <v>5681</v>
      </c>
      <c r="J2498" t="s">
        <v>5682</v>
      </c>
    </row>
    <row r="2499" spans="9:10" x14ac:dyDescent="0.25">
      <c r="I2499" t="s">
        <v>6263</v>
      </c>
      <c r="J2499" t="s">
        <v>1315</v>
      </c>
    </row>
    <row r="2500" spans="9:10" x14ac:dyDescent="0.25">
      <c r="I2500" t="s">
        <v>407</v>
      </c>
      <c r="J2500" t="s">
        <v>2984</v>
      </c>
    </row>
    <row r="2501" spans="9:10" x14ac:dyDescent="0.25">
      <c r="I2501" t="s">
        <v>5602</v>
      </c>
      <c r="J2501" t="s">
        <v>6213</v>
      </c>
    </row>
    <row r="2502" spans="9:10" x14ac:dyDescent="0.25">
      <c r="I2502" t="s">
        <v>2733</v>
      </c>
      <c r="J2502" t="s">
        <v>2959</v>
      </c>
    </row>
    <row r="2503" spans="9:10" x14ac:dyDescent="0.25">
      <c r="I2503" t="s">
        <v>5626</v>
      </c>
      <c r="J2503" t="s">
        <v>6638</v>
      </c>
    </row>
    <row r="2504" spans="9:10" x14ac:dyDescent="0.25">
      <c r="I2504" t="s">
        <v>5323</v>
      </c>
      <c r="J2504" t="s">
        <v>890</v>
      </c>
    </row>
    <row r="2505" spans="9:10" x14ac:dyDescent="0.25">
      <c r="I2505" t="s">
        <v>5534</v>
      </c>
      <c r="J2505" t="s">
        <v>5535</v>
      </c>
    </row>
    <row r="2506" spans="9:10" x14ac:dyDescent="0.25">
      <c r="I2506" t="s">
        <v>5545</v>
      </c>
      <c r="J2506" t="s">
        <v>5546</v>
      </c>
    </row>
    <row r="2507" spans="9:10" x14ac:dyDescent="0.25">
      <c r="I2507" t="s">
        <v>6823</v>
      </c>
      <c r="J2507" t="s">
        <v>6824</v>
      </c>
    </row>
    <row r="2508" spans="9:10" x14ac:dyDescent="0.25">
      <c r="I2508" t="s">
        <v>256</v>
      </c>
      <c r="J2508" t="s">
        <v>1350</v>
      </c>
    </row>
    <row r="2509" spans="9:10" x14ac:dyDescent="0.25">
      <c r="I2509" t="s">
        <v>313</v>
      </c>
      <c r="J2509" t="s">
        <v>1325</v>
      </c>
    </row>
    <row r="2510" spans="9:10" x14ac:dyDescent="0.25">
      <c r="I2510" t="s">
        <v>313</v>
      </c>
      <c r="J2510" t="s">
        <v>1424</v>
      </c>
    </row>
    <row r="2511" spans="9:10" x14ac:dyDescent="0.25">
      <c r="I2511" t="s">
        <v>254</v>
      </c>
      <c r="J2511" t="s">
        <v>1559</v>
      </c>
    </row>
    <row r="2512" spans="9:10" x14ac:dyDescent="0.25">
      <c r="I2512" t="s">
        <v>254</v>
      </c>
      <c r="J2512" t="s">
        <v>4001</v>
      </c>
    </row>
    <row r="2513" spans="9:10" x14ac:dyDescent="0.25">
      <c r="I2513" t="s">
        <v>46</v>
      </c>
      <c r="J2513" t="s">
        <v>1458</v>
      </c>
    </row>
    <row r="2514" spans="9:10" x14ac:dyDescent="0.25">
      <c r="I2514" t="s">
        <v>311</v>
      </c>
      <c r="J2514" t="s">
        <v>6302</v>
      </c>
    </row>
    <row r="2515" spans="9:10" x14ac:dyDescent="0.25">
      <c r="I2515" t="s">
        <v>6128</v>
      </c>
      <c r="J2515" t="s">
        <v>1234</v>
      </c>
    </row>
    <row r="2516" spans="9:10" x14ac:dyDescent="0.25">
      <c r="I2516" t="s">
        <v>397</v>
      </c>
      <c r="J2516" t="s">
        <v>6254</v>
      </c>
    </row>
    <row r="2517" spans="9:10" x14ac:dyDescent="0.25">
      <c r="I2517" t="s">
        <v>2748</v>
      </c>
      <c r="J2517" t="s">
        <v>6051</v>
      </c>
    </row>
    <row r="2518" spans="9:10" x14ac:dyDescent="0.25">
      <c r="I2518" t="s">
        <v>6312</v>
      </c>
      <c r="J2518" t="s">
        <v>6313</v>
      </c>
    </row>
    <row r="2519" spans="9:10" x14ac:dyDescent="0.25">
      <c r="I2519" t="s">
        <v>3908</v>
      </c>
      <c r="J2519" t="s">
        <v>5711</v>
      </c>
    </row>
    <row r="2520" spans="9:10" x14ac:dyDescent="0.25">
      <c r="I2520" t="s">
        <v>313</v>
      </c>
      <c r="J2520" t="s">
        <v>6463</v>
      </c>
    </row>
    <row r="2521" spans="9:10" x14ac:dyDescent="0.25">
      <c r="I2521" t="s">
        <v>3861</v>
      </c>
      <c r="J2521" t="s">
        <v>4076</v>
      </c>
    </row>
    <row r="2522" spans="9:10" x14ac:dyDescent="0.25">
      <c r="I2522" t="s">
        <v>313</v>
      </c>
      <c r="J2522" t="s">
        <v>6552</v>
      </c>
    </row>
    <row r="2523" spans="9:10" x14ac:dyDescent="0.25">
      <c r="I2523" t="s">
        <v>548</v>
      </c>
      <c r="J2523" t="s">
        <v>5788</v>
      </c>
    </row>
    <row r="2524" spans="9:10" x14ac:dyDescent="0.25">
      <c r="I2524" t="s">
        <v>351</v>
      </c>
      <c r="J2524" t="s">
        <v>6316</v>
      </c>
    </row>
    <row r="2525" spans="9:10" x14ac:dyDescent="0.25">
      <c r="I2525" t="s">
        <v>404</v>
      </c>
      <c r="J2525" t="s">
        <v>6840</v>
      </c>
    </row>
    <row r="2526" spans="9:10" x14ac:dyDescent="0.25">
      <c r="I2526" t="s">
        <v>6868</v>
      </c>
      <c r="J2526" t="s">
        <v>6869</v>
      </c>
    </row>
    <row r="2527" spans="9:10" x14ac:dyDescent="0.25">
      <c r="I2527" t="s">
        <v>548</v>
      </c>
      <c r="J2527" t="s">
        <v>5540</v>
      </c>
    </row>
    <row r="2528" spans="9:10" x14ac:dyDescent="0.25">
      <c r="I2528" t="s">
        <v>318</v>
      </c>
      <c r="J2528" t="s">
        <v>6736</v>
      </c>
    </row>
    <row r="2529" spans="9:10" x14ac:dyDescent="0.25">
      <c r="I2529" t="s">
        <v>401</v>
      </c>
      <c r="J2529" t="s">
        <v>1237</v>
      </c>
    </row>
    <row r="2530" spans="9:10" x14ac:dyDescent="0.25">
      <c r="I2530" t="s">
        <v>6427</v>
      </c>
      <c r="J2530" t="s">
        <v>6428</v>
      </c>
    </row>
    <row r="2531" spans="9:10" x14ac:dyDescent="0.25">
      <c r="I2531" t="s">
        <v>253</v>
      </c>
      <c r="J2531" t="s">
        <v>6585</v>
      </c>
    </row>
    <row r="2532" spans="9:10" x14ac:dyDescent="0.25">
      <c r="I2532" t="s">
        <v>6540</v>
      </c>
      <c r="J2532" t="s">
        <v>1474</v>
      </c>
    </row>
    <row r="2533" spans="9:10" x14ac:dyDescent="0.25">
      <c r="I2533" t="s">
        <v>313</v>
      </c>
      <c r="J2533" t="s">
        <v>5895</v>
      </c>
    </row>
    <row r="2534" spans="9:10" x14ac:dyDescent="0.25">
      <c r="I2534" t="s">
        <v>280</v>
      </c>
      <c r="J2534" t="s">
        <v>6138</v>
      </c>
    </row>
    <row r="2535" spans="9:10" x14ac:dyDescent="0.25">
      <c r="I2535" t="s">
        <v>6503</v>
      </c>
      <c r="J2535" t="s">
        <v>6504</v>
      </c>
    </row>
    <row r="2536" spans="9:10" x14ac:dyDescent="0.25">
      <c r="I2536" t="s">
        <v>280</v>
      </c>
      <c r="J2536" t="s">
        <v>8008</v>
      </c>
    </row>
    <row r="2537" spans="9:10" x14ac:dyDescent="0.25">
      <c r="I2537" t="s">
        <v>253</v>
      </c>
      <c r="J2537" t="s">
        <v>1027</v>
      </c>
    </row>
    <row r="2538" spans="9:10" x14ac:dyDescent="0.25">
      <c r="I2538" t="s">
        <v>2739</v>
      </c>
      <c r="J2538" t="s">
        <v>6013</v>
      </c>
    </row>
    <row r="2539" spans="9:10" x14ac:dyDescent="0.25">
      <c r="I2539" t="s">
        <v>289</v>
      </c>
      <c r="J2539" t="s">
        <v>2880</v>
      </c>
    </row>
    <row r="2540" spans="9:10" x14ac:dyDescent="0.25">
      <c r="I2540" t="s">
        <v>2748</v>
      </c>
      <c r="J2540" t="s">
        <v>4057</v>
      </c>
    </row>
    <row r="2541" spans="9:10" x14ac:dyDescent="0.25">
      <c r="I2541" t="s">
        <v>254</v>
      </c>
      <c r="J2541" t="s">
        <v>929</v>
      </c>
    </row>
    <row r="2542" spans="9:10" x14ac:dyDescent="0.25">
      <c r="I2542" t="s">
        <v>306</v>
      </c>
      <c r="J2542" t="s">
        <v>5919</v>
      </c>
    </row>
    <row r="2543" spans="9:10" x14ac:dyDescent="0.25">
      <c r="I2543" t="s">
        <v>313</v>
      </c>
      <c r="J2543" t="s">
        <v>5437</v>
      </c>
    </row>
    <row r="2544" spans="9:10" x14ac:dyDescent="0.25">
      <c r="I2544" t="s">
        <v>5612</v>
      </c>
      <c r="J2544" t="s">
        <v>5613</v>
      </c>
    </row>
    <row r="2545" spans="9:10" x14ac:dyDescent="0.25">
      <c r="I2545" t="s">
        <v>311</v>
      </c>
      <c r="J2545" t="s">
        <v>1140</v>
      </c>
    </row>
    <row r="2546" spans="9:10" x14ac:dyDescent="0.25">
      <c r="I2546" t="s">
        <v>253</v>
      </c>
      <c r="J2546" t="s">
        <v>5511</v>
      </c>
    </row>
    <row r="2547" spans="9:10" x14ac:dyDescent="0.25">
      <c r="I2547" t="s">
        <v>313</v>
      </c>
      <c r="J2547" t="s">
        <v>5558</v>
      </c>
    </row>
    <row r="2548" spans="9:10" x14ac:dyDescent="0.25">
      <c r="I2548" t="s">
        <v>2748</v>
      </c>
      <c r="J2548" t="s">
        <v>4111</v>
      </c>
    </row>
    <row r="2549" spans="9:10" x14ac:dyDescent="0.25">
      <c r="I2549" t="s">
        <v>90</v>
      </c>
      <c r="J2549" t="s">
        <v>5719</v>
      </c>
    </row>
    <row r="2550" spans="9:10" x14ac:dyDescent="0.25">
      <c r="I2550" t="s">
        <v>5258</v>
      </c>
      <c r="J2550" t="s">
        <v>792</v>
      </c>
    </row>
    <row r="2551" spans="9:10" x14ac:dyDescent="0.25">
      <c r="I2551" t="s">
        <v>318</v>
      </c>
      <c r="J2551" t="s">
        <v>5342</v>
      </c>
    </row>
    <row r="2552" spans="9:10" x14ac:dyDescent="0.25">
      <c r="I2552" t="s">
        <v>6343</v>
      </c>
      <c r="J2552" t="s">
        <v>6874</v>
      </c>
    </row>
    <row r="2553" spans="9:10" x14ac:dyDescent="0.25">
      <c r="I2553" t="s">
        <v>338</v>
      </c>
      <c r="J2553" t="s">
        <v>2980</v>
      </c>
    </row>
    <row r="2554" spans="9:10" x14ac:dyDescent="0.25">
      <c r="I2554" t="s">
        <v>6082</v>
      </c>
      <c r="J2554" t="s">
        <v>6614</v>
      </c>
    </row>
    <row r="2555" spans="9:10" x14ac:dyDescent="0.25">
      <c r="I2555" t="s">
        <v>280</v>
      </c>
      <c r="J2555" t="s">
        <v>6115</v>
      </c>
    </row>
    <row r="2556" spans="9:10" x14ac:dyDescent="0.25">
      <c r="I2556" t="s">
        <v>5736</v>
      </c>
      <c r="J2556" t="s">
        <v>5737</v>
      </c>
    </row>
    <row r="2557" spans="9:10" x14ac:dyDescent="0.25">
      <c r="I2557" t="s">
        <v>313</v>
      </c>
      <c r="J2557" t="s">
        <v>1410</v>
      </c>
    </row>
    <row r="2558" spans="9:10" x14ac:dyDescent="0.25">
      <c r="I2558" t="s">
        <v>5608</v>
      </c>
      <c r="J2558" t="s">
        <v>1142</v>
      </c>
    </row>
    <row r="2559" spans="9:10" x14ac:dyDescent="0.25">
      <c r="I2559" t="s">
        <v>5330</v>
      </c>
      <c r="J2559" t="s">
        <v>5331</v>
      </c>
    </row>
    <row r="2560" spans="9:10" x14ac:dyDescent="0.25">
      <c r="I2560" t="s">
        <v>2739</v>
      </c>
      <c r="J2560" t="s">
        <v>3879</v>
      </c>
    </row>
    <row r="2561" spans="9:10" x14ac:dyDescent="0.25">
      <c r="I2561" t="s">
        <v>548</v>
      </c>
      <c r="J2561" t="s">
        <v>6832</v>
      </c>
    </row>
    <row r="2562" spans="9:10" x14ac:dyDescent="0.25">
      <c r="I2562" t="s">
        <v>3861</v>
      </c>
      <c r="J2562" t="s">
        <v>4099</v>
      </c>
    </row>
    <row r="2563" spans="9:10" x14ac:dyDescent="0.25">
      <c r="I2563" t="s">
        <v>2748</v>
      </c>
      <c r="J2563" t="s">
        <v>3891</v>
      </c>
    </row>
    <row r="2564" spans="9:10" x14ac:dyDescent="0.25">
      <c r="I2564" t="s">
        <v>2748</v>
      </c>
      <c r="J2564" t="s">
        <v>3953</v>
      </c>
    </row>
    <row r="2565" spans="9:10" x14ac:dyDescent="0.25">
      <c r="I2565" t="s">
        <v>5318</v>
      </c>
      <c r="J2565" t="s">
        <v>5319</v>
      </c>
    </row>
    <row r="2566" spans="9:10" x14ac:dyDescent="0.25">
      <c r="I2566" t="s">
        <v>6031</v>
      </c>
      <c r="J2566" t="s">
        <v>6032</v>
      </c>
    </row>
    <row r="2567" spans="9:10" x14ac:dyDescent="0.25">
      <c r="I2567" t="s">
        <v>5448</v>
      </c>
      <c r="J2567" t="s">
        <v>5449</v>
      </c>
    </row>
    <row r="2568" spans="9:10" x14ac:dyDescent="0.25">
      <c r="I2568" t="s">
        <v>3861</v>
      </c>
      <c r="J2568" t="s">
        <v>6210</v>
      </c>
    </row>
    <row r="2569" spans="9:10" x14ac:dyDescent="0.25">
      <c r="I2569" t="s">
        <v>254</v>
      </c>
      <c r="J2569" t="s">
        <v>1308</v>
      </c>
    </row>
    <row r="2570" spans="9:10" x14ac:dyDescent="0.25">
      <c r="I2570" t="s">
        <v>254</v>
      </c>
      <c r="J2570" t="s">
        <v>1400</v>
      </c>
    </row>
    <row r="2571" spans="9:10" x14ac:dyDescent="0.25">
      <c r="I2571" t="s">
        <v>6432</v>
      </c>
      <c r="J2571" t="s">
        <v>6433</v>
      </c>
    </row>
    <row r="2572" spans="9:10" x14ac:dyDescent="0.25">
      <c r="I2572" t="s">
        <v>5664</v>
      </c>
      <c r="J2572" t="s">
        <v>6644</v>
      </c>
    </row>
    <row r="2573" spans="9:10" x14ac:dyDescent="0.25">
      <c r="I2573" t="s">
        <v>5856</v>
      </c>
      <c r="J2573" t="s">
        <v>5857</v>
      </c>
    </row>
    <row r="2574" spans="9:10" x14ac:dyDescent="0.25">
      <c r="I2574" t="s">
        <v>95</v>
      </c>
      <c r="J2574" t="s">
        <v>6010</v>
      </c>
    </row>
    <row r="2575" spans="9:10" x14ac:dyDescent="0.25">
      <c r="I2575" t="s">
        <v>313</v>
      </c>
      <c r="J2575" t="s">
        <v>6368</v>
      </c>
    </row>
    <row r="2576" spans="9:10" x14ac:dyDescent="0.25">
      <c r="I2576" t="s">
        <v>313</v>
      </c>
      <c r="J2576" t="s">
        <v>1271</v>
      </c>
    </row>
    <row r="2577" spans="9:10" x14ac:dyDescent="0.25">
      <c r="I2577" t="s">
        <v>37</v>
      </c>
      <c r="J2577" t="s">
        <v>2453</v>
      </c>
    </row>
    <row r="2578" spans="9:10" x14ac:dyDescent="0.25">
      <c r="I2578" t="s">
        <v>2748</v>
      </c>
      <c r="J2578" t="s">
        <v>3978</v>
      </c>
    </row>
    <row r="2579" spans="9:10" x14ac:dyDescent="0.25">
      <c r="I2579" t="s">
        <v>5527</v>
      </c>
      <c r="J2579" t="s">
        <v>5528</v>
      </c>
    </row>
    <row r="2580" spans="9:10" x14ac:dyDescent="0.25">
      <c r="I2580" t="s">
        <v>5457</v>
      </c>
      <c r="J2580" t="s">
        <v>5458</v>
      </c>
    </row>
    <row r="2581" spans="9:10" x14ac:dyDescent="0.25">
      <c r="I2581" t="s">
        <v>6343</v>
      </c>
      <c r="J2581" t="s">
        <v>6344</v>
      </c>
    </row>
    <row r="2582" spans="9:10" x14ac:dyDescent="0.25">
      <c r="I2582" t="s">
        <v>280</v>
      </c>
      <c r="J2582" t="s">
        <v>2479</v>
      </c>
    </row>
    <row r="2583" spans="9:10" x14ac:dyDescent="0.25">
      <c r="I2583" t="s">
        <v>6663</v>
      </c>
      <c r="J2583" t="s">
        <v>6709</v>
      </c>
    </row>
    <row r="2584" spans="9:10" x14ac:dyDescent="0.25">
      <c r="I2584" t="s">
        <v>311</v>
      </c>
      <c r="J2584" t="s">
        <v>1382</v>
      </c>
    </row>
    <row r="2585" spans="9:10" x14ac:dyDescent="0.25">
      <c r="I2585" t="s">
        <v>5509</v>
      </c>
      <c r="J2585" t="s">
        <v>6137</v>
      </c>
    </row>
    <row r="2586" spans="9:10" x14ac:dyDescent="0.25">
      <c r="I2586" t="s">
        <v>10</v>
      </c>
      <c r="J2586" t="s">
        <v>806</v>
      </c>
    </row>
    <row r="2587" spans="9:10" x14ac:dyDescent="0.25">
      <c r="I2587" t="s">
        <v>2748</v>
      </c>
      <c r="J2587" t="s">
        <v>6475</v>
      </c>
    </row>
    <row r="2588" spans="9:10" x14ac:dyDescent="0.25">
      <c r="I2588" t="s">
        <v>2741</v>
      </c>
      <c r="J2588" t="s">
        <v>2911</v>
      </c>
    </row>
    <row r="2589" spans="9:10" x14ac:dyDescent="0.25">
      <c r="I2589" t="s">
        <v>2748</v>
      </c>
      <c r="J2589" t="s">
        <v>4138</v>
      </c>
    </row>
    <row r="2590" spans="9:10" x14ac:dyDescent="0.25">
      <c r="I2590" t="s">
        <v>6194</v>
      </c>
      <c r="J2590" t="s">
        <v>6195</v>
      </c>
    </row>
    <row r="2591" spans="9:10" x14ac:dyDescent="0.25">
      <c r="I2591" t="s">
        <v>313</v>
      </c>
      <c r="J2591" t="s">
        <v>5906</v>
      </c>
    </row>
    <row r="2592" spans="9:10" x14ac:dyDescent="0.25">
      <c r="I2592" t="s">
        <v>5532</v>
      </c>
      <c r="J2592" t="s">
        <v>923</v>
      </c>
    </row>
    <row r="2593" spans="9:10" x14ac:dyDescent="0.25">
      <c r="I2593" t="s">
        <v>254</v>
      </c>
      <c r="J2593" t="s">
        <v>1488</v>
      </c>
    </row>
    <row r="2594" spans="9:10" x14ac:dyDescent="0.25">
      <c r="I2594" t="s">
        <v>313</v>
      </c>
      <c r="J2594" t="s">
        <v>1128</v>
      </c>
    </row>
    <row r="2595" spans="9:10" x14ac:dyDescent="0.25">
      <c r="I2595" t="s">
        <v>5762</v>
      </c>
      <c r="J2595" t="s">
        <v>5763</v>
      </c>
    </row>
    <row r="2596" spans="9:10" x14ac:dyDescent="0.25">
      <c r="I2596" t="s">
        <v>6211</v>
      </c>
      <c r="J2596" t="s">
        <v>2958</v>
      </c>
    </row>
    <row r="2597" spans="9:10" x14ac:dyDescent="0.25">
      <c r="I2597" t="s">
        <v>295</v>
      </c>
      <c r="J2597" t="s">
        <v>5259</v>
      </c>
    </row>
    <row r="2598" spans="9:10" x14ac:dyDescent="0.25">
      <c r="I2598" t="s">
        <v>5977</v>
      </c>
      <c r="J2598" t="s">
        <v>2936</v>
      </c>
    </row>
    <row r="2599" spans="9:10" x14ac:dyDescent="0.25">
      <c r="I2599" t="s">
        <v>548</v>
      </c>
      <c r="J2599" t="s">
        <v>6267</v>
      </c>
    </row>
    <row r="2600" spans="9:10" x14ac:dyDescent="0.25">
      <c r="I2600" t="s">
        <v>407</v>
      </c>
      <c r="J2600" t="s">
        <v>5255</v>
      </c>
    </row>
    <row r="2601" spans="9:10" x14ac:dyDescent="0.25">
      <c r="I2601" t="s">
        <v>313</v>
      </c>
      <c r="J2601" t="s">
        <v>6245</v>
      </c>
    </row>
    <row r="2602" spans="9:10" x14ac:dyDescent="0.25">
      <c r="I2602" t="s">
        <v>254</v>
      </c>
      <c r="J2602" t="s">
        <v>5422</v>
      </c>
    </row>
    <row r="2603" spans="9:10" x14ac:dyDescent="0.25">
      <c r="I2603" t="s">
        <v>5384</v>
      </c>
      <c r="J2603" t="s">
        <v>5385</v>
      </c>
    </row>
    <row r="2604" spans="9:10" x14ac:dyDescent="0.25">
      <c r="I2604" t="s">
        <v>256</v>
      </c>
      <c r="J2604" t="s">
        <v>6680</v>
      </c>
    </row>
    <row r="2605" spans="9:10" x14ac:dyDescent="0.25">
      <c r="I2605" t="s">
        <v>253</v>
      </c>
      <c r="J2605" t="s">
        <v>782</v>
      </c>
    </row>
    <row r="2606" spans="9:10" x14ac:dyDescent="0.25">
      <c r="I2606" t="s">
        <v>3861</v>
      </c>
      <c r="J2606" t="s">
        <v>3977</v>
      </c>
    </row>
    <row r="2607" spans="9:10" x14ac:dyDescent="0.25">
      <c r="I2607" t="s">
        <v>6704</v>
      </c>
      <c r="J2607" t="s">
        <v>1563</v>
      </c>
    </row>
    <row r="2608" spans="9:10" x14ac:dyDescent="0.25">
      <c r="I2608" t="s">
        <v>313</v>
      </c>
      <c r="J2608" t="s">
        <v>6241</v>
      </c>
    </row>
    <row r="2609" spans="9:10" x14ac:dyDescent="0.25">
      <c r="I2609" t="s">
        <v>5578</v>
      </c>
      <c r="J2609" t="s">
        <v>5579</v>
      </c>
    </row>
    <row r="2610" spans="9:10" x14ac:dyDescent="0.25">
      <c r="I2610" t="s">
        <v>318</v>
      </c>
      <c r="J2610" t="s">
        <v>854</v>
      </c>
    </row>
    <row r="2611" spans="9:10" x14ac:dyDescent="0.25">
      <c r="I2611" t="s">
        <v>5465</v>
      </c>
      <c r="J2611" t="s">
        <v>5466</v>
      </c>
    </row>
    <row r="2612" spans="9:10" x14ac:dyDescent="0.25">
      <c r="I2612" t="s">
        <v>0</v>
      </c>
      <c r="J2612" t="s">
        <v>6387</v>
      </c>
    </row>
    <row r="2613" spans="9:10" x14ac:dyDescent="0.25">
      <c r="I2613" t="s">
        <v>47</v>
      </c>
      <c r="J2613" t="s">
        <v>8013</v>
      </c>
    </row>
    <row r="2614" spans="9:10" x14ac:dyDescent="0.25">
      <c r="I2614" t="s">
        <v>278</v>
      </c>
      <c r="J2614" t="s">
        <v>1062</v>
      </c>
    </row>
    <row r="2615" spans="9:10" x14ac:dyDescent="0.25">
      <c r="I2615" t="s">
        <v>280</v>
      </c>
      <c r="J2615" t="s">
        <v>2813</v>
      </c>
    </row>
    <row r="2616" spans="9:10" x14ac:dyDescent="0.25">
      <c r="I2616" t="s">
        <v>278</v>
      </c>
      <c r="J2616" t="s">
        <v>6526</v>
      </c>
    </row>
    <row r="2617" spans="9:10" x14ac:dyDescent="0.25">
      <c r="I2617" t="s">
        <v>313</v>
      </c>
      <c r="J2617" t="s">
        <v>6626</v>
      </c>
    </row>
    <row r="2618" spans="9:10" x14ac:dyDescent="0.25">
      <c r="I2618" t="s">
        <v>6082</v>
      </c>
      <c r="J2618" t="s">
        <v>6354</v>
      </c>
    </row>
    <row r="2619" spans="9:10" x14ac:dyDescent="0.25">
      <c r="I2619" t="s">
        <v>280</v>
      </c>
      <c r="J2619" t="s">
        <v>6400</v>
      </c>
    </row>
    <row r="2620" spans="9:10" x14ac:dyDescent="0.25">
      <c r="I2620" t="s">
        <v>6294</v>
      </c>
      <c r="J2620" t="s">
        <v>6295</v>
      </c>
    </row>
    <row r="2621" spans="9:10" x14ac:dyDescent="0.25">
      <c r="I2621" t="s">
        <v>6340</v>
      </c>
      <c r="J2621" t="s">
        <v>6539</v>
      </c>
    </row>
    <row r="2622" spans="9:10" x14ac:dyDescent="0.25">
      <c r="I2622" t="s">
        <v>254</v>
      </c>
      <c r="J2622" t="s">
        <v>6439</v>
      </c>
    </row>
    <row r="2623" spans="9:10" x14ac:dyDescent="0.25">
      <c r="I2623" t="s">
        <v>5298</v>
      </c>
      <c r="J2623" t="s">
        <v>5299</v>
      </c>
    </row>
    <row r="2624" spans="9:10" x14ac:dyDescent="0.25">
      <c r="I2624" t="s">
        <v>2748</v>
      </c>
      <c r="J2624" t="s">
        <v>3885</v>
      </c>
    </row>
    <row r="2625" spans="9:10" x14ac:dyDescent="0.25">
      <c r="I2625" t="s">
        <v>2748</v>
      </c>
      <c r="J2625" t="s">
        <v>3928</v>
      </c>
    </row>
    <row r="2626" spans="9:10" x14ac:dyDescent="0.25">
      <c r="I2626" t="s">
        <v>5623</v>
      </c>
      <c r="J2626" t="s">
        <v>6731</v>
      </c>
    </row>
    <row r="2627" spans="9:10" x14ac:dyDescent="0.25">
      <c r="I2627" t="s">
        <v>6189</v>
      </c>
      <c r="J2627" t="s">
        <v>1267</v>
      </c>
    </row>
    <row r="2628" spans="9:10" x14ac:dyDescent="0.25">
      <c r="I2628" t="s">
        <v>3861</v>
      </c>
      <c r="J2628" t="s">
        <v>4049</v>
      </c>
    </row>
    <row r="2629" spans="9:10" x14ac:dyDescent="0.25">
      <c r="I2629" t="s">
        <v>6604</v>
      </c>
      <c r="J2629" t="s">
        <v>1512</v>
      </c>
    </row>
    <row r="2630" spans="9:10" x14ac:dyDescent="0.25">
      <c r="I2630" t="s">
        <v>6661</v>
      </c>
      <c r="J2630" t="s">
        <v>6859</v>
      </c>
    </row>
    <row r="2631" spans="9:10" x14ac:dyDescent="0.25">
      <c r="I2631" t="s">
        <v>2739</v>
      </c>
      <c r="J2631" t="s">
        <v>6635</v>
      </c>
    </row>
    <row r="2632" spans="9:10" x14ac:dyDescent="0.25">
      <c r="I2632" t="s">
        <v>2748</v>
      </c>
      <c r="J2632" t="s">
        <v>3902</v>
      </c>
    </row>
    <row r="2633" spans="9:10" x14ac:dyDescent="0.25">
      <c r="I2633" t="s">
        <v>6258</v>
      </c>
      <c r="J2633" t="s">
        <v>1312</v>
      </c>
    </row>
    <row r="2634" spans="9:10" x14ac:dyDescent="0.25">
      <c r="I2634" t="s">
        <v>280</v>
      </c>
      <c r="J2634" t="s">
        <v>2523</v>
      </c>
    </row>
    <row r="2635" spans="9:10" x14ac:dyDescent="0.25">
      <c r="I2635" t="s">
        <v>5248</v>
      </c>
      <c r="J2635" t="s">
        <v>5249</v>
      </c>
    </row>
    <row r="2636" spans="9:10" x14ac:dyDescent="0.25">
      <c r="I2636" t="s">
        <v>5315</v>
      </c>
      <c r="J2636" t="s">
        <v>1479</v>
      </c>
    </row>
    <row r="2637" spans="9:10" x14ac:dyDescent="0.25">
      <c r="I2637" t="s">
        <v>318</v>
      </c>
      <c r="J2637" t="s">
        <v>6464</v>
      </c>
    </row>
    <row r="2638" spans="9:10" x14ac:dyDescent="0.25">
      <c r="I2638" t="s">
        <v>318</v>
      </c>
      <c r="J2638" t="s">
        <v>5921</v>
      </c>
    </row>
    <row r="2639" spans="9:10" x14ac:dyDescent="0.25">
      <c r="I2639" t="s">
        <v>5469</v>
      </c>
      <c r="J2639" t="s">
        <v>5748</v>
      </c>
    </row>
    <row r="2640" spans="9:10" x14ac:dyDescent="0.25">
      <c r="I2640" t="s">
        <v>2748</v>
      </c>
      <c r="J2640" t="s">
        <v>3875</v>
      </c>
    </row>
    <row r="2641" spans="9:10" x14ac:dyDescent="0.25">
      <c r="I2641" t="s">
        <v>2748</v>
      </c>
      <c r="J2641" t="s">
        <v>3942</v>
      </c>
    </row>
    <row r="2642" spans="9:10" x14ac:dyDescent="0.25">
      <c r="I2642" t="s">
        <v>5916</v>
      </c>
      <c r="J2642" t="s">
        <v>2844</v>
      </c>
    </row>
    <row r="2643" spans="9:10" x14ac:dyDescent="0.25">
      <c r="I2643" t="s">
        <v>5333</v>
      </c>
      <c r="J2643" t="s">
        <v>5334</v>
      </c>
    </row>
    <row r="2644" spans="9:10" x14ac:dyDescent="0.25">
      <c r="I2644" t="s">
        <v>6848</v>
      </c>
      <c r="J2644" t="s">
        <v>1566</v>
      </c>
    </row>
    <row r="2645" spans="9:10" x14ac:dyDescent="0.25">
      <c r="I2645" t="s">
        <v>6211</v>
      </c>
      <c r="J2645" t="s">
        <v>6212</v>
      </c>
    </row>
    <row r="2646" spans="9:10" x14ac:dyDescent="0.25">
      <c r="I2646" t="s">
        <v>2748</v>
      </c>
      <c r="J2646" t="s">
        <v>4080</v>
      </c>
    </row>
    <row r="2647" spans="9:10" x14ac:dyDescent="0.25">
      <c r="I2647" t="s">
        <v>3924</v>
      </c>
      <c r="J2647" t="s">
        <v>3925</v>
      </c>
    </row>
    <row r="2648" spans="9:10" x14ac:dyDescent="0.25">
      <c r="I2648" t="s">
        <v>280</v>
      </c>
      <c r="J2648" t="s">
        <v>6000</v>
      </c>
    </row>
    <row r="2649" spans="9:10" x14ac:dyDescent="0.25">
      <c r="I2649" t="s">
        <v>5885</v>
      </c>
      <c r="J2649" t="s">
        <v>6369</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L2406"/>
  <sheetViews>
    <sheetView tabSelected="1" workbookViewId="0">
      <selection activeCell="F30" sqref="F30"/>
    </sheetView>
  </sheetViews>
  <sheetFormatPr defaultRowHeight="15" x14ac:dyDescent="0.25"/>
  <cols>
    <col min="8" max="8" width="40.140625" customWidth="1"/>
    <col min="9" max="9" width="22.42578125" customWidth="1"/>
    <col min="10" max="10" width="20.85546875" customWidth="1"/>
    <col min="11" max="11" width="24.28515625" customWidth="1"/>
    <col min="12" max="12" width="25.28515625" customWidth="1"/>
    <col min="13" max="13" width="10.85546875" customWidth="1"/>
  </cols>
  <sheetData>
    <row r="2" spans="2:12" x14ac:dyDescent="0.25">
      <c r="B2" t="s">
        <v>8026</v>
      </c>
    </row>
    <row r="3" spans="2:12" x14ac:dyDescent="0.25">
      <c r="C3" t="s">
        <v>8036</v>
      </c>
    </row>
    <row r="4" spans="2:12" x14ac:dyDescent="0.25">
      <c r="C4" t="s">
        <v>8035</v>
      </c>
    </row>
    <row r="6" spans="2:12" x14ac:dyDescent="0.25">
      <c r="H6" t="s">
        <v>8024</v>
      </c>
      <c r="I6" t="s">
        <v>8031</v>
      </c>
      <c r="J6" t="s">
        <v>8032</v>
      </c>
      <c r="K6" t="s">
        <v>8033</v>
      </c>
      <c r="L6" t="s">
        <v>8034</v>
      </c>
    </row>
    <row r="7" spans="2:12" x14ac:dyDescent="0.25">
      <c r="F7" t="s">
        <v>8025</v>
      </c>
      <c r="H7" t="s">
        <v>6668</v>
      </c>
      <c r="I7" t="s">
        <v>12</v>
      </c>
    </row>
    <row r="8" spans="2:12" x14ac:dyDescent="0.25">
      <c r="H8" t="s">
        <v>6145</v>
      </c>
      <c r="I8" t="s">
        <v>12</v>
      </c>
      <c r="J8" t="s">
        <v>2</v>
      </c>
    </row>
    <row r="9" spans="2:12" x14ac:dyDescent="0.25">
      <c r="H9" t="s">
        <v>5846</v>
      </c>
      <c r="I9" t="s">
        <v>12</v>
      </c>
      <c r="J9" t="s">
        <v>2</v>
      </c>
    </row>
    <row r="10" spans="2:12" x14ac:dyDescent="0.25">
      <c r="H10" t="s">
        <v>5818</v>
      </c>
      <c r="I10" t="s">
        <v>12</v>
      </c>
      <c r="J10" t="s">
        <v>2</v>
      </c>
    </row>
    <row r="11" spans="2:12" x14ac:dyDescent="0.25">
      <c r="H11" t="s">
        <v>10</v>
      </c>
      <c r="I11" t="s">
        <v>12</v>
      </c>
    </row>
    <row r="12" spans="2:12" x14ac:dyDescent="0.25">
      <c r="H12" t="s">
        <v>5514</v>
      </c>
      <c r="I12" t="s">
        <v>12</v>
      </c>
      <c r="J12" t="s">
        <v>2</v>
      </c>
    </row>
    <row r="13" spans="2:12" x14ac:dyDescent="0.25">
      <c r="H13" t="s">
        <v>10</v>
      </c>
      <c r="I13" t="s">
        <v>12</v>
      </c>
      <c r="J13" t="s">
        <v>2</v>
      </c>
    </row>
    <row r="14" spans="2:12" x14ac:dyDescent="0.25">
      <c r="H14" t="s">
        <v>6842</v>
      </c>
      <c r="I14" t="s">
        <v>2</v>
      </c>
    </row>
    <row r="15" spans="2:12" x14ac:dyDescent="0.25">
      <c r="H15" t="s">
        <v>6521</v>
      </c>
      <c r="I15" t="s">
        <v>2</v>
      </c>
    </row>
    <row r="16" spans="2:12" x14ac:dyDescent="0.25">
      <c r="H16" t="s">
        <v>0</v>
      </c>
      <c r="I16" t="s">
        <v>2</v>
      </c>
    </row>
    <row r="17" spans="8:10" x14ac:dyDescent="0.25">
      <c r="H17" t="s">
        <v>6394</v>
      </c>
      <c r="I17" t="s">
        <v>2</v>
      </c>
    </row>
    <row r="18" spans="8:10" x14ac:dyDescent="0.25">
      <c r="H18" t="s">
        <v>0</v>
      </c>
      <c r="I18" t="s">
        <v>2</v>
      </c>
    </row>
    <row r="19" spans="8:10" x14ac:dyDescent="0.25">
      <c r="H19" t="s">
        <v>6312</v>
      </c>
      <c r="I19" t="s">
        <v>2</v>
      </c>
    </row>
    <row r="20" spans="8:10" x14ac:dyDescent="0.25">
      <c r="H20" t="s">
        <v>0</v>
      </c>
      <c r="I20" t="s">
        <v>2</v>
      </c>
    </row>
    <row r="21" spans="8:10" x14ac:dyDescent="0.25">
      <c r="H21" t="s">
        <v>6016</v>
      </c>
      <c r="I21" t="s">
        <v>2</v>
      </c>
    </row>
    <row r="22" spans="8:10" x14ac:dyDescent="0.25">
      <c r="H22" t="s">
        <v>0</v>
      </c>
      <c r="I22" t="s">
        <v>2</v>
      </c>
    </row>
    <row r="23" spans="8:10" x14ac:dyDescent="0.25">
      <c r="H23" t="s">
        <v>5386</v>
      </c>
      <c r="I23" t="s">
        <v>2</v>
      </c>
    </row>
    <row r="24" spans="8:10" x14ac:dyDescent="0.25">
      <c r="H24" t="s">
        <v>6882</v>
      </c>
      <c r="I24" t="s">
        <v>13</v>
      </c>
      <c r="J24" t="s">
        <v>3</v>
      </c>
    </row>
    <row r="25" spans="8:10" x14ac:dyDescent="0.25">
      <c r="H25" t="s">
        <v>6850</v>
      </c>
      <c r="I25" t="s">
        <v>13</v>
      </c>
    </row>
    <row r="26" spans="8:10" x14ac:dyDescent="0.25">
      <c r="H26" t="s">
        <v>6785</v>
      </c>
      <c r="I26" t="s">
        <v>13</v>
      </c>
      <c r="J26" t="s">
        <v>3</v>
      </c>
    </row>
    <row r="27" spans="8:10" x14ac:dyDescent="0.25">
      <c r="H27" t="s">
        <v>6653</v>
      </c>
      <c r="I27" t="s">
        <v>13</v>
      </c>
    </row>
    <row r="28" spans="8:10" x14ac:dyDescent="0.25">
      <c r="H28" t="s">
        <v>11</v>
      </c>
      <c r="I28" t="s">
        <v>13</v>
      </c>
    </row>
    <row r="29" spans="8:10" x14ac:dyDescent="0.25">
      <c r="H29" t="s">
        <v>6540</v>
      </c>
      <c r="I29" t="s">
        <v>13</v>
      </c>
      <c r="J29" t="s">
        <v>3</v>
      </c>
    </row>
    <row r="30" spans="8:10" x14ac:dyDescent="0.25">
      <c r="H30" t="s">
        <v>6333</v>
      </c>
      <c r="I30" t="s">
        <v>13</v>
      </c>
      <c r="J30" t="s">
        <v>3</v>
      </c>
    </row>
    <row r="31" spans="8:10" x14ac:dyDescent="0.25">
      <c r="H31" t="s">
        <v>5467</v>
      </c>
      <c r="I31" t="s">
        <v>13</v>
      </c>
    </row>
    <row r="32" spans="8:10" x14ac:dyDescent="0.25">
      <c r="H32" t="s">
        <v>11</v>
      </c>
      <c r="I32" t="s">
        <v>13</v>
      </c>
    </row>
    <row r="33" spans="8:10" x14ac:dyDescent="0.25">
      <c r="H33" t="s">
        <v>11</v>
      </c>
      <c r="I33" t="s">
        <v>13</v>
      </c>
    </row>
    <row r="34" spans="8:10" x14ac:dyDescent="0.25">
      <c r="H34" t="s">
        <v>5467</v>
      </c>
      <c r="I34" t="s">
        <v>13</v>
      </c>
    </row>
    <row r="35" spans="8:10" x14ac:dyDescent="0.25">
      <c r="H35" t="s">
        <v>5467</v>
      </c>
      <c r="I35" t="s">
        <v>13</v>
      </c>
    </row>
    <row r="36" spans="8:10" x14ac:dyDescent="0.25">
      <c r="H36" t="s">
        <v>6871</v>
      </c>
      <c r="I36" t="s">
        <v>3</v>
      </c>
    </row>
    <row r="37" spans="8:10" x14ac:dyDescent="0.25">
      <c r="H37" t="s">
        <v>1</v>
      </c>
      <c r="I37" t="s">
        <v>3</v>
      </c>
    </row>
    <row r="38" spans="8:10" x14ac:dyDescent="0.25">
      <c r="H38" t="s">
        <v>6294</v>
      </c>
      <c r="I38" t="s">
        <v>3</v>
      </c>
    </row>
    <row r="39" spans="8:10" x14ac:dyDescent="0.25">
      <c r="H39" t="s">
        <v>6187</v>
      </c>
      <c r="I39" t="s">
        <v>3</v>
      </c>
    </row>
    <row r="40" spans="8:10" x14ac:dyDescent="0.25">
      <c r="H40" t="s">
        <v>1</v>
      </c>
      <c r="I40" t="s">
        <v>3</v>
      </c>
    </row>
    <row r="41" spans="8:10" x14ac:dyDescent="0.25">
      <c r="H41" t="s">
        <v>1</v>
      </c>
      <c r="I41" t="s">
        <v>3</v>
      </c>
    </row>
    <row r="42" spans="8:10" x14ac:dyDescent="0.25">
      <c r="H42" t="s">
        <v>407</v>
      </c>
      <c r="I42" t="s">
        <v>408</v>
      </c>
      <c r="J42" t="s">
        <v>410</v>
      </c>
    </row>
    <row r="43" spans="8:10" x14ac:dyDescent="0.25">
      <c r="H43" t="s">
        <v>407</v>
      </c>
      <c r="I43" t="s">
        <v>408</v>
      </c>
    </row>
    <row r="44" spans="8:10" x14ac:dyDescent="0.25">
      <c r="H44" t="s">
        <v>407</v>
      </c>
      <c r="I44" t="s">
        <v>408</v>
      </c>
    </row>
    <row r="45" spans="8:10" x14ac:dyDescent="0.25">
      <c r="H45" t="s">
        <v>6306</v>
      </c>
      <c r="I45" t="s">
        <v>408</v>
      </c>
      <c r="J45" t="s">
        <v>410</v>
      </c>
    </row>
    <row r="46" spans="8:10" x14ac:dyDescent="0.25">
      <c r="H46" t="s">
        <v>407</v>
      </c>
      <c r="I46" t="s">
        <v>408</v>
      </c>
    </row>
    <row r="47" spans="8:10" x14ac:dyDescent="0.25">
      <c r="H47" t="s">
        <v>407</v>
      </c>
      <c r="I47" t="s">
        <v>408</v>
      </c>
    </row>
    <row r="48" spans="8:10" x14ac:dyDescent="0.25">
      <c r="H48" t="s">
        <v>6030</v>
      </c>
      <c r="I48" t="s">
        <v>408</v>
      </c>
      <c r="J48" t="s">
        <v>410</v>
      </c>
    </row>
    <row r="49" spans="8:12" x14ac:dyDescent="0.25">
      <c r="H49" t="s">
        <v>5866</v>
      </c>
      <c r="I49" t="s">
        <v>408</v>
      </c>
    </row>
    <row r="50" spans="8:12" x14ac:dyDescent="0.25">
      <c r="H50" t="s">
        <v>407</v>
      </c>
      <c r="I50" t="s">
        <v>408</v>
      </c>
      <c r="J50" t="s">
        <v>410</v>
      </c>
    </row>
    <row r="51" spans="8:12" x14ac:dyDescent="0.25">
      <c r="H51" t="s">
        <v>5578</v>
      </c>
      <c r="I51" t="s">
        <v>408</v>
      </c>
    </row>
    <row r="52" spans="8:12" x14ac:dyDescent="0.25">
      <c r="H52" t="s">
        <v>5333</v>
      </c>
      <c r="I52" t="s">
        <v>408</v>
      </c>
    </row>
    <row r="53" spans="8:12" x14ac:dyDescent="0.25">
      <c r="H53" t="s">
        <v>407</v>
      </c>
      <c r="I53" t="s">
        <v>408</v>
      </c>
    </row>
    <row r="54" spans="8:12" x14ac:dyDescent="0.25">
      <c r="H54" t="s">
        <v>6102</v>
      </c>
      <c r="I54" t="s">
        <v>410</v>
      </c>
    </row>
    <row r="55" spans="8:12" x14ac:dyDescent="0.25">
      <c r="H55" t="s">
        <v>6100</v>
      </c>
      <c r="I55" t="s">
        <v>410</v>
      </c>
    </row>
    <row r="56" spans="8:12" x14ac:dyDescent="0.25">
      <c r="H56" t="s">
        <v>409</v>
      </c>
      <c r="I56" t="s">
        <v>410</v>
      </c>
    </row>
    <row r="57" spans="8:12" x14ac:dyDescent="0.25">
      <c r="H57" t="s">
        <v>6006</v>
      </c>
      <c r="I57" t="s">
        <v>398</v>
      </c>
      <c r="J57" t="s">
        <v>2760</v>
      </c>
      <c r="K57" t="s">
        <v>2761</v>
      </c>
      <c r="L57" t="s">
        <v>2762</v>
      </c>
    </row>
    <row r="58" spans="8:12" x14ac:dyDescent="0.25">
      <c r="H58" t="s">
        <v>5391</v>
      </c>
      <c r="I58" t="s">
        <v>398</v>
      </c>
      <c r="J58" t="s">
        <v>2760</v>
      </c>
      <c r="K58" t="s">
        <v>2761</v>
      </c>
      <c r="L58" t="s">
        <v>2762</v>
      </c>
    </row>
    <row r="59" spans="8:12" x14ac:dyDescent="0.25">
      <c r="H59" t="s">
        <v>6723</v>
      </c>
      <c r="I59" t="s">
        <v>398</v>
      </c>
      <c r="J59" t="s">
        <v>2760</v>
      </c>
      <c r="K59" t="s">
        <v>2761</v>
      </c>
      <c r="L59" t="s">
        <v>2762</v>
      </c>
    </row>
    <row r="60" spans="8:12" x14ac:dyDescent="0.25">
      <c r="H60" t="s">
        <v>6663</v>
      </c>
      <c r="I60" t="s">
        <v>398</v>
      </c>
      <c r="J60" t="s">
        <v>2760</v>
      </c>
      <c r="K60" t="s">
        <v>2761</v>
      </c>
      <c r="L60" t="s">
        <v>2762</v>
      </c>
    </row>
    <row r="61" spans="8:12" x14ac:dyDescent="0.25">
      <c r="H61" t="s">
        <v>5371</v>
      </c>
      <c r="I61" t="s">
        <v>398</v>
      </c>
      <c r="J61" t="s">
        <v>2760</v>
      </c>
      <c r="K61" t="s">
        <v>2761</v>
      </c>
      <c r="L61" t="s">
        <v>2762</v>
      </c>
    </row>
    <row r="62" spans="8:12" x14ac:dyDescent="0.25">
      <c r="H62" t="s">
        <v>6663</v>
      </c>
      <c r="I62" t="s">
        <v>398</v>
      </c>
      <c r="J62" t="s">
        <v>2760</v>
      </c>
      <c r="K62" t="s">
        <v>2761</v>
      </c>
      <c r="L62" t="s">
        <v>2762</v>
      </c>
    </row>
    <row r="63" spans="8:12" x14ac:dyDescent="0.25">
      <c r="H63" t="s">
        <v>6627</v>
      </c>
      <c r="I63" t="s">
        <v>398</v>
      </c>
      <c r="J63" t="s">
        <v>2760</v>
      </c>
      <c r="K63" t="s">
        <v>2761</v>
      </c>
      <c r="L63" t="s">
        <v>2762</v>
      </c>
    </row>
    <row r="64" spans="8:12" x14ac:dyDescent="0.25">
      <c r="H64" t="s">
        <v>6432</v>
      </c>
      <c r="I64" t="s">
        <v>398</v>
      </c>
      <c r="J64" t="s">
        <v>2760</v>
      </c>
      <c r="K64" t="s">
        <v>2761</v>
      </c>
      <c r="L64" t="s">
        <v>2762</v>
      </c>
    </row>
    <row r="65" spans="8:12" x14ac:dyDescent="0.25">
      <c r="H65" t="s">
        <v>6427</v>
      </c>
      <c r="I65" t="s">
        <v>398</v>
      </c>
      <c r="J65" t="s">
        <v>2760</v>
      </c>
      <c r="K65" t="s">
        <v>2761</v>
      </c>
      <c r="L65" t="s">
        <v>2762</v>
      </c>
    </row>
    <row r="66" spans="8:12" x14ac:dyDescent="0.25">
      <c r="H66" t="s">
        <v>397</v>
      </c>
      <c r="I66" t="s">
        <v>398</v>
      </c>
      <c r="J66" t="s">
        <v>2760</v>
      </c>
      <c r="K66" t="s">
        <v>2761</v>
      </c>
      <c r="L66" t="s">
        <v>2762</v>
      </c>
    </row>
    <row r="67" spans="8:12" x14ac:dyDescent="0.25">
      <c r="H67" t="s">
        <v>5250</v>
      </c>
      <c r="I67" t="s">
        <v>398</v>
      </c>
      <c r="J67" t="s">
        <v>2760</v>
      </c>
      <c r="K67" t="s">
        <v>2761</v>
      </c>
      <c r="L67" t="s">
        <v>2762</v>
      </c>
    </row>
    <row r="68" spans="8:12" x14ac:dyDescent="0.25">
      <c r="H68" t="s">
        <v>5959</v>
      </c>
      <c r="I68" t="s">
        <v>398</v>
      </c>
      <c r="J68" t="s">
        <v>2760</v>
      </c>
      <c r="K68" t="s">
        <v>2761</v>
      </c>
      <c r="L68" t="s">
        <v>2762</v>
      </c>
    </row>
    <row r="69" spans="8:12" x14ac:dyDescent="0.25">
      <c r="H69" t="s">
        <v>5391</v>
      </c>
      <c r="I69" t="s">
        <v>398</v>
      </c>
      <c r="J69" t="s">
        <v>2760</v>
      </c>
      <c r="K69" t="s">
        <v>2761</v>
      </c>
      <c r="L69" t="s">
        <v>2762</v>
      </c>
    </row>
    <row r="70" spans="8:12" x14ac:dyDescent="0.25">
      <c r="H70" t="s">
        <v>397</v>
      </c>
      <c r="I70" t="s">
        <v>398</v>
      </c>
      <c r="J70" t="s">
        <v>2760</v>
      </c>
      <c r="K70" t="s">
        <v>2761</v>
      </c>
      <c r="L70" t="s">
        <v>2762</v>
      </c>
    </row>
    <row r="71" spans="8:12" x14ac:dyDescent="0.25">
      <c r="H71" t="s">
        <v>397</v>
      </c>
      <c r="I71" t="s">
        <v>398</v>
      </c>
      <c r="J71" t="s">
        <v>2760</v>
      </c>
      <c r="K71" t="s">
        <v>2761</v>
      </c>
      <c r="L71" t="s">
        <v>2762</v>
      </c>
    </row>
    <row r="72" spans="8:12" x14ac:dyDescent="0.25">
      <c r="H72" t="s">
        <v>6165</v>
      </c>
      <c r="I72" t="s">
        <v>398</v>
      </c>
      <c r="J72" t="s">
        <v>2760</v>
      </c>
      <c r="K72" t="s">
        <v>2761</v>
      </c>
      <c r="L72" t="s">
        <v>2762</v>
      </c>
    </row>
    <row r="73" spans="8:12" x14ac:dyDescent="0.25">
      <c r="H73" t="s">
        <v>6163</v>
      </c>
      <c r="I73" t="s">
        <v>398</v>
      </c>
      <c r="J73" t="s">
        <v>2760</v>
      </c>
      <c r="K73" t="s">
        <v>2761</v>
      </c>
    </row>
    <row r="74" spans="8:12" x14ac:dyDescent="0.25">
      <c r="H74" t="s">
        <v>397</v>
      </c>
      <c r="I74" t="s">
        <v>398</v>
      </c>
      <c r="J74" t="s">
        <v>2760</v>
      </c>
      <c r="K74" t="s">
        <v>2761</v>
      </c>
      <c r="L74" t="s">
        <v>2762</v>
      </c>
    </row>
    <row r="75" spans="8:12" x14ac:dyDescent="0.25">
      <c r="H75" t="s">
        <v>397</v>
      </c>
      <c r="I75" t="s">
        <v>398</v>
      </c>
      <c r="J75" t="s">
        <v>2760</v>
      </c>
      <c r="K75" t="s">
        <v>2761</v>
      </c>
      <c r="L75" t="s">
        <v>2762</v>
      </c>
    </row>
    <row r="76" spans="8:12" x14ac:dyDescent="0.25">
      <c r="H76" t="s">
        <v>397</v>
      </c>
      <c r="I76" t="s">
        <v>398</v>
      </c>
      <c r="J76" t="s">
        <v>2760</v>
      </c>
      <c r="K76" t="s">
        <v>2761</v>
      </c>
    </row>
    <row r="77" spans="8:12" x14ac:dyDescent="0.25">
      <c r="H77" t="s">
        <v>397</v>
      </c>
      <c r="I77" t="s">
        <v>398</v>
      </c>
      <c r="J77" t="s">
        <v>2760</v>
      </c>
      <c r="K77" t="s">
        <v>2761</v>
      </c>
      <c r="L77" t="s">
        <v>2762</v>
      </c>
    </row>
    <row r="78" spans="8:12" x14ac:dyDescent="0.25">
      <c r="H78" t="s">
        <v>6006</v>
      </c>
      <c r="I78" t="s">
        <v>398</v>
      </c>
      <c r="J78" t="s">
        <v>2760</v>
      </c>
      <c r="K78" t="s">
        <v>2761</v>
      </c>
      <c r="L78" t="s">
        <v>2762</v>
      </c>
    </row>
    <row r="79" spans="8:12" x14ac:dyDescent="0.25">
      <c r="H79" t="s">
        <v>5959</v>
      </c>
      <c r="I79" t="s">
        <v>398</v>
      </c>
      <c r="J79" t="s">
        <v>2760</v>
      </c>
      <c r="K79" t="s">
        <v>2761</v>
      </c>
      <c r="L79" t="s">
        <v>2762</v>
      </c>
    </row>
    <row r="80" spans="8:12" x14ac:dyDescent="0.25">
      <c r="H80" t="s">
        <v>5391</v>
      </c>
      <c r="I80" t="s">
        <v>398</v>
      </c>
      <c r="J80" t="s">
        <v>2760</v>
      </c>
      <c r="K80" t="s">
        <v>2761</v>
      </c>
      <c r="L80" t="s">
        <v>2762</v>
      </c>
    </row>
    <row r="81" spans="8:12" x14ac:dyDescent="0.25">
      <c r="H81" t="s">
        <v>397</v>
      </c>
      <c r="I81" t="s">
        <v>398</v>
      </c>
      <c r="J81" t="s">
        <v>2760</v>
      </c>
      <c r="K81" t="s">
        <v>2761</v>
      </c>
      <c r="L81" t="s">
        <v>2762</v>
      </c>
    </row>
    <row r="82" spans="8:12" x14ac:dyDescent="0.25">
      <c r="H82" t="s">
        <v>397</v>
      </c>
      <c r="I82" t="s">
        <v>398</v>
      </c>
      <c r="J82" t="s">
        <v>2760</v>
      </c>
      <c r="K82" t="s">
        <v>2761</v>
      </c>
      <c r="L82" t="s">
        <v>2762</v>
      </c>
    </row>
    <row r="83" spans="8:12" x14ac:dyDescent="0.25">
      <c r="H83" t="s">
        <v>5391</v>
      </c>
      <c r="I83" t="s">
        <v>398</v>
      </c>
      <c r="J83" t="s">
        <v>2760</v>
      </c>
      <c r="K83" t="s">
        <v>2761</v>
      </c>
      <c r="L83" t="s">
        <v>2762</v>
      </c>
    </row>
    <row r="84" spans="8:12" x14ac:dyDescent="0.25">
      <c r="H84" t="s">
        <v>5523</v>
      </c>
      <c r="I84" t="s">
        <v>398</v>
      </c>
      <c r="J84" t="s">
        <v>2760</v>
      </c>
      <c r="K84" t="s">
        <v>2761</v>
      </c>
      <c r="L84" t="s">
        <v>2762</v>
      </c>
    </row>
    <row r="85" spans="8:12" x14ac:dyDescent="0.25">
      <c r="H85" t="s">
        <v>397</v>
      </c>
      <c r="I85" t="s">
        <v>398</v>
      </c>
      <c r="J85" t="s">
        <v>2760</v>
      </c>
      <c r="K85" t="s">
        <v>2761</v>
      </c>
      <c r="L85" t="s">
        <v>2762</v>
      </c>
    </row>
    <row r="86" spans="8:12" x14ac:dyDescent="0.25">
      <c r="H86" t="s">
        <v>5391</v>
      </c>
      <c r="I86" t="s">
        <v>398</v>
      </c>
      <c r="J86" t="s">
        <v>2760</v>
      </c>
      <c r="K86" t="s">
        <v>2761</v>
      </c>
      <c r="L86" t="s">
        <v>2762</v>
      </c>
    </row>
    <row r="87" spans="8:12" x14ac:dyDescent="0.25">
      <c r="H87" t="s">
        <v>5665</v>
      </c>
      <c r="I87" t="s">
        <v>398</v>
      </c>
      <c r="J87" t="s">
        <v>2760</v>
      </c>
      <c r="K87" t="s">
        <v>2761</v>
      </c>
      <c r="L87" t="s">
        <v>2762</v>
      </c>
    </row>
    <row r="88" spans="8:12" x14ac:dyDescent="0.25">
      <c r="H88" t="s">
        <v>5598</v>
      </c>
      <c r="I88" t="s">
        <v>398</v>
      </c>
      <c r="J88" t="s">
        <v>2760</v>
      </c>
      <c r="K88" t="s">
        <v>2761</v>
      </c>
      <c r="L88" t="s">
        <v>2762</v>
      </c>
    </row>
    <row r="89" spans="8:12" x14ac:dyDescent="0.25">
      <c r="H89" t="s">
        <v>5598</v>
      </c>
      <c r="I89" t="s">
        <v>398</v>
      </c>
      <c r="J89" t="s">
        <v>2760</v>
      </c>
      <c r="K89" t="s">
        <v>2761</v>
      </c>
      <c r="L89" t="s">
        <v>2762</v>
      </c>
    </row>
    <row r="90" spans="8:12" x14ac:dyDescent="0.25">
      <c r="H90" t="s">
        <v>5523</v>
      </c>
      <c r="I90" t="s">
        <v>398</v>
      </c>
      <c r="J90" t="s">
        <v>2760</v>
      </c>
      <c r="K90" t="s">
        <v>2761</v>
      </c>
      <c r="L90" t="s">
        <v>2762</v>
      </c>
    </row>
    <row r="91" spans="8:12" x14ac:dyDescent="0.25">
      <c r="H91" t="s">
        <v>397</v>
      </c>
      <c r="I91" t="s">
        <v>398</v>
      </c>
      <c r="J91" t="s">
        <v>2760</v>
      </c>
      <c r="K91" t="s">
        <v>2761</v>
      </c>
      <c r="L91" t="s">
        <v>2762</v>
      </c>
    </row>
    <row r="92" spans="8:12" x14ac:dyDescent="0.25">
      <c r="H92" t="s">
        <v>5487</v>
      </c>
      <c r="I92" t="s">
        <v>398</v>
      </c>
      <c r="J92" t="s">
        <v>2760</v>
      </c>
      <c r="K92" t="s">
        <v>2761</v>
      </c>
      <c r="L92" t="s">
        <v>2762</v>
      </c>
    </row>
    <row r="93" spans="8:12" x14ac:dyDescent="0.25">
      <c r="H93" t="s">
        <v>5250</v>
      </c>
      <c r="I93" t="s">
        <v>398</v>
      </c>
      <c r="J93" t="s">
        <v>2760</v>
      </c>
      <c r="K93" t="s">
        <v>2761</v>
      </c>
      <c r="L93" t="s">
        <v>2762</v>
      </c>
    </row>
    <row r="94" spans="8:12" x14ac:dyDescent="0.25">
      <c r="H94" t="s">
        <v>5391</v>
      </c>
      <c r="I94" t="s">
        <v>398</v>
      </c>
      <c r="J94" t="s">
        <v>2760</v>
      </c>
      <c r="K94" t="s">
        <v>2761</v>
      </c>
      <c r="L94" t="s">
        <v>2762</v>
      </c>
    </row>
    <row r="95" spans="8:12" x14ac:dyDescent="0.25">
      <c r="H95" t="s">
        <v>397</v>
      </c>
      <c r="I95" t="s">
        <v>398</v>
      </c>
      <c r="J95" t="s">
        <v>2760</v>
      </c>
    </row>
    <row r="96" spans="8:12" x14ac:dyDescent="0.25">
      <c r="H96" t="s">
        <v>5372</v>
      </c>
      <c r="I96" t="s">
        <v>398</v>
      </c>
      <c r="J96" t="s">
        <v>2760</v>
      </c>
      <c r="K96" t="s">
        <v>2761</v>
      </c>
      <c r="L96" t="s">
        <v>2762</v>
      </c>
    </row>
    <row r="97" spans="8:12" x14ac:dyDescent="0.25">
      <c r="H97" t="s">
        <v>5371</v>
      </c>
      <c r="I97" t="s">
        <v>398</v>
      </c>
      <c r="J97" t="s">
        <v>2760</v>
      </c>
      <c r="K97" t="s">
        <v>2761</v>
      </c>
      <c r="L97" t="s">
        <v>2762</v>
      </c>
    </row>
    <row r="98" spans="8:12" x14ac:dyDescent="0.25">
      <c r="H98" t="s">
        <v>5324</v>
      </c>
      <c r="I98" t="s">
        <v>398</v>
      </c>
      <c r="J98" t="s">
        <v>2760</v>
      </c>
      <c r="K98" t="s">
        <v>2761</v>
      </c>
      <c r="L98" t="s">
        <v>2762</v>
      </c>
    </row>
    <row r="99" spans="8:12" x14ac:dyDescent="0.25">
      <c r="H99" t="s">
        <v>5318</v>
      </c>
      <c r="I99" t="s">
        <v>398</v>
      </c>
      <c r="J99" t="s">
        <v>2760</v>
      </c>
      <c r="K99" t="s">
        <v>2761</v>
      </c>
      <c r="L99" t="s">
        <v>2762</v>
      </c>
    </row>
    <row r="100" spans="8:12" x14ac:dyDescent="0.25">
      <c r="H100" t="s">
        <v>397</v>
      </c>
      <c r="I100" t="s">
        <v>398</v>
      </c>
      <c r="J100" t="s">
        <v>2760</v>
      </c>
    </row>
    <row r="101" spans="8:12" x14ac:dyDescent="0.25">
      <c r="H101" t="s">
        <v>5250</v>
      </c>
      <c r="I101" t="s">
        <v>398</v>
      </c>
      <c r="J101" t="s">
        <v>2760</v>
      </c>
      <c r="K101" t="s">
        <v>2761</v>
      </c>
      <c r="L101" t="s">
        <v>2762</v>
      </c>
    </row>
    <row r="102" spans="8:12" x14ac:dyDescent="0.25">
      <c r="H102" t="s">
        <v>4</v>
      </c>
      <c r="I102" t="s">
        <v>5</v>
      </c>
    </row>
    <row r="103" spans="8:12" x14ac:dyDescent="0.25">
      <c r="H103" t="s">
        <v>5262</v>
      </c>
      <c r="I103" t="s">
        <v>30</v>
      </c>
    </row>
    <row r="104" spans="8:12" x14ac:dyDescent="0.25">
      <c r="H104" t="s">
        <v>6782</v>
      </c>
      <c r="I104" t="s">
        <v>30</v>
      </c>
    </row>
    <row r="105" spans="8:12" x14ac:dyDescent="0.25">
      <c r="H105" t="s">
        <v>36</v>
      </c>
      <c r="I105" t="s">
        <v>30</v>
      </c>
    </row>
    <row r="106" spans="8:12" x14ac:dyDescent="0.25">
      <c r="H106" t="s">
        <v>6698</v>
      </c>
      <c r="I106" t="s">
        <v>30</v>
      </c>
    </row>
    <row r="107" spans="8:12" x14ac:dyDescent="0.25">
      <c r="H107" t="s">
        <v>6592</v>
      </c>
      <c r="I107" t="s">
        <v>30</v>
      </c>
    </row>
    <row r="108" spans="8:12" x14ac:dyDescent="0.25">
      <c r="H108" t="s">
        <v>6523</v>
      </c>
      <c r="I108" t="s">
        <v>30</v>
      </c>
    </row>
    <row r="109" spans="8:12" x14ac:dyDescent="0.25">
      <c r="H109" t="s">
        <v>36</v>
      </c>
      <c r="I109" t="s">
        <v>30</v>
      </c>
    </row>
    <row r="110" spans="8:12" x14ac:dyDescent="0.25">
      <c r="H110" t="s">
        <v>6331</v>
      </c>
      <c r="I110" t="s">
        <v>30</v>
      </c>
    </row>
    <row r="111" spans="8:12" x14ac:dyDescent="0.25">
      <c r="H111" t="s">
        <v>36</v>
      </c>
      <c r="I111" t="s">
        <v>30</v>
      </c>
    </row>
    <row r="112" spans="8:12" x14ac:dyDescent="0.25">
      <c r="H112" t="s">
        <v>6091</v>
      </c>
      <c r="I112" t="s">
        <v>30</v>
      </c>
    </row>
    <row r="113" spans="8:9" x14ac:dyDescent="0.25">
      <c r="H113" t="s">
        <v>36</v>
      </c>
      <c r="I113" t="s">
        <v>30</v>
      </c>
    </row>
    <row r="114" spans="8:9" x14ac:dyDescent="0.25">
      <c r="H114" t="s">
        <v>36</v>
      </c>
      <c r="I114" t="s">
        <v>30</v>
      </c>
    </row>
    <row r="115" spans="8:9" x14ac:dyDescent="0.25">
      <c r="H115" t="s">
        <v>5865</v>
      </c>
      <c r="I115" t="s">
        <v>30</v>
      </c>
    </row>
    <row r="116" spans="8:9" x14ac:dyDescent="0.25">
      <c r="H116" t="s">
        <v>36</v>
      </c>
      <c r="I116" t="s">
        <v>30</v>
      </c>
    </row>
    <row r="117" spans="8:9" x14ac:dyDescent="0.25">
      <c r="H117" t="s">
        <v>5720</v>
      </c>
      <c r="I117" t="s">
        <v>30</v>
      </c>
    </row>
    <row r="118" spans="8:9" x14ac:dyDescent="0.25">
      <c r="H118" t="s">
        <v>5473</v>
      </c>
      <c r="I118" t="s">
        <v>30</v>
      </c>
    </row>
    <row r="119" spans="8:9" x14ac:dyDescent="0.25">
      <c r="H119" t="s">
        <v>5655</v>
      </c>
      <c r="I119" t="s">
        <v>30</v>
      </c>
    </row>
    <row r="120" spans="8:9" x14ac:dyDescent="0.25">
      <c r="H120" t="s">
        <v>5473</v>
      </c>
      <c r="I120" t="s">
        <v>30</v>
      </c>
    </row>
    <row r="121" spans="8:9" x14ac:dyDescent="0.25">
      <c r="H121" t="s">
        <v>36</v>
      </c>
      <c r="I121" t="s">
        <v>30</v>
      </c>
    </row>
    <row r="122" spans="8:9" x14ac:dyDescent="0.25">
      <c r="H122" t="s">
        <v>5417</v>
      </c>
      <c r="I122" t="s">
        <v>30</v>
      </c>
    </row>
    <row r="123" spans="8:9" x14ac:dyDescent="0.25">
      <c r="H123" t="s">
        <v>5408</v>
      </c>
      <c r="I123" t="s">
        <v>30</v>
      </c>
    </row>
    <row r="124" spans="8:9" x14ac:dyDescent="0.25">
      <c r="H124" t="s">
        <v>4597</v>
      </c>
      <c r="I124" t="s">
        <v>30</v>
      </c>
    </row>
    <row r="125" spans="8:9" x14ac:dyDescent="0.25">
      <c r="H125" t="s">
        <v>4789</v>
      </c>
      <c r="I125" t="s">
        <v>30</v>
      </c>
    </row>
    <row r="126" spans="8:9" x14ac:dyDescent="0.25">
      <c r="H126" t="s">
        <v>36</v>
      </c>
      <c r="I126" t="s">
        <v>30</v>
      </c>
    </row>
    <row r="127" spans="8:9" x14ac:dyDescent="0.25">
      <c r="H127" t="s">
        <v>36</v>
      </c>
      <c r="I127" t="s">
        <v>30</v>
      </c>
    </row>
    <row r="128" spans="8:9" x14ac:dyDescent="0.25">
      <c r="H128" t="s">
        <v>36</v>
      </c>
      <c r="I128" t="s">
        <v>30</v>
      </c>
    </row>
    <row r="129" spans="8:9" x14ac:dyDescent="0.25">
      <c r="H129" t="s">
        <v>5262</v>
      </c>
      <c r="I129" t="s">
        <v>30</v>
      </c>
    </row>
    <row r="130" spans="8:9" x14ac:dyDescent="0.25">
      <c r="H130" t="s">
        <v>5256</v>
      </c>
      <c r="I130" t="s">
        <v>30</v>
      </c>
    </row>
    <row r="131" spans="8:9" x14ac:dyDescent="0.25">
      <c r="H131" t="s">
        <v>37</v>
      </c>
      <c r="I131" t="s">
        <v>31</v>
      </c>
    </row>
    <row r="132" spans="8:9" x14ac:dyDescent="0.25">
      <c r="H132" t="s">
        <v>37</v>
      </c>
      <c r="I132" t="s">
        <v>31</v>
      </c>
    </row>
    <row r="133" spans="8:9" x14ac:dyDescent="0.25">
      <c r="H133" t="s">
        <v>37</v>
      </c>
      <c r="I133" t="s">
        <v>31</v>
      </c>
    </row>
    <row r="134" spans="8:9" x14ac:dyDescent="0.25">
      <c r="H134" t="s">
        <v>37</v>
      </c>
      <c r="I134" t="s">
        <v>31</v>
      </c>
    </row>
    <row r="135" spans="8:9" x14ac:dyDescent="0.25">
      <c r="H135" t="s">
        <v>37</v>
      </c>
      <c r="I135" t="s">
        <v>31</v>
      </c>
    </row>
    <row r="136" spans="8:9" x14ac:dyDescent="0.25">
      <c r="H136" t="s">
        <v>37</v>
      </c>
      <c r="I136" t="s">
        <v>31</v>
      </c>
    </row>
    <row r="137" spans="8:9" x14ac:dyDescent="0.25">
      <c r="H137" t="s">
        <v>37</v>
      </c>
      <c r="I137" t="s">
        <v>31</v>
      </c>
    </row>
    <row r="138" spans="8:9" x14ac:dyDescent="0.25">
      <c r="H138" t="s">
        <v>37</v>
      </c>
      <c r="I138" t="s">
        <v>31</v>
      </c>
    </row>
    <row r="139" spans="8:9" x14ac:dyDescent="0.25">
      <c r="H139" t="s">
        <v>37</v>
      </c>
      <c r="I139" t="s">
        <v>31</v>
      </c>
    </row>
    <row r="140" spans="8:9" x14ac:dyDescent="0.25">
      <c r="H140" t="s">
        <v>37</v>
      </c>
      <c r="I140" t="s">
        <v>31</v>
      </c>
    </row>
    <row r="141" spans="8:9" x14ac:dyDescent="0.25">
      <c r="H141" t="s">
        <v>37</v>
      </c>
      <c r="I141" t="s">
        <v>31</v>
      </c>
    </row>
    <row r="142" spans="8:9" x14ac:dyDescent="0.25">
      <c r="H142" t="s">
        <v>37</v>
      </c>
      <c r="I142" t="s">
        <v>31</v>
      </c>
    </row>
    <row r="143" spans="8:9" x14ac:dyDescent="0.25">
      <c r="H143" t="s">
        <v>37</v>
      </c>
      <c r="I143" t="s">
        <v>31</v>
      </c>
    </row>
    <row r="144" spans="8:9" x14ac:dyDescent="0.25">
      <c r="H144" t="s">
        <v>37</v>
      </c>
      <c r="I144" t="s">
        <v>31</v>
      </c>
    </row>
    <row r="145" spans="8:9" x14ac:dyDescent="0.25">
      <c r="H145" t="s">
        <v>6275</v>
      </c>
      <c r="I145" t="s">
        <v>31</v>
      </c>
    </row>
    <row r="146" spans="8:9" x14ac:dyDescent="0.25">
      <c r="H146" t="s">
        <v>37</v>
      </c>
      <c r="I146" t="s">
        <v>31</v>
      </c>
    </row>
    <row r="147" spans="8:9" x14ac:dyDescent="0.25">
      <c r="H147" t="s">
        <v>37</v>
      </c>
      <c r="I147" t="s">
        <v>31</v>
      </c>
    </row>
    <row r="148" spans="8:9" x14ac:dyDescent="0.25">
      <c r="H148" t="s">
        <v>37</v>
      </c>
      <c r="I148" t="s">
        <v>31</v>
      </c>
    </row>
    <row r="149" spans="8:9" x14ac:dyDescent="0.25">
      <c r="H149" t="s">
        <v>4965</v>
      </c>
      <c r="I149" t="s">
        <v>31</v>
      </c>
    </row>
    <row r="150" spans="8:9" x14ac:dyDescent="0.25">
      <c r="H150" t="s">
        <v>37</v>
      </c>
      <c r="I150" t="s">
        <v>31</v>
      </c>
    </row>
    <row r="151" spans="8:9" x14ac:dyDescent="0.25">
      <c r="H151" t="s">
        <v>37</v>
      </c>
      <c r="I151" t="s">
        <v>31</v>
      </c>
    </row>
    <row r="152" spans="8:9" x14ac:dyDescent="0.25">
      <c r="H152" t="s">
        <v>37</v>
      </c>
      <c r="I152" t="s">
        <v>31</v>
      </c>
    </row>
    <row r="153" spans="8:9" x14ac:dyDescent="0.25">
      <c r="H153" t="s">
        <v>37</v>
      </c>
      <c r="I153" t="s">
        <v>31</v>
      </c>
    </row>
    <row r="154" spans="8:9" x14ac:dyDescent="0.25">
      <c r="H154" t="s">
        <v>37</v>
      </c>
      <c r="I154" t="s">
        <v>31</v>
      </c>
    </row>
    <row r="155" spans="8:9" x14ac:dyDescent="0.25">
      <c r="H155" t="s">
        <v>37</v>
      </c>
      <c r="I155" t="s">
        <v>31</v>
      </c>
    </row>
    <row r="156" spans="8:9" x14ac:dyDescent="0.25">
      <c r="H156" t="s">
        <v>6011</v>
      </c>
      <c r="I156" t="s">
        <v>31</v>
      </c>
    </row>
    <row r="157" spans="8:9" x14ac:dyDescent="0.25">
      <c r="H157" t="s">
        <v>37</v>
      </c>
      <c r="I157" t="s">
        <v>31</v>
      </c>
    </row>
    <row r="158" spans="8:9" x14ac:dyDescent="0.25">
      <c r="H158" t="s">
        <v>5931</v>
      </c>
      <c r="I158" t="s">
        <v>31</v>
      </c>
    </row>
    <row r="159" spans="8:9" x14ac:dyDescent="0.25">
      <c r="H159" t="s">
        <v>5920</v>
      </c>
      <c r="I159" t="s">
        <v>31</v>
      </c>
    </row>
    <row r="160" spans="8:9" x14ac:dyDescent="0.25">
      <c r="H160" t="s">
        <v>37</v>
      </c>
      <c r="I160" t="s">
        <v>31</v>
      </c>
    </row>
    <row r="161" spans="8:9" x14ac:dyDescent="0.25">
      <c r="H161" t="s">
        <v>37</v>
      </c>
      <c r="I161" t="s">
        <v>31</v>
      </c>
    </row>
    <row r="162" spans="8:9" x14ac:dyDescent="0.25">
      <c r="H162" t="s">
        <v>37</v>
      </c>
      <c r="I162" t="s">
        <v>31</v>
      </c>
    </row>
    <row r="163" spans="8:9" x14ac:dyDescent="0.25">
      <c r="H163" t="s">
        <v>5702</v>
      </c>
      <c r="I163" t="s">
        <v>31</v>
      </c>
    </row>
    <row r="164" spans="8:9" x14ac:dyDescent="0.25">
      <c r="H164" t="s">
        <v>37</v>
      </c>
      <c r="I164" t="s">
        <v>31</v>
      </c>
    </row>
    <row r="165" spans="8:9" x14ac:dyDescent="0.25">
      <c r="H165" t="s">
        <v>37</v>
      </c>
      <c r="I165" t="s">
        <v>31</v>
      </c>
    </row>
    <row r="166" spans="8:9" x14ac:dyDescent="0.25">
      <c r="H166" t="s">
        <v>37</v>
      </c>
      <c r="I166" t="s">
        <v>31</v>
      </c>
    </row>
    <row r="167" spans="8:9" x14ac:dyDescent="0.25">
      <c r="H167" t="s">
        <v>37</v>
      </c>
      <c r="I167" t="s">
        <v>31</v>
      </c>
    </row>
    <row r="168" spans="8:9" x14ac:dyDescent="0.25">
      <c r="H168" t="s">
        <v>37</v>
      </c>
      <c r="I168" t="s">
        <v>31</v>
      </c>
    </row>
    <row r="169" spans="8:9" x14ac:dyDescent="0.25">
      <c r="H169" t="s">
        <v>37</v>
      </c>
      <c r="I169" t="s">
        <v>31</v>
      </c>
    </row>
    <row r="170" spans="8:9" x14ac:dyDescent="0.25">
      <c r="H170" t="s">
        <v>37</v>
      </c>
      <c r="I170" t="s">
        <v>31</v>
      </c>
    </row>
    <row r="171" spans="8:9" x14ac:dyDescent="0.25">
      <c r="H171" t="s">
        <v>37</v>
      </c>
      <c r="I171" t="s">
        <v>31</v>
      </c>
    </row>
    <row r="172" spans="8:9" x14ac:dyDescent="0.25">
      <c r="H172" t="s">
        <v>21</v>
      </c>
      <c r="I172" t="s">
        <v>19</v>
      </c>
    </row>
    <row r="173" spans="8:9" x14ac:dyDescent="0.25">
      <c r="H173" t="s">
        <v>21</v>
      </c>
      <c r="I173" t="s">
        <v>19</v>
      </c>
    </row>
    <row r="174" spans="8:9" x14ac:dyDescent="0.25">
      <c r="H174" t="s">
        <v>21</v>
      </c>
      <c r="I174" t="s">
        <v>19</v>
      </c>
    </row>
    <row r="175" spans="8:9" x14ac:dyDescent="0.25">
      <c r="H175" t="s">
        <v>6162</v>
      </c>
      <c r="I175" t="s">
        <v>19</v>
      </c>
    </row>
    <row r="176" spans="8:9" x14ac:dyDescent="0.25">
      <c r="H176" t="s">
        <v>5917</v>
      </c>
      <c r="I176" t="s">
        <v>19</v>
      </c>
    </row>
    <row r="177" spans="8:9" x14ac:dyDescent="0.25">
      <c r="H177" t="s">
        <v>5712</v>
      </c>
      <c r="I177" t="s">
        <v>19</v>
      </c>
    </row>
    <row r="178" spans="8:9" x14ac:dyDescent="0.25">
      <c r="H178" t="s">
        <v>21</v>
      </c>
      <c r="I178" t="s">
        <v>19</v>
      </c>
    </row>
    <row r="179" spans="8:9" x14ac:dyDescent="0.25">
      <c r="H179" t="s">
        <v>5575</v>
      </c>
      <c r="I179" t="s">
        <v>19</v>
      </c>
    </row>
    <row r="180" spans="8:9" x14ac:dyDescent="0.25">
      <c r="H180" t="s">
        <v>5544</v>
      </c>
      <c r="I180" t="s">
        <v>19</v>
      </c>
    </row>
    <row r="181" spans="8:9" x14ac:dyDescent="0.25">
      <c r="H181" t="s">
        <v>21</v>
      </c>
      <c r="I181" t="s">
        <v>19</v>
      </c>
    </row>
    <row r="182" spans="8:9" x14ac:dyDescent="0.25">
      <c r="H182" t="s">
        <v>5389</v>
      </c>
      <c r="I182" t="s">
        <v>19</v>
      </c>
    </row>
    <row r="183" spans="8:9" x14ac:dyDescent="0.25">
      <c r="H183" t="s">
        <v>21</v>
      </c>
      <c r="I183" t="s">
        <v>19</v>
      </c>
    </row>
    <row r="184" spans="8:9" x14ac:dyDescent="0.25">
      <c r="H184" t="s">
        <v>5307</v>
      </c>
      <c r="I184" t="s">
        <v>19</v>
      </c>
    </row>
    <row r="185" spans="8:9" x14ac:dyDescent="0.25">
      <c r="H185" t="s">
        <v>2730</v>
      </c>
      <c r="I185" t="s">
        <v>2732</v>
      </c>
    </row>
    <row r="186" spans="8:9" x14ac:dyDescent="0.25">
      <c r="H186" t="s">
        <v>2730</v>
      </c>
      <c r="I186" t="s">
        <v>2732</v>
      </c>
    </row>
    <row r="187" spans="8:9" x14ac:dyDescent="0.25">
      <c r="H187" t="s">
        <v>2730</v>
      </c>
      <c r="I187" t="s">
        <v>2732</v>
      </c>
    </row>
    <row r="188" spans="8:9" x14ac:dyDescent="0.25">
      <c r="H188" t="s">
        <v>2730</v>
      </c>
      <c r="I188" t="s">
        <v>2732</v>
      </c>
    </row>
    <row r="189" spans="8:9" x14ac:dyDescent="0.25">
      <c r="H189" t="s">
        <v>2730</v>
      </c>
      <c r="I189" t="s">
        <v>2732</v>
      </c>
    </row>
    <row r="190" spans="8:9" x14ac:dyDescent="0.25">
      <c r="H190" t="s">
        <v>2730</v>
      </c>
      <c r="I190" t="s">
        <v>2732</v>
      </c>
    </row>
    <row r="191" spans="8:9" x14ac:dyDescent="0.25">
      <c r="H191" t="s">
        <v>2730</v>
      </c>
      <c r="I191" t="s">
        <v>2732</v>
      </c>
    </row>
    <row r="192" spans="8:9" x14ac:dyDescent="0.25">
      <c r="H192" t="s">
        <v>2730</v>
      </c>
      <c r="I192" t="s">
        <v>2732</v>
      </c>
    </row>
    <row r="193" spans="8:12" x14ac:dyDescent="0.25">
      <c r="H193" t="s">
        <v>2730</v>
      </c>
      <c r="I193" t="s">
        <v>2732</v>
      </c>
    </row>
    <row r="194" spans="8:12" x14ac:dyDescent="0.25">
      <c r="H194" t="s">
        <v>2730</v>
      </c>
      <c r="I194" t="s">
        <v>2732</v>
      </c>
    </row>
    <row r="195" spans="8:12" x14ac:dyDescent="0.25">
      <c r="H195" t="s">
        <v>6580</v>
      </c>
      <c r="I195" t="s">
        <v>362</v>
      </c>
    </row>
    <row r="196" spans="8:12" x14ac:dyDescent="0.25">
      <c r="H196" t="s">
        <v>6398</v>
      </c>
      <c r="I196" t="s">
        <v>362</v>
      </c>
    </row>
    <row r="197" spans="8:12" x14ac:dyDescent="0.25">
      <c r="H197" t="s">
        <v>5441</v>
      </c>
      <c r="I197" t="s">
        <v>362</v>
      </c>
    </row>
    <row r="198" spans="8:12" x14ac:dyDescent="0.25">
      <c r="H198" t="s">
        <v>5872</v>
      </c>
      <c r="I198" t="s">
        <v>86</v>
      </c>
      <c r="J198" t="s">
        <v>87</v>
      </c>
      <c r="K198" t="s">
        <v>88</v>
      </c>
      <c r="L198" t="s">
        <v>89</v>
      </c>
    </row>
    <row r="199" spans="8:12" x14ac:dyDescent="0.25">
      <c r="H199" t="s">
        <v>254</v>
      </c>
      <c r="I199" t="s">
        <v>86</v>
      </c>
      <c r="J199" t="s">
        <v>87</v>
      </c>
      <c r="K199" t="s">
        <v>88</v>
      </c>
      <c r="L199" t="s">
        <v>89</v>
      </c>
    </row>
    <row r="200" spans="8:12" x14ac:dyDescent="0.25">
      <c r="H200" t="s">
        <v>6875</v>
      </c>
      <c r="I200" t="s">
        <v>86</v>
      </c>
    </row>
    <row r="201" spans="8:12" x14ac:dyDescent="0.25">
      <c r="H201" t="s">
        <v>6343</v>
      </c>
      <c r="I201" t="s">
        <v>86</v>
      </c>
      <c r="J201" t="s">
        <v>87</v>
      </c>
      <c r="K201" t="s">
        <v>88</v>
      </c>
      <c r="L201" t="s">
        <v>89</v>
      </c>
    </row>
    <row r="202" spans="8:12" x14ac:dyDescent="0.25">
      <c r="H202" t="s">
        <v>6870</v>
      </c>
      <c r="I202" t="s">
        <v>86</v>
      </c>
      <c r="J202" t="s">
        <v>87</v>
      </c>
      <c r="K202" t="s">
        <v>88</v>
      </c>
      <c r="L202" t="s">
        <v>89</v>
      </c>
    </row>
    <row r="203" spans="8:12" x14ac:dyDescent="0.25">
      <c r="H203" t="s">
        <v>6128</v>
      </c>
      <c r="I203" t="s">
        <v>86</v>
      </c>
      <c r="J203" t="s">
        <v>87</v>
      </c>
      <c r="K203" t="s">
        <v>88</v>
      </c>
      <c r="L203" t="s">
        <v>89</v>
      </c>
    </row>
    <row r="204" spans="8:12" x14ac:dyDescent="0.25">
      <c r="H204" t="s">
        <v>254</v>
      </c>
      <c r="I204" t="s">
        <v>86</v>
      </c>
      <c r="J204" t="s">
        <v>87</v>
      </c>
      <c r="K204" t="s">
        <v>88</v>
      </c>
      <c r="L204" t="s">
        <v>89</v>
      </c>
    </row>
    <row r="205" spans="8:12" x14ac:dyDescent="0.25">
      <c r="H205" t="s">
        <v>6004</v>
      </c>
      <c r="I205" t="s">
        <v>86</v>
      </c>
      <c r="J205" t="s">
        <v>87</v>
      </c>
      <c r="K205" t="s">
        <v>88</v>
      </c>
      <c r="L205" t="s">
        <v>89</v>
      </c>
    </row>
    <row r="206" spans="8:12" x14ac:dyDescent="0.25">
      <c r="H206" t="s">
        <v>6661</v>
      </c>
      <c r="I206" t="s">
        <v>86</v>
      </c>
      <c r="J206" t="s">
        <v>87</v>
      </c>
      <c r="K206" t="s">
        <v>88</v>
      </c>
      <c r="L206" t="s">
        <v>89</v>
      </c>
    </row>
    <row r="207" spans="8:12" x14ac:dyDescent="0.25">
      <c r="H207" t="s">
        <v>6856</v>
      </c>
      <c r="I207" t="s">
        <v>86</v>
      </c>
    </row>
    <row r="208" spans="8:12" x14ac:dyDescent="0.25">
      <c r="H208" t="s">
        <v>5641</v>
      </c>
      <c r="I208" t="s">
        <v>86</v>
      </c>
      <c r="J208" t="s">
        <v>87</v>
      </c>
      <c r="K208" t="s">
        <v>88</v>
      </c>
      <c r="L208" t="s">
        <v>89</v>
      </c>
    </row>
    <row r="209" spans="8:12" x14ac:dyDescent="0.25">
      <c r="H209" t="s">
        <v>90</v>
      </c>
      <c r="I209" t="s">
        <v>86</v>
      </c>
    </row>
    <row r="210" spans="8:12" x14ac:dyDescent="0.25">
      <c r="H210" t="s">
        <v>254</v>
      </c>
      <c r="I210" t="s">
        <v>86</v>
      </c>
      <c r="J210" t="s">
        <v>87</v>
      </c>
      <c r="K210" t="s">
        <v>88</v>
      </c>
      <c r="L210" t="s">
        <v>89</v>
      </c>
    </row>
    <row r="211" spans="8:12" x14ac:dyDescent="0.25">
      <c r="H211" t="s">
        <v>254</v>
      </c>
      <c r="I211" t="s">
        <v>86</v>
      </c>
      <c r="J211" t="s">
        <v>87</v>
      </c>
      <c r="K211" t="s">
        <v>88</v>
      </c>
      <c r="L211" t="s">
        <v>89</v>
      </c>
    </row>
    <row r="212" spans="8:12" x14ac:dyDescent="0.25">
      <c r="H212" t="s">
        <v>254</v>
      </c>
      <c r="I212" t="s">
        <v>86</v>
      </c>
      <c r="J212" t="s">
        <v>87</v>
      </c>
      <c r="K212" t="s">
        <v>88</v>
      </c>
      <c r="L212" t="s">
        <v>89</v>
      </c>
    </row>
    <row r="213" spans="8:12" x14ac:dyDescent="0.25">
      <c r="H213" t="s">
        <v>253</v>
      </c>
      <c r="I213" t="s">
        <v>86</v>
      </c>
      <c r="J213" t="s">
        <v>87</v>
      </c>
      <c r="K213" t="s">
        <v>88</v>
      </c>
      <c r="L213" t="s">
        <v>89</v>
      </c>
    </row>
    <row r="214" spans="8:12" x14ac:dyDescent="0.25">
      <c r="H214" t="s">
        <v>90</v>
      </c>
      <c r="I214" t="s">
        <v>86</v>
      </c>
    </row>
    <row r="215" spans="8:12" x14ac:dyDescent="0.25">
      <c r="H215" t="s">
        <v>253</v>
      </c>
      <c r="I215" t="s">
        <v>86</v>
      </c>
      <c r="J215" t="s">
        <v>87</v>
      </c>
      <c r="K215" t="s">
        <v>88</v>
      </c>
      <c r="L215" t="s">
        <v>89</v>
      </c>
    </row>
    <row r="216" spans="8:12" x14ac:dyDescent="0.25">
      <c r="H216" t="s">
        <v>6805</v>
      </c>
      <c r="I216" t="s">
        <v>86</v>
      </c>
    </row>
    <row r="217" spans="8:12" x14ac:dyDescent="0.25">
      <c r="H217" t="s">
        <v>254</v>
      </c>
      <c r="I217" t="s">
        <v>86</v>
      </c>
      <c r="J217" t="s">
        <v>87</v>
      </c>
      <c r="K217" t="s">
        <v>88</v>
      </c>
      <c r="L217" t="s">
        <v>89</v>
      </c>
    </row>
    <row r="218" spans="8:12" x14ac:dyDescent="0.25">
      <c r="H218" t="s">
        <v>90</v>
      </c>
      <c r="I218" t="s">
        <v>86</v>
      </c>
    </row>
    <row r="219" spans="8:12" x14ac:dyDescent="0.25">
      <c r="H219" t="s">
        <v>254</v>
      </c>
      <c r="I219" t="s">
        <v>86</v>
      </c>
      <c r="J219" t="s">
        <v>87</v>
      </c>
      <c r="K219" t="s">
        <v>88</v>
      </c>
      <c r="L219" t="s">
        <v>89</v>
      </c>
    </row>
    <row r="220" spans="8:12" x14ac:dyDescent="0.25">
      <c r="H220" t="s">
        <v>5323</v>
      </c>
      <c r="I220" t="s">
        <v>86</v>
      </c>
      <c r="J220" t="s">
        <v>87</v>
      </c>
      <c r="K220" t="s">
        <v>88</v>
      </c>
      <c r="L220" t="s">
        <v>89</v>
      </c>
    </row>
    <row r="221" spans="8:12" x14ac:dyDescent="0.25">
      <c r="H221" t="s">
        <v>254</v>
      </c>
      <c r="I221" t="s">
        <v>86</v>
      </c>
      <c r="J221" t="s">
        <v>87</v>
      </c>
      <c r="K221" t="s">
        <v>88</v>
      </c>
      <c r="L221" t="s">
        <v>89</v>
      </c>
    </row>
    <row r="222" spans="8:12" x14ac:dyDescent="0.25">
      <c r="H222" t="s">
        <v>254</v>
      </c>
      <c r="I222" t="s">
        <v>86</v>
      </c>
      <c r="J222" t="s">
        <v>87</v>
      </c>
      <c r="K222" t="s">
        <v>88</v>
      </c>
      <c r="L222" t="s">
        <v>89</v>
      </c>
    </row>
    <row r="223" spans="8:12" x14ac:dyDescent="0.25">
      <c r="H223" t="s">
        <v>6777</v>
      </c>
      <c r="I223" t="s">
        <v>86</v>
      </c>
      <c r="J223" t="s">
        <v>87</v>
      </c>
      <c r="K223" t="s">
        <v>88</v>
      </c>
      <c r="L223" t="s">
        <v>89</v>
      </c>
    </row>
    <row r="224" spans="8:12" x14ac:dyDescent="0.25">
      <c r="H224" t="s">
        <v>254</v>
      </c>
      <c r="I224" t="s">
        <v>86</v>
      </c>
      <c r="J224" t="s">
        <v>87</v>
      </c>
      <c r="K224" t="s">
        <v>88</v>
      </c>
      <c r="L224" t="s">
        <v>89</v>
      </c>
    </row>
    <row r="225" spans="8:12" x14ac:dyDescent="0.25">
      <c r="H225" t="s">
        <v>254</v>
      </c>
      <c r="I225" t="s">
        <v>86</v>
      </c>
      <c r="J225" t="s">
        <v>87</v>
      </c>
      <c r="K225" t="s">
        <v>88</v>
      </c>
      <c r="L225" t="s">
        <v>89</v>
      </c>
    </row>
    <row r="226" spans="8:12" x14ac:dyDescent="0.25">
      <c r="H226" t="s">
        <v>5294</v>
      </c>
      <c r="I226" t="s">
        <v>86</v>
      </c>
      <c r="J226" t="s">
        <v>87</v>
      </c>
      <c r="K226" t="s">
        <v>88</v>
      </c>
      <c r="L226" t="s">
        <v>89</v>
      </c>
    </row>
    <row r="227" spans="8:12" x14ac:dyDescent="0.25">
      <c r="H227" t="s">
        <v>254</v>
      </c>
      <c r="I227" t="s">
        <v>86</v>
      </c>
      <c r="J227" t="s">
        <v>87</v>
      </c>
      <c r="K227" t="s">
        <v>88</v>
      </c>
      <c r="L227" t="s">
        <v>89</v>
      </c>
    </row>
    <row r="228" spans="8:12" x14ac:dyDescent="0.25">
      <c r="H228" t="s">
        <v>6735</v>
      </c>
      <c r="I228" t="s">
        <v>86</v>
      </c>
    </row>
    <row r="229" spans="8:12" x14ac:dyDescent="0.25">
      <c r="H229" t="s">
        <v>254</v>
      </c>
      <c r="I229" t="s">
        <v>86</v>
      </c>
      <c r="J229" t="s">
        <v>87</v>
      </c>
      <c r="K229" t="s">
        <v>88</v>
      </c>
      <c r="L229" t="s">
        <v>89</v>
      </c>
    </row>
    <row r="230" spans="8:12" x14ac:dyDescent="0.25">
      <c r="H230" t="s">
        <v>5321</v>
      </c>
      <c r="I230" t="s">
        <v>86</v>
      </c>
    </row>
    <row r="231" spans="8:12" x14ac:dyDescent="0.25">
      <c r="H231" t="s">
        <v>6714</v>
      </c>
      <c r="I231" t="s">
        <v>86</v>
      </c>
    </row>
    <row r="232" spans="8:12" x14ac:dyDescent="0.25">
      <c r="H232" t="s">
        <v>254</v>
      </c>
      <c r="I232" t="s">
        <v>86</v>
      </c>
      <c r="J232" t="s">
        <v>87</v>
      </c>
      <c r="K232" t="s">
        <v>88</v>
      </c>
      <c r="L232" t="s">
        <v>89</v>
      </c>
    </row>
    <row r="233" spans="8:12" x14ac:dyDescent="0.25">
      <c r="H233" t="s">
        <v>253</v>
      </c>
      <c r="I233" t="s">
        <v>86</v>
      </c>
      <c r="J233" t="s">
        <v>86</v>
      </c>
      <c r="K233" t="s">
        <v>86</v>
      </c>
      <c r="L233" t="s">
        <v>86</v>
      </c>
    </row>
    <row r="234" spans="8:12" x14ac:dyDescent="0.25">
      <c r="H234" t="s">
        <v>253</v>
      </c>
      <c r="I234" t="s">
        <v>86</v>
      </c>
      <c r="J234" t="s">
        <v>87</v>
      </c>
      <c r="K234" t="s">
        <v>88</v>
      </c>
      <c r="L234" t="s">
        <v>89</v>
      </c>
    </row>
    <row r="235" spans="8:12" x14ac:dyDescent="0.25">
      <c r="H235" t="s">
        <v>253</v>
      </c>
      <c r="I235" t="s">
        <v>86</v>
      </c>
      <c r="J235" t="s">
        <v>87</v>
      </c>
      <c r="K235" t="s">
        <v>88</v>
      </c>
      <c r="L235" t="s">
        <v>89</v>
      </c>
    </row>
    <row r="236" spans="8:12" x14ac:dyDescent="0.25">
      <c r="H236" t="s">
        <v>254</v>
      </c>
      <c r="I236" t="s">
        <v>86</v>
      </c>
      <c r="J236" t="s">
        <v>87</v>
      </c>
      <c r="K236" t="s">
        <v>88</v>
      </c>
      <c r="L236" t="s">
        <v>89</v>
      </c>
    </row>
    <row r="237" spans="8:12" x14ac:dyDescent="0.25">
      <c r="H237" t="s">
        <v>6661</v>
      </c>
      <c r="I237" t="s">
        <v>86</v>
      </c>
      <c r="J237" t="s">
        <v>87</v>
      </c>
      <c r="K237" t="s">
        <v>88</v>
      </c>
      <c r="L237" t="s">
        <v>89</v>
      </c>
    </row>
    <row r="238" spans="8:12" x14ac:dyDescent="0.25">
      <c r="H238" t="s">
        <v>6128</v>
      </c>
      <c r="I238" t="s">
        <v>86</v>
      </c>
      <c r="J238" t="s">
        <v>87</v>
      </c>
      <c r="K238" t="s">
        <v>88</v>
      </c>
      <c r="L238" t="s">
        <v>89</v>
      </c>
    </row>
    <row r="239" spans="8:12" x14ac:dyDescent="0.25">
      <c r="H239" t="s">
        <v>254</v>
      </c>
      <c r="I239" t="s">
        <v>86</v>
      </c>
      <c r="J239" t="s">
        <v>87</v>
      </c>
      <c r="K239" t="s">
        <v>88</v>
      </c>
      <c r="L239" t="s">
        <v>89</v>
      </c>
    </row>
    <row r="240" spans="8:12" x14ac:dyDescent="0.25">
      <c r="H240" t="s">
        <v>5626</v>
      </c>
      <c r="I240" t="s">
        <v>86</v>
      </c>
      <c r="J240" t="s">
        <v>87</v>
      </c>
      <c r="K240" t="s">
        <v>88</v>
      </c>
      <c r="L240" t="s">
        <v>89</v>
      </c>
    </row>
    <row r="241" spans="8:12" x14ac:dyDescent="0.25">
      <c r="H241" t="s">
        <v>90</v>
      </c>
      <c r="I241" t="s">
        <v>86</v>
      </c>
    </row>
    <row r="242" spans="8:12" x14ac:dyDescent="0.25">
      <c r="H242" t="s">
        <v>254</v>
      </c>
      <c r="I242" t="s">
        <v>86</v>
      </c>
      <c r="J242" t="s">
        <v>87</v>
      </c>
      <c r="K242" t="s">
        <v>88</v>
      </c>
      <c r="L242" t="s">
        <v>89</v>
      </c>
    </row>
    <row r="243" spans="8:12" x14ac:dyDescent="0.25">
      <c r="H243" t="s">
        <v>254</v>
      </c>
      <c r="I243" t="s">
        <v>86</v>
      </c>
      <c r="J243" t="s">
        <v>87</v>
      </c>
      <c r="K243" t="s">
        <v>88</v>
      </c>
      <c r="L243" t="s">
        <v>89</v>
      </c>
    </row>
    <row r="244" spans="8:12" x14ac:dyDescent="0.25">
      <c r="H244" t="s">
        <v>254</v>
      </c>
      <c r="I244" t="s">
        <v>86</v>
      </c>
      <c r="J244" t="s">
        <v>87</v>
      </c>
      <c r="K244" t="s">
        <v>88</v>
      </c>
      <c r="L244" t="s">
        <v>89</v>
      </c>
    </row>
    <row r="245" spans="8:12" x14ac:dyDescent="0.25">
      <c r="H245" t="s">
        <v>6082</v>
      </c>
      <c r="I245" t="s">
        <v>86</v>
      </c>
      <c r="J245" t="s">
        <v>87</v>
      </c>
      <c r="K245" t="s">
        <v>88</v>
      </c>
      <c r="L245" t="s">
        <v>89</v>
      </c>
    </row>
    <row r="246" spans="8:12" x14ac:dyDescent="0.25">
      <c r="H246" t="s">
        <v>6612</v>
      </c>
      <c r="I246" t="s">
        <v>86</v>
      </c>
      <c r="J246" t="s">
        <v>87</v>
      </c>
      <c r="K246" t="s">
        <v>88</v>
      </c>
      <c r="L246" t="s">
        <v>89</v>
      </c>
    </row>
    <row r="247" spans="8:12" x14ac:dyDescent="0.25">
      <c r="H247" t="s">
        <v>253</v>
      </c>
      <c r="I247" t="s">
        <v>86</v>
      </c>
      <c r="J247" t="s">
        <v>86</v>
      </c>
      <c r="K247" t="s">
        <v>86</v>
      </c>
      <c r="L247" t="s">
        <v>86</v>
      </c>
    </row>
    <row r="248" spans="8:12" x14ac:dyDescent="0.25">
      <c r="H248" t="s">
        <v>254</v>
      </c>
      <c r="I248" t="s">
        <v>86</v>
      </c>
      <c r="J248" t="s">
        <v>87</v>
      </c>
      <c r="K248" t="s">
        <v>88</v>
      </c>
      <c r="L248" t="s">
        <v>89</v>
      </c>
    </row>
    <row r="249" spans="8:12" x14ac:dyDescent="0.25">
      <c r="H249" t="s">
        <v>6409</v>
      </c>
      <c r="I249" t="s">
        <v>86</v>
      </c>
      <c r="J249" t="s">
        <v>87</v>
      </c>
      <c r="K249" t="s">
        <v>88</v>
      </c>
      <c r="L249" t="s">
        <v>89</v>
      </c>
    </row>
    <row r="250" spans="8:12" x14ac:dyDescent="0.25">
      <c r="H250" t="s">
        <v>90</v>
      </c>
      <c r="I250" t="s">
        <v>86</v>
      </c>
    </row>
    <row r="251" spans="8:12" x14ac:dyDescent="0.25">
      <c r="H251" t="s">
        <v>253</v>
      </c>
      <c r="I251" t="s">
        <v>86</v>
      </c>
      <c r="J251" t="s">
        <v>87</v>
      </c>
      <c r="K251" t="s">
        <v>88</v>
      </c>
      <c r="L251" t="s">
        <v>89</v>
      </c>
    </row>
    <row r="252" spans="8:12" x14ac:dyDescent="0.25">
      <c r="H252" t="s">
        <v>253</v>
      </c>
      <c r="I252" t="s">
        <v>86</v>
      </c>
      <c r="J252" t="s">
        <v>86</v>
      </c>
      <c r="K252" t="s">
        <v>86</v>
      </c>
      <c r="L252" t="s">
        <v>86</v>
      </c>
    </row>
    <row r="253" spans="8:12" x14ac:dyDescent="0.25">
      <c r="H253" t="s">
        <v>254</v>
      </c>
      <c r="I253" t="s">
        <v>86</v>
      </c>
      <c r="J253" t="s">
        <v>87</v>
      </c>
      <c r="K253" t="s">
        <v>88</v>
      </c>
      <c r="L253" t="s">
        <v>89</v>
      </c>
    </row>
    <row r="254" spans="8:12" x14ac:dyDescent="0.25">
      <c r="H254" t="s">
        <v>254</v>
      </c>
      <c r="I254" t="s">
        <v>86</v>
      </c>
      <c r="J254" t="s">
        <v>87</v>
      </c>
      <c r="K254" t="s">
        <v>88</v>
      </c>
      <c r="L254" t="s">
        <v>89</v>
      </c>
    </row>
    <row r="255" spans="8:12" x14ac:dyDescent="0.25">
      <c r="H255" t="s">
        <v>90</v>
      </c>
      <c r="I255" t="s">
        <v>86</v>
      </c>
    </row>
    <row r="256" spans="8:12" x14ac:dyDescent="0.25">
      <c r="H256" t="s">
        <v>6568</v>
      </c>
      <c r="I256" t="s">
        <v>86</v>
      </c>
      <c r="J256" t="s">
        <v>87</v>
      </c>
      <c r="K256" t="s">
        <v>88</v>
      </c>
      <c r="L256" t="s">
        <v>89</v>
      </c>
    </row>
    <row r="257" spans="8:12" x14ac:dyDescent="0.25">
      <c r="H257" t="s">
        <v>254</v>
      </c>
      <c r="I257" t="s">
        <v>86</v>
      </c>
      <c r="J257" t="s">
        <v>87</v>
      </c>
      <c r="K257" t="s">
        <v>88</v>
      </c>
      <c r="L257" t="s">
        <v>89</v>
      </c>
    </row>
    <row r="258" spans="8:12" x14ac:dyDescent="0.25">
      <c r="H258" t="s">
        <v>5801</v>
      </c>
      <c r="I258" t="s">
        <v>86</v>
      </c>
    </row>
    <row r="259" spans="8:12" x14ac:dyDescent="0.25">
      <c r="H259" t="s">
        <v>254</v>
      </c>
      <c r="I259" t="s">
        <v>86</v>
      </c>
      <c r="J259" t="s">
        <v>87</v>
      </c>
      <c r="K259" t="s">
        <v>88</v>
      </c>
      <c r="L259" t="s">
        <v>89</v>
      </c>
    </row>
    <row r="260" spans="8:12" x14ac:dyDescent="0.25">
      <c r="H260" t="s">
        <v>90</v>
      </c>
      <c r="I260" t="s">
        <v>86</v>
      </c>
    </row>
    <row r="261" spans="8:12" x14ac:dyDescent="0.25">
      <c r="H261" t="s">
        <v>5801</v>
      </c>
      <c r="I261" t="s">
        <v>86</v>
      </c>
    </row>
    <row r="262" spans="8:12" x14ac:dyDescent="0.25">
      <c r="H262" t="s">
        <v>90</v>
      </c>
      <c r="I262" t="s">
        <v>86</v>
      </c>
    </row>
    <row r="263" spans="8:12" x14ac:dyDescent="0.25">
      <c r="H263" t="s">
        <v>254</v>
      </c>
      <c r="I263" t="s">
        <v>86</v>
      </c>
      <c r="J263" t="s">
        <v>87</v>
      </c>
      <c r="K263" t="s">
        <v>88</v>
      </c>
      <c r="L263" t="s">
        <v>89</v>
      </c>
    </row>
    <row r="264" spans="8:12" x14ac:dyDescent="0.25">
      <c r="H264" t="s">
        <v>5367</v>
      </c>
      <c r="I264" t="s">
        <v>86</v>
      </c>
    </row>
    <row r="265" spans="8:12" x14ac:dyDescent="0.25">
      <c r="H265" t="s">
        <v>6533</v>
      </c>
      <c r="I265" t="s">
        <v>86</v>
      </c>
      <c r="J265" t="s">
        <v>87</v>
      </c>
      <c r="K265" t="s">
        <v>88</v>
      </c>
      <c r="L265" t="s">
        <v>89</v>
      </c>
    </row>
    <row r="266" spans="8:12" x14ac:dyDescent="0.25">
      <c r="H266" t="s">
        <v>6528</v>
      </c>
      <c r="I266" t="s">
        <v>86</v>
      </c>
      <c r="J266" t="s">
        <v>87</v>
      </c>
      <c r="K266" t="s">
        <v>88</v>
      </c>
      <c r="L266" t="s">
        <v>89</v>
      </c>
    </row>
    <row r="267" spans="8:12" x14ac:dyDescent="0.25">
      <c r="H267" t="s">
        <v>6128</v>
      </c>
      <c r="I267" t="s">
        <v>86</v>
      </c>
      <c r="J267" t="s">
        <v>87</v>
      </c>
      <c r="K267" t="s">
        <v>88</v>
      </c>
      <c r="L267" t="s">
        <v>89</v>
      </c>
    </row>
    <row r="268" spans="8:12" x14ac:dyDescent="0.25">
      <c r="H268" t="s">
        <v>254</v>
      </c>
      <c r="I268" t="s">
        <v>86</v>
      </c>
      <c r="J268" t="s">
        <v>87</v>
      </c>
      <c r="K268" t="s">
        <v>88</v>
      </c>
      <c r="L268" t="s">
        <v>89</v>
      </c>
    </row>
    <row r="269" spans="8:12" x14ac:dyDescent="0.25">
      <c r="H269" t="s">
        <v>253</v>
      </c>
      <c r="I269" t="s">
        <v>86</v>
      </c>
      <c r="J269" t="s">
        <v>87</v>
      </c>
      <c r="K269" t="s">
        <v>88</v>
      </c>
      <c r="L269" t="s">
        <v>89</v>
      </c>
    </row>
    <row r="270" spans="8:12" x14ac:dyDescent="0.25">
      <c r="H270" t="s">
        <v>5273</v>
      </c>
      <c r="I270" t="s">
        <v>86</v>
      </c>
      <c r="J270" t="s">
        <v>87</v>
      </c>
      <c r="K270" t="s">
        <v>88</v>
      </c>
      <c r="L270" t="s">
        <v>89</v>
      </c>
    </row>
    <row r="271" spans="8:12" x14ac:dyDescent="0.25">
      <c r="H271" t="s">
        <v>254</v>
      </c>
      <c r="I271" t="s">
        <v>86</v>
      </c>
      <c r="J271" t="s">
        <v>87</v>
      </c>
      <c r="K271" t="s">
        <v>88</v>
      </c>
      <c r="L271" t="s">
        <v>89</v>
      </c>
    </row>
    <row r="272" spans="8:12" x14ac:dyDescent="0.25">
      <c r="H272" t="s">
        <v>253</v>
      </c>
      <c r="I272" t="s">
        <v>86</v>
      </c>
      <c r="J272" t="s">
        <v>87</v>
      </c>
      <c r="K272" t="s">
        <v>88</v>
      </c>
      <c r="L272" t="s">
        <v>89</v>
      </c>
    </row>
    <row r="273" spans="8:12" x14ac:dyDescent="0.25">
      <c r="H273" t="s">
        <v>254</v>
      </c>
      <c r="I273" t="s">
        <v>86</v>
      </c>
      <c r="J273" t="s">
        <v>87</v>
      </c>
      <c r="K273" t="s">
        <v>88</v>
      </c>
      <c r="L273" t="s">
        <v>89</v>
      </c>
    </row>
    <row r="274" spans="8:12" x14ac:dyDescent="0.25">
      <c r="H274" t="s">
        <v>254</v>
      </c>
      <c r="I274" t="s">
        <v>86</v>
      </c>
      <c r="J274" t="s">
        <v>87</v>
      </c>
      <c r="K274" t="s">
        <v>88</v>
      </c>
      <c r="L274" t="s">
        <v>89</v>
      </c>
    </row>
    <row r="275" spans="8:12" x14ac:dyDescent="0.25">
      <c r="H275" t="s">
        <v>5469</v>
      </c>
      <c r="I275" t="s">
        <v>86</v>
      </c>
      <c r="J275" t="s">
        <v>87</v>
      </c>
      <c r="K275" t="s">
        <v>88</v>
      </c>
      <c r="L275" t="s">
        <v>89</v>
      </c>
    </row>
    <row r="276" spans="8:12" x14ac:dyDescent="0.25">
      <c r="H276" t="s">
        <v>254</v>
      </c>
      <c r="I276" t="s">
        <v>86</v>
      </c>
      <c r="J276" t="s">
        <v>87</v>
      </c>
      <c r="K276" t="s">
        <v>88</v>
      </c>
      <c r="L276" t="s">
        <v>89</v>
      </c>
    </row>
    <row r="277" spans="8:12" x14ac:dyDescent="0.25">
      <c r="H277" t="s">
        <v>254</v>
      </c>
      <c r="I277" t="s">
        <v>86</v>
      </c>
      <c r="J277" t="s">
        <v>87</v>
      </c>
      <c r="K277" t="s">
        <v>88</v>
      </c>
      <c r="L277" t="s">
        <v>89</v>
      </c>
    </row>
    <row r="278" spans="8:12" x14ac:dyDescent="0.25">
      <c r="H278" t="s">
        <v>254</v>
      </c>
      <c r="I278" t="s">
        <v>86</v>
      </c>
      <c r="J278" t="s">
        <v>87</v>
      </c>
      <c r="K278" t="s">
        <v>88</v>
      </c>
      <c r="L278" t="s">
        <v>89</v>
      </c>
    </row>
    <row r="279" spans="8:12" x14ac:dyDescent="0.25">
      <c r="H279" t="s">
        <v>6455</v>
      </c>
      <c r="I279" t="s">
        <v>86</v>
      </c>
      <c r="J279" t="s">
        <v>87</v>
      </c>
      <c r="K279" t="s">
        <v>88</v>
      </c>
      <c r="L279" t="s">
        <v>89</v>
      </c>
    </row>
    <row r="280" spans="8:12" x14ac:dyDescent="0.25">
      <c r="H280" t="s">
        <v>6450</v>
      </c>
      <c r="I280" t="s">
        <v>86</v>
      </c>
      <c r="J280" t="s">
        <v>87</v>
      </c>
      <c r="K280" t="s">
        <v>88</v>
      </c>
      <c r="L280" t="s">
        <v>89</v>
      </c>
    </row>
    <row r="281" spans="8:12" x14ac:dyDescent="0.25">
      <c r="H281" t="s">
        <v>254</v>
      </c>
      <c r="I281" t="s">
        <v>86</v>
      </c>
      <c r="J281" t="s">
        <v>87</v>
      </c>
      <c r="K281" t="s">
        <v>88</v>
      </c>
      <c r="L281" t="s">
        <v>89</v>
      </c>
    </row>
    <row r="282" spans="8:12" x14ac:dyDescent="0.25">
      <c r="H282" t="s">
        <v>254</v>
      </c>
      <c r="I282" t="s">
        <v>86</v>
      </c>
      <c r="J282" t="s">
        <v>87</v>
      </c>
      <c r="K282" t="s">
        <v>88</v>
      </c>
      <c r="L282" t="s">
        <v>89</v>
      </c>
    </row>
    <row r="283" spans="8:12" x14ac:dyDescent="0.25">
      <c r="H283" t="s">
        <v>6429</v>
      </c>
      <c r="I283" t="s">
        <v>86</v>
      </c>
      <c r="J283" t="s">
        <v>87</v>
      </c>
      <c r="K283" t="s">
        <v>88</v>
      </c>
      <c r="L283" t="s">
        <v>89</v>
      </c>
    </row>
    <row r="284" spans="8:12" x14ac:dyDescent="0.25">
      <c r="H284" t="s">
        <v>254</v>
      </c>
      <c r="I284" t="s">
        <v>86</v>
      </c>
      <c r="J284" t="s">
        <v>87</v>
      </c>
      <c r="K284" t="s">
        <v>88</v>
      </c>
      <c r="L284" t="s">
        <v>89</v>
      </c>
    </row>
    <row r="285" spans="8:12" x14ac:dyDescent="0.25">
      <c r="H285" t="s">
        <v>254</v>
      </c>
      <c r="I285" t="s">
        <v>86</v>
      </c>
      <c r="J285" t="s">
        <v>87</v>
      </c>
      <c r="K285" t="s">
        <v>88</v>
      </c>
      <c r="L285" t="s">
        <v>89</v>
      </c>
    </row>
    <row r="286" spans="8:12" x14ac:dyDescent="0.25">
      <c r="H286" t="s">
        <v>254</v>
      </c>
      <c r="I286" t="s">
        <v>86</v>
      </c>
      <c r="J286" t="s">
        <v>87</v>
      </c>
      <c r="K286" t="s">
        <v>88</v>
      </c>
      <c r="L286" t="s">
        <v>89</v>
      </c>
    </row>
    <row r="287" spans="8:12" x14ac:dyDescent="0.25">
      <c r="H287" t="s">
        <v>6409</v>
      </c>
      <c r="I287" t="s">
        <v>86</v>
      </c>
      <c r="J287" t="s">
        <v>87</v>
      </c>
      <c r="K287" t="s">
        <v>88</v>
      </c>
      <c r="L287" t="s">
        <v>89</v>
      </c>
    </row>
    <row r="288" spans="8:12" x14ac:dyDescent="0.25">
      <c r="H288" t="s">
        <v>6396</v>
      </c>
      <c r="I288" t="s">
        <v>86</v>
      </c>
      <c r="J288" t="s">
        <v>87</v>
      </c>
      <c r="K288" t="s">
        <v>88</v>
      </c>
      <c r="L288" t="s">
        <v>89</v>
      </c>
    </row>
    <row r="289" spans="8:12" x14ac:dyDescent="0.25">
      <c r="H289" t="s">
        <v>253</v>
      </c>
      <c r="I289" t="s">
        <v>86</v>
      </c>
      <c r="J289" t="s">
        <v>87</v>
      </c>
      <c r="K289" t="s">
        <v>88</v>
      </c>
      <c r="L289" t="s">
        <v>89</v>
      </c>
    </row>
    <row r="290" spans="8:12" x14ac:dyDescent="0.25">
      <c r="H290" t="s">
        <v>254</v>
      </c>
      <c r="I290" t="s">
        <v>86</v>
      </c>
      <c r="J290" t="s">
        <v>87</v>
      </c>
      <c r="K290" t="s">
        <v>88</v>
      </c>
      <c r="L290" t="s">
        <v>89</v>
      </c>
    </row>
    <row r="291" spans="8:12" x14ac:dyDescent="0.25">
      <c r="H291" t="s">
        <v>6082</v>
      </c>
      <c r="I291" t="s">
        <v>86</v>
      </c>
      <c r="J291" t="s">
        <v>87</v>
      </c>
      <c r="K291" t="s">
        <v>88</v>
      </c>
      <c r="L291" t="s">
        <v>89</v>
      </c>
    </row>
    <row r="292" spans="8:12" x14ac:dyDescent="0.25">
      <c r="H292" t="s">
        <v>254</v>
      </c>
      <c r="I292" t="s">
        <v>86</v>
      </c>
      <c r="J292" t="s">
        <v>87</v>
      </c>
      <c r="K292" t="s">
        <v>88</v>
      </c>
      <c r="L292" t="s">
        <v>89</v>
      </c>
    </row>
    <row r="293" spans="8:12" x14ac:dyDescent="0.25">
      <c r="H293" t="s">
        <v>5321</v>
      </c>
      <c r="I293" t="s">
        <v>86</v>
      </c>
    </row>
    <row r="294" spans="8:12" x14ac:dyDescent="0.25">
      <c r="H294" t="s">
        <v>254</v>
      </c>
      <c r="I294" t="s">
        <v>86</v>
      </c>
      <c r="J294" t="s">
        <v>87</v>
      </c>
      <c r="K294" t="s">
        <v>88</v>
      </c>
      <c r="L294" t="s">
        <v>89</v>
      </c>
    </row>
    <row r="295" spans="8:12" x14ac:dyDescent="0.25">
      <c r="H295" t="s">
        <v>5273</v>
      </c>
      <c r="I295" t="s">
        <v>86</v>
      </c>
      <c r="J295" t="s">
        <v>87</v>
      </c>
      <c r="K295" t="s">
        <v>88</v>
      </c>
      <c r="L295" t="s">
        <v>89</v>
      </c>
    </row>
    <row r="296" spans="8:12" x14ac:dyDescent="0.25">
      <c r="H296" t="s">
        <v>253</v>
      </c>
      <c r="I296" t="s">
        <v>86</v>
      </c>
      <c r="J296" t="s">
        <v>87</v>
      </c>
      <c r="K296" t="s">
        <v>88</v>
      </c>
      <c r="L296" t="s">
        <v>89</v>
      </c>
    </row>
    <row r="297" spans="8:12" x14ac:dyDescent="0.25">
      <c r="H297" t="s">
        <v>5321</v>
      </c>
      <c r="I297" t="s">
        <v>86</v>
      </c>
    </row>
    <row r="298" spans="8:12" x14ac:dyDescent="0.25">
      <c r="H298" t="s">
        <v>6047</v>
      </c>
      <c r="I298" t="s">
        <v>86</v>
      </c>
      <c r="J298" t="s">
        <v>87</v>
      </c>
      <c r="K298" t="s">
        <v>88</v>
      </c>
      <c r="L298" t="s">
        <v>89</v>
      </c>
    </row>
    <row r="299" spans="8:12" x14ac:dyDescent="0.25">
      <c r="H299" t="s">
        <v>6082</v>
      </c>
      <c r="I299" t="s">
        <v>86</v>
      </c>
      <c r="J299" t="s">
        <v>87</v>
      </c>
      <c r="K299" t="s">
        <v>88</v>
      </c>
      <c r="L299" t="s">
        <v>89</v>
      </c>
    </row>
    <row r="300" spans="8:12" x14ac:dyDescent="0.25">
      <c r="H300" t="s">
        <v>254</v>
      </c>
      <c r="I300" t="s">
        <v>86</v>
      </c>
      <c r="J300" t="s">
        <v>87</v>
      </c>
      <c r="K300" t="s">
        <v>88</v>
      </c>
      <c r="L300" t="s">
        <v>89</v>
      </c>
    </row>
    <row r="301" spans="8:12" x14ac:dyDescent="0.25">
      <c r="H301" t="s">
        <v>6343</v>
      </c>
      <c r="I301" t="s">
        <v>86</v>
      </c>
      <c r="J301" t="s">
        <v>87</v>
      </c>
      <c r="K301" t="s">
        <v>88</v>
      </c>
      <c r="L301" t="s">
        <v>89</v>
      </c>
    </row>
    <row r="302" spans="8:12" x14ac:dyDescent="0.25">
      <c r="H302" t="s">
        <v>6327</v>
      </c>
      <c r="I302" t="s">
        <v>86</v>
      </c>
      <c r="J302" t="s">
        <v>87</v>
      </c>
      <c r="K302" t="s">
        <v>88</v>
      </c>
      <c r="L302" t="s">
        <v>89</v>
      </c>
    </row>
    <row r="303" spans="8:12" x14ac:dyDescent="0.25">
      <c r="H303" t="s">
        <v>90</v>
      </c>
      <c r="I303" t="s">
        <v>86</v>
      </c>
    </row>
    <row r="304" spans="8:12" x14ac:dyDescent="0.25">
      <c r="H304" t="s">
        <v>253</v>
      </c>
      <c r="I304" t="s">
        <v>86</v>
      </c>
      <c r="J304" t="s">
        <v>87</v>
      </c>
      <c r="K304" t="s">
        <v>88</v>
      </c>
      <c r="L304" t="s">
        <v>89</v>
      </c>
    </row>
    <row r="305" spans="8:12" x14ac:dyDescent="0.25">
      <c r="H305" t="s">
        <v>254</v>
      </c>
      <c r="I305" t="s">
        <v>86</v>
      </c>
      <c r="J305" t="s">
        <v>87</v>
      </c>
      <c r="K305" t="s">
        <v>88</v>
      </c>
      <c r="L305" t="s">
        <v>89</v>
      </c>
    </row>
    <row r="306" spans="8:12" x14ac:dyDescent="0.25">
      <c r="H306" t="s">
        <v>254</v>
      </c>
      <c r="I306" t="s">
        <v>86</v>
      </c>
      <c r="J306" t="s">
        <v>87</v>
      </c>
      <c r="K306" t="s">
        <v>88</v>
      </c>
      <c r="L306" t="s">
        <v>89</v>
      </c>
    </row>
    <row r="307" spans="8:12" x14ac:dyDescent="0.25">
      <c r="H307" t="s">
        <v>254</v>
      </c>
      <c r="I307" t="s">
        <v>86</v>
      </c>
      <c r="J307" t="s">
        <v>87</v>
      </c>
      <c r="K307" t="s">
        <v>88</v>
      </c>
      <c r="L307" t="s">
        <v>89</v>
      </c>
    </row>
    <row r="308" spans="8:12" x14ac:dyDescent="0.25">
      <c r="H308" t="s">
        <v>254</v>
      </c>
      <c r="I308" t="s">
        <v>86</v>
      </c>
      <c r="J308" t="s">
        <v>87</v>
      </c>
      <c r="K308" t="s">
        <v>88</v>
      </c>
      <c r="L308" t="s">
        <v>89</v>
      </c>
    </row>
    <row r="309" spans="8:12" x14ac:dyDescent="0.25">
      <c r="H309" t="s">
        <v>254</v>
      </c>
      <c r="I309" t="s">
        <v>86</v>
      </c>
      <c r="J309" t="s">
        <v>87</v>
      </c>
      <c r="K309" t="s">
        <v>88</v>
      </c>
      <c r="L309" t="s">
        <v>89</v>
      </c>
    </row>
    <row r="310" spans="8:12" x14ac:dyDescent="0.25">
      <c r="H310" t="s">
        <v>253</v>
      </c>
      <c r="I310" t="s">
        <v>86</v>
      </c>
      <c r="J310" t="s">
        <v>86</v>
      </c>
      <c r="K310" t="s">
        <v>86</v>
      </c>
      <c r="L310" t="s">
        <v>86</v>
      </c>
    </row>
    <row r="311" spans="8:12" x14ac:dyDescent="0.25">
      <c r="H311" t="s">
        <v>90</v>
      </c>
      <c r="I311" t="s">
        <v>86</v>
      </c>
    </row>
    <row r="312" spans="8:12" x14ac:dyDescent="0.25">
      <c r="H312" t="s">
        <v>90</v>
      </c>
      <c r="I312" t="s">
        <v>86</v>
      </c>
    </row>
    <row r="313" spans="8:12" x14ac:dyDescent="0.25">
      <c r="H313" t="s">
        <v>254</v>
      </c>
      <c r="I313" t="s">
        <v>86</v>
      </c>
      <c r="J313" t="s">
        <v>87</v>
      </c>
      <c r="K313" t="s">
        <v>88</v>
      </c>
      <c r="L313" t="s">
        <v>89</v>
      </c>
    </row>
    <row r="314" spans="8:12" x14ac:dyDescent="0.25">
      <c r="H314" t="s">
        <v>6264</v>
      </c>
      <c r="I314" t="s">
        <v>86</v>
      </c>
      <c r="J314" t="s">
        <v>87</v>
      </c>
      <c r="K314" t="s">
        <v>88</v>
      </c>
      <c r="L314" t="s">
        <v>89</v>
      </c>
    </row>
    <row r="315" spans="8:12" x14ac:dyDescent="0.25">
      <c r="H315" t="s">
        <v>6263</v>
      </c>
      <c r="I315" t="s">
        <v>86</v>
      </c>
    </row>
    <row r="316" spans="8:12" x14ac:dyDescent="0.25">
      <c r="H316" t="s">
        <v>254</v>
      </c>
      <c r="I316" t="s">
        <v>86</v>
      </c>
      <c r="J316" t="s">
        <v>87</v>
      </c>
      <c r="K316" t="s">
        <v>88</v>
      </c>
      <c r="L316" t="s">
        <v>89</v>
      </c>
    </row>
    <row r="317" spans="8:12" x14ac:dyDescent="0.25">
      <c r="H317" t="s">
        <v>90</v>
      </c>
      <c r="I317" t="s">
        <v>86</v>
      </c>
    </row>
    <row r="318" spans="8:12" x14ac:dyDescent="0.25">
      <c r="H318" t="s">
        <v>5273</v>
      </c>
      <c r="I318" t="s">
        <v>86</v>
      </c>
      <c r="J318" t="s">
        <v>87</v>
      </c>
      <c r="K318" t="s">
        <v>88</v>
      </c>
      <c r="L318" t="s">
        <v>89</v>
      </c>
    </row>
    <row r="319" spans="8:12" x14ac:dyDescent="0.25">
      <c r="H319" t="s">
        <v>254</v>
      </c>
      <c r="I319" t="s">
        <v>86</v>
      </c>
      <c r="J319" t="s">
        <v>87</v>
      </c>
      <c r="K319" t="s">
        <v>88</v>
      </c>
      <c r="L319" t="s">
        <v>89</v>
      </c>
    </row>
    <row r="320" spans="8:12" x14ac:dyDescent="0.25">
      <c r="H320" t="s">
        <v>254</v>
      </c>
      <c r="I320" t="s">
        <v>86</v>
      </c>
      <c r="J320" t="s">
        <v>87</v>
      </c>
      <c r="K320" t="s">
        <v>88</v>
      </c>
      <c r="L320" t="s">
        <v>89</v>
      </c>
    </row>
    <row r="321" spans="8:12" x14ac:dyDescent="0.25">
      <c r="H321" t="s">
        <v>254</v>
      </c>
      <c r="I321" t="s">
        <v>86</v>
      </c>
      <c r="J321" t="s">
        <v>87</v>
      </c>
      <c r="K321" t="s">
        <v>88</v>
      </c>
      <c r="L321" t="s">
        <v>89</v>
      </c>
    </row>
    <row r="322" spans="8:12" x14ac:dyDescent="0.25">
      <c r="H322" t="s">
        <v>254</v>
      </c>
      <c r="I322" t="s">
        <v>86</v>
      </c>
      <c r="J322" t="s">
        <v>87</v>
      </c>
      <c r="K322" t="s">
        <v>88</v>
      </c>
      <c r="L322" t="s">
        <v>89</v>
      </c>
    </row>
    <row r="323" spans="8:12" x14ac:dyDescent="0.25">
      <c r="H323" t="s">
        <v>254</v>
      </c>
      <c r="I323" t="s">
        <v>86</v>
      </c>
      <c r="J323" t="s">
        <v>87</v>
      </c>
      <c r="K323" t="s">
        <v>88</v>
      </c>
      <c r="L323" t="s">
        <v>89</v>
      </c>
    </row>
    <row r="324" spans="8:12" x14ac:dyDescent="0.25">
      <c r="H324" t="s">
        <v>90</v>
      </c>
      <c r="I324" t="s">
        <v>86</v>
      </c>
    </row>
    <row r="325" spans="8:12" x14ac:dyDescent="0.25">
      <c r="H325" t="s">
        <v>5491</v>
      </c>
      <c r="I325" t="s">
        <v>86</v>
      </c>
      <c r="J325" t="s">
        <v>87</v>
      </c>
      <c r="K325" t="s">
        <v>88</v>
      </c>
      <c r="L325" t="s">
        <v>89</v>
      </c>
    </row>
    <row r="326" spans="8:12" x14ac:dyDescent="0.25">
      <c r="H326" t="s">
        <v>90</v>
      </c>
      <c r="I326" t="s">
        <v>86</v>
      </c>
    </row>
    <row r="327" spans="8:12" x14ac:dyDescent="0.25">
      <c r="H327" t="s">
        <v>5653</v>
      </c>
      <c r="I327" t="s">
        <v>86</v>
      </c>
      <c r="J327" t="s">
        <v>87</v>
      </c>
      <c r="K327" t="s">
        <v>88</v>
      </c>
      <c r="L327" t="s">
        <v>89</v>
      </c>
    </row>
    <row r="328" spans="8:12" x14ac:dyDescent="0.25">
      <c r="H328" t="s">
        <v>254</v>
      </c>
      <c r="I328" t="s">
        <v>86</v>
      </c>
      <c r="J328" t="s">
        <v>87</v>
      </c>
      <c r="K328" t="s">
        <v>88</v>
      </c>
      <c r="L328" t="s">
        <v>89</v>
      </c>
    </row>
    <row r="329" spans="8:12" x14ac:dyDescent="0.25">
      <c r="H329" t="s">
        <v>90</v>
      </c>
      <c r="I329" t="s">
        <v>86</v>
      </c>
    </row>
    <row r="330" spans="8:12" x14ac:dyDescent="0.25">
      <c r="H330" t="s">
        <v>253</v>
      </c>
      <c r="I330" t="s">
        <v>86</v>
      </c>
      <c r="J330" t="s">
        <v>87</v>
      </c>
      <c r="K330" t="s">
        <v>88</v>
      </c>
      <c r="L330" t="s">
        <v>89</v>
      </c>
    </row>
    <row r="331" spans="8:12" x14ac:dyDescent="0.25">
      <c r="H331" t="s">
        <v>254</v>
      </c>
      <c r="I331" t="s">
        <v>86</v>
      </c>
      <c r="J331" t="s">
        <v>87</v>
      </c>
      <c r="K331" t="s">
        <v>88</v>
      </c>
      <c r="L331" t="s">
        <v>89</v>
      </c>
    </row>
    <row r="332" spans="8:12" x14ac:dyDescent="0.25">
      <c r="H332" t="s">
        <v>254</v>
      </c>
      <c r="I332" t="s">
        <v>86</v>
      </c>
      <c r="J332" t="s">
        <v>87</v>
      </c>
      <c r="K332" t="s">
        <v>88</v>
      </c>
      <c r="L332" t="s">
        <v>89</v>
      </c>
    </row>
    <row r="333" spans="8:12" x14ac:dyDescent="0.25">
      <c r="H333" t="s">
        <v>5491</v>
      </c>
      <c r="I333" t="s">
        <v>86</v>
      </c>
      <c r="J333" t="s">
        <v>87</v>
      </c>
      <c r="K333" t="s">
        <v>88</v>
      </c>
      <c r="L333" t="s">
        <v>89</v>
      </c>
    </row>
    <row r="334" spans="8:12" x14ac:dyDescent="0.25">
      <c r="H334" t="s">
        <v>5236</v>
      </c>
      <c r="I334" t="s">
        <v>86</v>
      </c>
      <c r="J334" t="s">
        <v>87</v>
      </c>
      <c r="K334" t="s">
        <v>88</v>
      </c>
      <c r="L334" t="s">
        <v>89</v>
      </c>
    </row>
    <row r="335" spans="8:12" x14ac:dyDescent="0.25">
      <c r="H335" t="s">
        <v>5491</v>
      </c>
      <c r="I335" t="s">
        <v>86</v>
      </c>
      <c r="J335" t="s">
        <v>87</v>
      </c>
      <c r="K335" t="s">
        <v>88</v>
      </c>
      <c r="L335" t="s">
        <v>89</v>
      </c>
    </row>
    <row r="336" spans="8:12" x14ac:dyDescent="0.25">
      <c r="H336" t="s">
        <v>90</v>
      </c>
      <c r="I336" t="s">
        <v>86</v>
      </c>
    </row>
    <row r="337" spans="8:12" x14ac:dyDescent="0.25">
      <c r="H337" t="s">
        <v>254</v>
      </c>
      <c r="I337" t="s">
        <v>86</v>
      </c>
      <c r="J337" t="s">
        <v>87</v>
      </c>
      <c r="K337" t="s">
        <v>88</v>
      </c>
      <c r="L337" t="s">
        <v>89</v>
      </c>
    </row>
    <row r="338" spans="8:12" x14ac:dyDescent="0.25">
      <c r="H338" t="s">
        <v>6128</v>
      </c>
      <c r="I338" t="s">
        <v>86</v>
      </c>
      <c r="J338" t="s">
        <v>87</v>
      </c>
      <c r="K338" t="s">
        <v>88</v>
      </c>
      <c r="L338" t="s">
        <v>89</v>
      </c>
    </row>
    <row r="339" spans="8:12" x14ac:dyDescent="0.25">
      <c r="H339" t="s">
        <v>5323</v>
      </c>
      <c r="I339" t="s">
        <v>86</v>
      </c>
      <c r="J339" t="s">
        <v>87</v>
      </c>
      <c r="K339" t="s">
        <v>88</v>
      </c>
      <c r="L339" t="s">
        <v>89</v>
      </c>
    </row>
    <row r="340" spans="8:12" x14ac:dyDescent="0.25">
      <c r="H340" t="s">
        <v>254</v>
      </c>
      <c r="I340" t="s">
        <v>86</v>
      </c>
      <c r="J340" t="s">
        <v>87</v>
      </c>
      <c r="K340" t="s">
        <v>88</v>
      </c>
      <c r="L340" t="s">
        <v>89</v>
      </c>
    </row>
    <row r="341" spans="8:12" x14ac:dyDescent="0.25">
      <c r="H341" t="s">
        <v>254</v>
      </c>
      <c r="I341" t="s">
        <v>86</v>
      </c>
      <c r="J341" t="s">
        <v>87</v>
      </c>
      <c r="K341" t="s">
        <v>88</v>
      </c>
      <c r="L341" t="s">
        <v>89</v>
      </c>
    </row>
    <row r="342" spans="8:12" x14ac:dyDescent="0.25">
      <c r="H342" t="s">
        <v>6105</v>
      </c>
      <c r="I342" t="s">
        <v>86</v>
      </c>
    </row>
    <row r="343" spans="8:12" x14ac:dyDescent="0.25">
      <c r="H343" t="s">
        <v>5312</v>
      </c>
      <c r="I343" t="s">
        <v>86</v>
      </c>
      <c r="J343" t="s">
        <v>87</v>
      </c>
      <c r="K343" t="s">
        <v>88</v>
      </c>
      <c r="L343" t="s">
        <v>89</v>
      </c>
    </row>
    <row r="344" spans="8:12" x14ac:dyDescent="0.25">
      <c r="H344" t="s">
        <v>254</v>
      </c>
      <c r="I344" t="s">
        <v>86</v>
      </c>
      <c r="J344" t="s">
        <v>87</v>
      </c>
      <c r="K344" t="s">
        <v>88</v>
      </c>
      <c r="L344" t="s">
        <v>89</v>
      </c>
    </row>
    <row r="345" spans="8:12" x14ac:dyDescent="0.25">
      <c r="H345" t="s">
        <v>6095</v>
      </c>
      <c r="I345" t="s">
        <v>86</v>
      </c>
    </row>
    <row r="346" spans="8:12" x14ac:dyDescent="0.25">
      <c r="H346" t="s">
        <v>254</v>
      </c>
      <c r="I346" t="s">
        <v>86</v>
      </c>
      <c r="J346" t="s">
        <v>87</v>
      </c>
      <c r="K346" t="s">
        <v>88</v>
      </c>
      <c r="L346" t="s">
        <v>89</v>
      </c>
    </row>
    <row r="347" spans="8:12" x14ac:dyDescent="0.25">
      <c r="H347" t="s">
        <v>6082</v>
      </c>
      <c r="I347" t="s">
        <v>86</v>
      </c>
      <c r="J347" t="s">
        <v>87</v>
      </c>
      <c r="K347" t="s">
        <v>88</v>
      </c>
      <c r="L347" t="s">
        <v>89</v>
      </c>
    </row>
    <row r="348" spans="8:12" x14ac:dyDescent="0.25">
      <c r="H348" t="s">
        <v>90</v>
      </c>
      <c r="I348" t="s">
        <v>86</v>
      </c>
    </row>
    <row r="349" spans="8:12" x14ac:dyDescent="0.25">
      <c r="H349" t="s">
        <v>90</v>
      </c>
      <c r="I349" t="s">
        <v>86</v>
      </c>
    </row>
    <row r="350" spans="8:12" x14ac:dyDescent="0.25">
      <c r="H350" t="s">
        <v>254</v>
      </c>
      <c r="I350" t="s">
        <v>86</v>
      </c>
      <c r="J350" t="s">
        <v>87</v>
      </c>
      <c r="K350" t="s">
        <v>88</v>
      </c>
      <c r="L350" t="s">
        <v>89</v>
      </c>
    </row>
    <row r="351" spans="8:12" x14ac:dyDescent="0.25">
      <c r="H351" t="s">
        <v>254</v>
      </c>
      <c r="I351" t="s">
        <v>86</v>
      </c>
      <c r="J351" t="s">
        <v>87</v>
      </c>
      <c r="K351" t="s">
        <v>88</v>
      </c>
      <c r="L351" t="s">
        <v>89</v>
      </c>
    </row>
    <row r="352" spans="8:12" x14ac:dyDescent="0.25">
      <c r="H352" t="s">
        <v>253</v>
      </c>
      <c r="I352" t="s">
        <v>86</v>
      </c>
      <c r="J352" t="s">
        <v>87</v>
      </c>
      <c r="K352" t="s">
        <v>88</v>
      </c>
      <c r="L352" t="s">
        <v>89</v>
      </c>
    </row>
    <row r="353" spans="8:12" x14ac:dyDescent="0.25">
      <c r="H353" t="s">
        <v>254</v>
      </c>
      <c r="I353" t="s">
        <v>86</v>
      </c>
      <c r="J353" t="s">
        <v>87</v>
      </c>
      <c r="K353" t="s">
        <v>88</v>
      </c>
      <c r="L353" t="s">
        <v>89</v>
      </c>
    </row>
    <row r="354" spans="8:12" x14ac:dyDescent="0.25">
      <c r="H354" t="s">
        <v>254</v>
      </c>
      <c r="I354" t="s">
        <v>86</v>
      </c>
      <c r="J354" t="s">
        <v>87</v>
      </c>
      <c r="K354" t="s">
        <v>88</v>
      </c>
      <c r="L354" t="s">
        <v>89</v>
      </c>
    </row>
    <row r="355" spans="8:12" x14ac:dyDescent="0.25">
      <c r="H355" t="s">
        <v>6061</v>
      </c>
      <c r="I355" t="s">
        <v>86</v>
      </c>
      <c r="J355" t="s">
        <v>87</v>
      </c>
      <c r="K355" t="s">
        <v>88</v>
      </c>
      <c r="L355" t="s">
        <v>89</v>
      </c>
    </row>
    <row r="356" spans="8:12" x14ac:dyDescent="0.25">
      <c r="H356" t="s">
        <v>254</v>
      </c>
      <c r="I356" t="s">
        <v>86</v>
      </c>
      <c r="J356" t="s">
        <v>87</v>
      </c>
      <c r="K356" t="s">
        <v>88</v>
      </c>
      <c r="L356" t="s">
        <v>89</v>
      </c>
    </row>
    <row r="357" spans="8:12" x14ac:dyDescent="0.25">
      <c r="H357" t="s">
        <v>6047</v>
      </c>
      <c r="I357" t="s">
        <v>86</v>
      </c>
      <c r="J357" t="s">
        <v>87</v>
      </c>
      <c r="K357" t="s">
        <v>88</v>
      </c>
      <c r="L357" t="s">
        <v>89</v>
      </c>
    </row>
    <row r="358" spans="8:12" x14ac:dyDescent="0.25">
      <c r="H358" t="s">
        <v>6040</v>
      </c>
      <c r="I358" t="s">
        <v>86</v>
      </c>
      <c r="J358" t="s">
        <v>87</v>
      </c>
      <c r="K358" t="s">
        <v>88</v>
      </c>
      <c r="L358" t="s">
        <v>89</v>
      </c>
    </row>
    <row r="359" spans="8:12" x14ac:dyDescent="0.25">
      <c r="H359" t="s">
        <v>5529</v>
      </c>
      <c r="I359" t="s">
        <v>86</v>
      </c>
      <c r="J359" t="s">
        <v>87</v>
      </c>
      <c r="K359" t="s">
        <v>88</v>
      </c>
      <c r="L359" t="s">
        <v>89</v>
      </c>
    </row>
    <row r="360" spans="8:12" x14ac:dyDescent="0.25">
      <c r="H360" t="s">
        <v>6020</v>
      </c>
      <c r="I360" t="s">
        <v>86</v>
      </c>
      <c r="J360" t="s">
        <v>87</v>
      </c>
      <c r="K360" t="s">
        <v>88</v>
      </c>
      <c r="L360" t="s">
        <v>89</v>
      </c>
    </row>
    <row r="361" spans="8:12" x14ac:dyDescent="0.25">
      <c r="H361" t="s">
        <v>254</v>
      </c>
      <c r="I361" t="s">
        <v>86</v>
      </c>
      <c r="J361" t="s">
        <v>87</v>
      </c>
      <c r="K361" t="s">
        <v>88</v>
      </c>
      <c r="L361" t="s">
        <v>89</v>
      </c>
    </row>
    <row r="362" spans="8:12" x14ac:dyDescent="0.25">
      <c r="H362" t="s">
        <v>6004</v>
      </c>
      <c r="I362" t="s">
        <v>86</v>
      </c>
      <c r="J362" t="s">
        <v>87</v>
      </c>
      <c r="K362" t="s">
        <v>88</v>
      </c>
      <c r="L362" t="s">
        <v>89</v>
      </c>
    </row>
    <row r="363" spans="8:12" x14ac:dyDescent="0.25">
      <c r="H363" t="s">
        <v>254</v>
      </c>
      <c r="I363" t="s">
        <v>86</v>
      </c>
      <c r="J363" t="s">
        <v>87</v>
      </c>
      <c r="K363" t="s">
        <v>88</v>
      </c>
      <c r="L363" t="s">
        <v>89</v>
      </c>
    </row>
    <row r="364" spans="8:12" x14ac:dyDescent="0.25">
      <c r="H364" t="s">
        <v>253</v>
      </c>
      <c r="I364" t="s">
        <v>86</v>
      </c>
      <c r="J364" t="s">
        <v>87</v>
      </c>
      <c r="K364" t="s">
        <v>88</v>
      </c>
      <c r="L364" t="s">
        <v>89</v>
      </c>
    </row>
    <row r="365" spans="8:12" x14ac:dyDescent="0.25">
      <c r="H365" t="s">
        <v>5972</v>
      </c>
      <c r="I365" t="s">
        <v>86</v>
      </c>
      <c r="J365" t="s">
        <v>87</v>
      </c>
      <c r="K365" t="s">
        <v>88</v>
      </c>
      <c r="L365" t="s">
        <v>89</v>
      </c>
    </row>
    <row r="366" spans="8:12" x14ac:dyDescent="0.25">
      <c r="H366" t="s">
        <v>5970</v>
      </c>
      <c r="I366" t="s">
        <v>86</v>
      </c>
      <c r="J366" t="s">
        <v>87</v>
      </c>
      <c r="K366" t="s">
        <v>88</v>
      </c>
      <c r="L366" t="s">
        <v>89</v>
      </c>
    </row>
    <row r="367" spans="8:12" x14ac:dyDescent="0.25">
      <c r="H367" t="s">
        <v>5491</v>
      </c>
      <c r="I367" t="s">
        <v>86</v>
      </c>
      <c r="J367" t="s">
        <v>87</v>
      </c>
      <c r="K367" t="s">
        <v>88</v>
      </c>
      <c r="L367" t="s">
        <v>89</v>
      </c>
    </row>
    <row r="368" spans="8:12" x14ac:dyDescent="0.25">
      <c r="H368" t="s">
        <v>5955</v>
      </c>
      <c r="I368" t="s">
        <v>86</v>
      </c>
    </row>
    <row r="369" spans="8:12" x14ac:dyDescent="0.25">
      <c r="H369" t="s">
        <v>90</v>
      </c>
      <c r="I369" t="s">
        <v>86</v>
      </c>
    </row>
    <row r="370" spans="8:12" x14ac:dyDescent="0.25">
      <c r="H370" t="s">
        <v>5949</v>
      </c>
      <c r="I370" t="s">
        <v>86</v>
      </c>
      <c r="J370" t="s">
        <v>87</v>
      </c>
      <c r="K370" t="s">
        <v>88</v>
      </c>
      <c r="L370" t="s">
        <v>89</v>
      </c>
    </row>
    <row r="371" spans="8:12" x14ac:dyDescent="0.25">
      <c r="H371" t="s">
        <v>253</v>
      </c>
      <c r="I371" t="s">
        <v>86</v>
      </c>
      <c r="J371" t="s">
        <v>87</v>
      </c>
    </row>
    <row r="372" spans="8:12" x14ac:dyDescent="0.25">
      <c r="H372" t="s">
        <v>5400</v>
      </c>
      <c r="I372" t="s">
        <v>86</v>
      </c>
      <c r="J372" t="s">
        <v>87</v>
      </c>
      <c r="K372" t="s">
        <v>88</v>
      </c>
      <c r="L372" t="s">
        <v>89</v>
      </c>
    </row>
    <row r="373" spans="8:12" x14ac:dyDescent="0.25">
      <c r="H373" t="s">
        <v>5236</v>
      </c>
      <c r="I373" t="s">
        <v>86</v>
      </c>
      <c r="J373" t="s">
        <v>87</v>
      </c>
      <c r="K373" t="s">
        <v>88</v>
      </c>
      <c r="L373" t="s">
        <v>89</v>
      </c>
    </row>
    <row r="374" spans="8:12" x14ac:dyDescent="0.25">
      <c r="H374" t="s">
        <v>253</v>
      </c>
      <c r="I374" t="s">
        <v>86</v>
      </c>
      <c r="J374" t="s">
        <v>87</v>
      </c>
      <c r="K374" t="s">
        <v>88</v>
      </c>
      <c r="L374" t="s">
        <v>89</v>
      </c>
    </row>
    <row r="375" spans="8:12" x14ac:dyDescent="0.25">
      <c r="H375" t="s">
        <v>254</v>
      </c>
      <c r="I375" t="s">
        <v>86</v>
      </c>
      <c r="J375" t="s">
        <v>87</v>
      </c>
      <c r="K375" t="s">
        <v>88</v>
      </c>
      <c r="L375" t="s">
        <v>89</v>
      </c>
    </row>
    <row r="376" spans="8:12" x14ac:dyDescent="0.25">
      <c r="H376" t="s">
        <v>90</v>
      </c>
      <c r="I376" t="s">
        <v>86</v>
      </c>
    </row>
    <row r="377" spans="8:12" x14ac:dyDescent="0.25">
      <c r="H377" t="s">
        <v>253</v>
      </c>
      <c r="I377" t="s">
        <v>86</v>
      </c>
      <c r="J377" t="s">
        <v>87</v>
      </c>
      <c r="K377" t="s">
        <v>88</v>
      </c>
      <c r="L377" t="s">
        <v>89</v>
      </c>
    </row>
    <row r="378" spans="8:12" x14ac:dyDescent="0.25">
      <c r="H378" t="s">
        <v>5930</v>
      </c>
      <c r="I378" t="s">
        <v>86</v>
      </c>
      <c r="J378" t="s">
        <v>87</v>
      </c>
      <c r="K378" t="s">
        <v>88</v>
      </c>
      <c r="L378" t="s">
        <v>89</v>
      </c>
    </row>
    <row r="379" spans="8:12" x14ac:dyDescent="0.25">
      <c r="H379" t="s">
        <v>5801</v>
      </c>
      <c r="I379" t="s">
        <v>86</v>
      </c>
    </row>
    <row r="380" spans="8:12" x14ac:dyDescent="0.25">
      <c r="H380" t="s">
        <v>254</v>
      </c>
      <c r="I380" t="s">
        <v>86</v>
      </c>
      <c r="J380" t="s">
        <v>87</v>
      </c>
      <c r="K380" t="s">
        <v>88</v>
      </c>
      <c r="L380" t="s">
        <v>89</v>
      </c>
    </row>
    <row r="381" spans="8:12" x14ac:dyDescent="0.25">
      <c r="H381" t="s">
        <v>253</v>
      </c>
      <c r="I381" t="s">
        <v>86</v>
      </c>
      <c r="J381" t="s">
        <v>87</v>
      </c>
      <c r="K381" t="s">
        <v>88</v>
      </c>
      <c r="L381" t="s">
        <v>89</v>
      </c>
    </row>
    <row r="382" spans="8:12" x14ac:dyDescent="0.25">
      <c r="H382" t="s">
        <v>254</v>
      </c>
      <c r="I382" t="s">
        <v>86</v>
      </c>
      <c r="J382" t="s">
        <v>87</v>
      </c>
      <c r="K382" t="s">
        <v>88</v>
      </c>
      <c r="L382" t="s">
        <v>89</v>
      </c>
    </row>
    <row r="383" spans="8:12" x14ac:dyDescent="0.25">
      <c r="H383" t="s">
        <v>5236</v>
      </c>
      <c r="I383" t="s">
        <v>86</v>
      </c>
      <c r="J383" t="s">
        <v>87</v>
      </c>
      <c r="K383" t="s">
        <v>88</v>
      </c>
      <c r="L383" t="s">
        <v>89</v>
      </c>
    </row>
    <row r="384" spans="8:12" x14ac:dyDescent="0.25">
      <c r="H384" t="s">
        <v>5889</v>
      </c>
      <c r="I384" t="s">
        <v>86</v>
      </c>
    </row>
    <row r="385" spans="8:12" x14ac:dyDescent="0.25">
      <c r="H385" t="s">
        <v>254</v>
      </c>
      <c r="I385" t="s">
        <v>86</v>
      </c>
      <c r="J385" t="s">
        <v>87</v>
      </c>
      <c r="K385" t="s">
        <v>88</v>
      </c>
      <c r="L385" t="s">
        <v>89</v>
      </c>
    </row>
    <row r="386" spans="8:12" x14ac:dyDescent="0.25">
      <c r="H386" t="s">
        <v>5801</v>
      </c>
      <c r="I386" t="s">
        <v>86</v>
      </c>
    </row>
    <row r="387" spans="8:12" x14ac:dyDescent="0.25">
      <c r="H387" t="s">
        <v>90</v>
      </c>
      <c r="I387" t="s">
        <v>86</v>
      </c>
    </row>
    <row r="388" spans="8:12" x14ac:dyDescent="0.25">
      <c r="H388" t="s">
        <v>5879</v>
      </c>
      <c r="I388" t="s">
        <v>86</v>
      </c>
    </row>
    <row r="389" spans="8:12" x14ac:dyDescent="0.25">
      <c r="H389" t="s">
        <v>5872</v>
      </c>
      <c r="I389" t="s">
        <v>86</v>
      </c>
      <c r="J389" t="s">
        <v>87</v>
      </c>
      <c r="K389" t="s">
        <v>88</v>
      </c>
      <c r="L389" t="s">
        <v>89</v>
      </c>
    </row>
    <row r="390" spans="8:12" x14ac:dyDescent="0.25">
      <c r="H390" t="s">
        <v>254</v>
      </c>
      <c r="I390" t="s">
        <v>86</v>
      </c>
      <c r="J390" t="s">
        <v>87</v>
      </c>
      <c r="K390" t="s">
        <v>88</v>
      </c>
      <c r="L390" t="s">
        <v>89</v>
      </c>
    </row>
    <row r="391" spans="8:12" x14ac:dyDescent="0.25">
      <c r="H391" t="s">
        <v>5801</v>
      </c>
      <c r="I391" t="s">
        <v>86</v>
      </c>
    </row>
    <row r="392" spans="8:12" x14ac:dyDescent="0.25">
      <c r="H392" t="s">
        <v>5853</v>
      </c>
      <c r="I392" t="s">
        <v>86</v>
      </c>
    </row>
    <row r="393" spans="8:12" x14ac:dyDescent="0.25">
      <c r="H393" t="s">
        <v>254</v>
      </c>
      <c r="I393" t="s">
        <v>86</v>
      </c>
      <c r="J393" t="s">
        <v>87</v>
      </c>
      <c r="K393" t="s">
        <v>88</v>
      </c>
      <c r="L393" t="s">
        <v>89</v>
      </c>
    </row>
    <row r="394" spans="8:12" x14ac:dyDescent="0.25">
      <c r="H394" t="s">
        <v>254</v>
      </c>
      <c r="I394" t="s">
        <v>86</v>
      </c>
      <c r="J394" t="s">
        <v>87</v>
      </c>
      <c r="K394" t="s">
        <v>88</v>
      </c>
      <c r="L394" t="s">
        <v>89</v>
      </c>
    </row>
    <row r="395" spans="8:12" x14ac:dyDescent="0.25">
      <c r="H395" t="s">
        <v>90</v>
      </c>
      <c r="I395" t="s">
        <v>86</v>
      </c>
    </row>
    <row r="396" spans="8:12" x14ac:dyDescent="0.25">
      <c r="H396" t="s">
        <v>5838</v>
      </c>
      <c r="I396" t="s">
        <v>86</v>
      </c>
      <c r="J396" t="s">
        <v>87</v>
      </c>
      <c r="K396" t="s">
        <v>88</v>
      </c>
      <c r="L396" t="s">
        <v>89</v>
      </c>
    </row>
    <row r="397" spans="8:12" x14ac:dyDescent="0.25">
      <c r="H397" t="s">
        <v>5833</v>
      </c>
      <c r="I397" t="s">
        <v>86</v>
      </c>
      <c r="J397" t="s">
        <v>87</v>
      </c>
      <c r="K397" t="s">
        <v>88</v>
      </c>
      <c r="L397" t="s">
        <v>89</v>
      </c>
    </row>
    <row r="398" spans="8:12" x14ac:dyDescent="0.25">
      <c r="H398" t="s">
        <v>254</v>
      </c>
      <c r="I398" t="s">
        <v>86</v>
      </c>
      <c r="J398" t="s">
        <v>87</v>
      </c>
      <c r="K398" t="s">
        <v>88</v>
      </c>
      <c r="L398" t="s">
        <v>89</v>
      </c>
    </row>
    <row r="399" spans="8:12" x14ac:dyDescent="0.25">
      <c r="H399" t="s">
        <v>90</v>
      </c>
      <c r="I399" t="s">
        <v>86</v>
      </c>
    </row>
    <row r="400" spans="8:12" x14ac:dyDescent="0.25">
      <c r="H400" t="s">
        <v>254</v>
      </c>
      <c r="I400" t="s">
        <v>86</v>
      </c>
      <c r="J400" t="s">
        <v>87</v>
      </c>
      <c r="K400" t="s">
        <v>88</v>
      </c>
      <c r="L400" t="s">
        <v>89</v>
      </c>
    </row>
    <row r="401" spans="8:12" x14ac:dyDescent="0.25">
      <c r="H401" t="s">
        <v>5801</v>
      </c>
      <c r="I401" t="s">
        <v>86</v>
      </c>
    </row>
    <row r="402" spans="8:12" x14ac:dyDescent="0.25">
      <c r="H402" t="s">
        <v>5791</v>
      </c>
      <c r="I402" t="s">
        <v>86</v>
      </c>
    </row>
    <row r="403" spans="8:12" x14ac:dyDescent="0.25">
      <c r="H403" t="s">
        <v>254</v>
      </c>
      <c r="I403" t="s">
        <v>86</v>
      </c>
      <c r="J403" t="s">
        <v>87</v>
      </c>
      <c r="K403" t="s">
        <v>88</v>
      </c>
      <c r="L403" t="s">
        <v>89</v>
      </c>
    </row>
    <row r="404" spans="8:12" x14ac:dyDescent="0.25">
      <c r="H404" t="s">
        <v>254</v>
      </c>
      <c r="I404" t="s">
        <v>86</v>
      </c>
      <c r="J404" t="s">
        <v>87</v>
      </c>
      <c r="K404" t="s">
        <v>88</v>
      </c>
      <c r="L404" t="s">
        <v>89</v>
      </c>
    </row>
    <row r="405" spans="8:12" x14ac:dyDescent="0.25">
      <c r="H405" t="s">
        <v>254</v>
      </c>
      <c r="I405" t="s">
        <v>86</v>
      </c>
      <c r="J405" t="s">
        <v>87</v>
      </c>
      <c r="K405" t="s">
        <v>88</v>
      </c>
      <c r="L405" t="s">
        <v>89</v>
      </c>
    </row>
    <row r="406" spans="8:12" x14ac:dyDescent="0.25">
      <c r="H406" t="s">
        <v>254</v>
      </c>
      <c r="I406" t="s">
        <v>86</v>
      </c>
      <c r="J406" t="s">
        <v>87</v>
      </c>
    </row>
    <row r="407" spans="8:12" x14ac:dyDescent="0.25">
      <c r="H407" t="s">
        <v>5367</v>
      </c>
      <c r="I407" t="s">
        <v>86</v>
      </c>
    </row>
    <row r="408" spans="8:12" x14ac:dyDescent="0.25">
      <c r="H408" t="s">
        <v>5469</v>
      </c>
      <c r="I408" t="s">
        <v>86</v>
      </c>
      <c r="J408" t="s">
        <v>87</v>
      </c>
      <c r="K408" t="s">
        <v>88</v>
      </c>
      <c r="L408" t="s">
        <v>89</v>
      </c>
    </row>
    <row r="409" spans="8:12" x14ac:dyDescent="0.25">
      <c r="H409" t="s">
        <v>253</v>
      </c>
      <c r="I409" t="s">
        <v>86</v>
      </c>
      <c r="J409" t="s">
        <v>87</v>
      </c>
      <c r="K409" t="s">
        <v>88</v>
      </c>
      <c r="L409" t="s">
        <v>89</v>
      </c>
    </row>
    <row r="410" spans="8:12" x14ac:dyDescent="0.25">
      <c r="H410" t="s">
        <v>254</v>
      </c>
      <c r="I410" t="s">
        <v>86</v>
      </c>
      <c r="J410" t="s">
        <v>87</v>
      </c>
      <c r="K410" t="s">
        <v>88</v>
      </c>
      <c r="L410" t="s">
        <v>89</v>
      </c>
    </row>
    <row r="411" spans="8:12" x14ac:dyDescent="0.25">
      <c r="H411" t="s">
        <v>5728</v>
      </c>
      <c r="I411" t="s">
        <v>86</v>
      </c>
    </row>
    <row r="412" spans="8:12" x14ac:dyDescent="0.25">
      <c r="H412" t="s">
        <v>5727</v>
      </c>
      <c r="I412" t="s">
        <v>86</v>
      </c>
      <c r="J412" t="s">
        <v>87</v>
      </c>
      <c r="K412" t="s">
        <v>88</v>
      </c>
      <c r="L412" t="s">
        <v>89</v>
      </c>
    </row>
    <row r="413" spans="8:12" x14ac:dyDescent="0.25">
      <c r="H413" t="s">
        <v>254</v>
      </c>
      <c r="I413" t="s">
        <v>86</v>
      </c>
      <c r="J413" t="s">
        <v>87</v>
      </c>
      <c r="K413" t="s">
        <v>88</v>
      </c>
      <c r="L413" t="s">
        <v>89</v>
      </c>
    </row>
    <row r="414" spans="8:12" x14ac:dyDescent="0.25">
      <c r="H414" t="s">
        <v>90</v>
      </c>
      <c r="I414" t="s">
        <v>86</v>
      </c>
    </row>
    <row r="415" spans="8:12" x14ac:dyDescent="0.25">
      <c r="H415" t="s">
        <v>253</v>
      </c>
      <c r="I415" t="s">
        <v>86</v>
      </c>
      <c r="J415" t="s">
        <v>87</v>
      </c>
      <c r="K415" t="s">
        <v>88</v>
      </c>
      <c r="L415" t="s">
        <v>89</v>
      </c>
    </row>
    <row r="416" spans="8:12" x14ac:dyDescent="0.25">
      <c r="H416" t="s">
        <v>254</v>
      </c>
      <c r="I416" t="s">
        <v>86</v>
      </c>
      <c r="J416" t="s">
        <v>87</v>
      </c>
      <c r="K416" t="s">
        <v>88</v>
      </c>
      <c r="L416" t="s">
        <v>89</v>
      </c>
    </row>
    <row r="417" spans="8:12" x14ac:dyDescent="0.25">
      <c r="H417" t="s">
        <v>253</v>
      </c>
      <c r="I417" t="s">
        <v>86</v>
      </c>
      <c r="J417" t="s">
        <v>87</v>
      </c>
      <c r="K417" t="s">
        <v>88</v>
      </c>
      <c r="L417" t="s">
        <v>89</v>
      </c>
    </row>
    <row r="418" spans="8:12" x14ac:dyDescent="0.25">
      <c r="H418" t="s">
        <v>254</v>
      </c>
      <c r="I418" t="s">
        <v>86</v>
      </c>
      <c r="J418" t="s">
        <v>87</v>
      </c>
      <c r="K418" t="s">
        <v>88</v>
      </c>
      <c r="L418" t="s">
        <v>89</v>
      </c>
    </row>
    <row r="419" spans="8:12" x14ac:dyDescent="0.25">
      <c r="H419" t="s">
        <v>254</v>
      </c>
      <c r="I419" t="s">
        <v>86</v>
      </c>
      <c r="J419" t="s">
        <v>87</v>
      </c>
      <c r="K419" t="s">
        <v>88</v>
      </c>
      <c r="L419" t="s">
        <v>89</v>
      </c>
    </row>
    <row r="420" spans="8:12" x14ac:dyDescent="0.25">
      <c r="H420" t="s">
        <v>5469</v>
      </c>
      <c r="I420" t="s">
        <v>86</v>
      </c>
      <c r="J420" t="s">
        <v>87</v>
      </c>
      <c r="K420" t="s">
        <v>88</v>
      </c>
      <c r="L420" t="s">
        <v>89</v>
      </c>
    </row>
    <row r="421" spans="8:12" x14ac:dyDescent="0.25">
      <c r="H421" t="s">
        <v>90</v>
      </c>
      <c r="I421" t="s">
        <v>86</v>
      </c>
    </row>
    <row r="422" spans="8:12" x14ac:dyDescent="0.25">
      <c r="H422" t="s">
        <v>253</v>
      </c>
      <c r="I422" t="s">
        <v>86</v>
      </c>
      <c r="J422" t="s">
        <v>87</v>
      </c>
      <c r="K422" t="s">
        <v>88</v>
      </c>
      <c r="L422" t="s">
        <v>89</v>
      </c>
    </row>
    <row r="423" spans="8:12" x14ac:dyDescent="0.25">
      <c r="H423" t="s">
        <v>253</v>
      </c>
      <c r="I423" t="s">
        <v>86</v>
      </c>
      <c r="J423" t="s">
        <v>87</v>
      </c>
      <c r="K423" t="s">
        <v>88</v>
      </c>
      <c r="L423" t="s">
        <v>89</v>
      </c>
    </row>
    <row r="424" spans="8:12" x14ac:dyDescent="0.25">
      <c r="H424" t="s">
        <v>5692</v>
      </c>
      <c r="I424" t="s">
        <v>86</v>
      </c>
      <c r="J424" t="s">
        <v>87</v>
      </c>
      <c r="K424" t="s">
        <v>88</v>
      </c>
      <c r="L424" t="s">
        <v>89</v>
      </c>
    </row>
    <row r="425" spans="8:12" x14ac:dyDescent="0.25">
      <c r="H425" t="s">
        <v>254</v>
      </c>
      <c r="I425" t="s">
        <v>86</v>
      </c>
      <c r="J425" t="s">
        <v>87</v>
      </c>
      <c r="K425" t="s">
        <v>88</v>
      </c>
      <c r="L425" t="s">
        <v>89</v>
      </c>
    </row>
    <row r="426" spans="8:12" x14ac:dyDescent="0.25">
      <c r="H426" t="s">
        <v>254</v>
      </c>
      <c r="I426" t="s">
        <v>86</v>
      </c>
      <c r="J426" t="s">
        <v>87</v>
      </c>
      <c r="K426" t="s">
        <v>88</v>
      </c>
      <c r="L426" t="s">
        <v>89</v>
      </c>
    </row>
    <row r="427" spans="8:12" x14ac:dyDescent="0.25">
      <c r="H427" t="s">
        <v>5529</v>
      </c>
      <c r="I427" t="s">
        <v>86</v>
      </c>
      <c r="J427" t="s">
        <v>87</v>
      </c>
      <c r="K427" t="s">
        <v>88</v>
      </c>
      <c r="L427" t="s">
        <v>89</v>
      </c>
    </row>
    <row r="428" spans="8:12" x14ac:dyDescent="0.25">
      <c r="H428" t="s">
        <v>254</v>
      </c>
      <c r="I428" t="s">
        <v>86</v>
      </c>
      <c r="J428" t="s">
        <v>87</v>
      </c>
      <c r="K428" t="s">
        <v>88</v>
      </c>
      <c r="L428" t="s">
        <v>89</v>
      </c>
    </row>
    <row r="429" spans="8:12" x14ac:dyDescent="0.25">
      <c r="H429" t="s">
        <v>254</v>
      </c>
      <c r="I429" t="s">
        <v>86</v>
      </c>
      <c r="J429" t="s">
        <v>87</v>
      </c>
      <c r="K429" t="s">
        <v>88</v>
      </c>
      <c r="L429" t="s">
        <v>89</v>
      </c>
    </row>
    <row r="430" spans="8:12" x14ac:dyDescent="0.25">
      <c r="H430" t="s">
        <v>5653</v>
      </c>
      <c r="I430" t="s">
        <v>86</v>
      </c>
      <c r="J430" t="s">
        <v>87</v>
      </c>
      <c r="K430" t="s">
        <v>88</v>
      </c>
      <c r="L430" t="s">
        <v>89</v>
      </c>
    </row>
    <row r="431" spans="8:12" x14ac:dyDescent="0.25">
      <c r="H431" t="s">
        <v>90</v>
      </c>
      <c r="I431" t="s">
        <v>86</v>
      </c>
    </row>
    <row r="432" spans="8:12" x14ac:dyDescent="0.25">
      <c r="H432" t="s">
        <v>254</v>
      </c>
      <c r="I432" t="s">
        <v>86</v>
      </c>
      <c r="J432" t="s">
        <v>87</v>
      </c>
      <c r="K432" t="s">
        <v>88</v>
      </c>
      <c r="L432" t="s">
        <v>89</v>
      </c>
    </row>
    <row r="433" spans="8:12" x14ac:dyDescent="0.25">
      <c r="H433" t="s">
        <v>5639</v>
      </c>
      <c r="I433" t="s">
        <v>86</v>
      </c>
      <c r="J433" t="s">
        <v>87</v>
      </c>
      <c r="K433" t="s">
        <v>88</v>
      </c>
      <c r="L433" t="s">
        <v>89</v>
      </c>
    </row>
    <row r="434" spans="8:12" x14ac:dyDescent="0.25">
      <c r="H434" t="s">
        <v>254</v>
      </c>
      <c r="I434" t="s">
        <v>86</v>
      </c>
      <c r="J434" t="s">
        <v>87</v>
      </c>
      <c r="K434" t="s">
        <v>88</v>
      </c>
      <c r="L434" t="s">
        <v>89</v>
      </c>
    </row>
    <row r="435" spans="8:12" x14ac:dyDescent="0.25">
      <c r="H435" t="s">
        <v>5626</v>
      </c>
      <c r="I435" t="s">
        <v>86</v>
      </c>
      <c r="J435" t="s">
        <v>87</v>
      </c>
      <c r="K435" t="s">
        <v>88</v>
      </c>
      <c r="L435" t="s">
        <v>89</v>
      </c>
    </row>
    <row r="436" spans="8:12" x14ac:dyDescent="0.25">
      <c r="H436" t="s">
        <v>254</v>
      </c>
      <c r="I436" t="s">
        <v>86</v>
      </c>
      <c r="J436" t="s">
        <v>87</v>
      </c>
      <c r="K436" t="s">
        <v>88</v>
      </c>
      <c r="L436" t="s">
        <v>89</v>
      </c>
    </row>
    <row r="437" spans="8:12" x14ac:dyDescent="0.25">
      <c r="H437" t="s">
        <v>254</v>
      </c>
      <c r="I437" t="s">
        <v>86</v>
      </c>
      <c r="J437" t="s">
        <v>87</v>
      </c>
      <c r="K437" t="s">
        <v>88</v>
      </c>
      <c r="L437" t="s">
        <v>89</v>
      </c>
    </row>
    <row r="438" spans="8:12" x14ac:dyDescent="0.25">
      <c r="H438" t="s">
        <v>5609</v>
      </c>
      <c r="I438" t="s">
        <v>86</v>
      </c>
      <c r="J438" t="s">
        <v>87</v>
      </c>
      <c r="K438" t="s">
        <v>88</v>
      </c>
      <c r="L438" t="s">
        <v>89</v>
      </c>
    </row>
    <row r="439" spans="8:12" x14ac:dyDescent="0.25">
      <c r="H439" t="s">
        <v>254</v>
      </c>
      <c r="I439" t="s">
        <v>86</v>
      </c>
      <c r="J439" t="s">
        <v>87</v>
      </c>
      <c r="K439" t="s">
        <v>88</v>
      </c>
      <c r="L439" t="s">
        <v>89</v>
      </c>
    </row>
    <row r="440" spans="8:12" x14ac:dyDescent="0.25">
      <c r="H440" t="s">
        <v>253</v>
      </c>
      <c r="I440" t="s">
        <v>86</v>
      </c>
      <c r="J440" t="s">
        <v>87</v>
      </c>
      <c r="K440" t="s">
        <v>88</v>
      </c>
      <c r="L440" t="s">
        <v>89</v>
      </c>
    </row>
    <row r="441" spans="8:12" x14ac:dyDescent="0.25">
      <c r="H441" t="s">
        <v>5589</v>
      </c>
      <c r="I441" t="s">
        <v>86</v>
      </c>
      <c r="J441" t="s">
        <v>87</v>
      </c>
      <c r="K441" t="s">
        <v>88</v>
      </c>
      <c r="L441" t="s">
        <v>89</v>
      </c>
    </row>
    <row r="442" spans="8:12" x14ac:dyDescent="0.25">
      <c r="H442" t="s">
        <v>254</v>
      </c>
      <c r="I442" t="s">
        <v>86</v>
      </c>
      <c r="J442" t="s">
        <v>87</v>
      </c>
    </row>
    <row r="443" spans="8:12" x14ac:dyDescent="0.25">
      <c r="H443" t="s">
        <v>90</v>
      </c>
      <c r="I443" t="s">
        <v>86</v>
      </c>
    </row>
    <row r="444" spans="8:12" x14ac:dyDescent="0.25">
      <c r="H444" t="s">
        <v>5580</v>
      </c>
      <c r="I444" t="s">
        <v>86</v>
      </c>
      <c r="J444" t="s">
        <v>87</v>
      </c>
      <c r="K444" t="s">
        <v>88</v>
      </c>
      <c r="L444" t="s">
        <v>89</v>
      </c>
    </row>
    <row r="445" spans="8:12" x14ac:dyDescent="0.25">
      <c r="H445" t="s">
        <v>254</v>
      </c>
      <c r="I445" t="s">
        <v>86</v>
      </c>
      <c r="J445" t="s">
        <v>87</v>
      </c>
      <c r="K445" t="s">
        <v>88</v>
      </c>
      <c r="L445" t="s">
        <v>89</v>
      </c>
    </row>
    <row r="446" spans="8:12" x14ac:dyDescent="0.25">
      <c r="H446" t="s">
        <v>90</v>
      </c>
      <c r="I446" t="s">
        <v>86</v>
      </c>
    </row>
    <row r="447" spans="8:12" x14ac:dyDescent="0.25">
      <c r="H447" t="s">
        <v>5566</v>
      </c>
      <c r="I447" t="s">
        <v>86</v>
      </c>
      <c r="J447" t="s">
        <v>87</v>
      </c>
      <c r="K447" t="s">
        <v>88</v>
      </c>
      <c r="L447" t="s">
        <v>89</v>
      </c>
    </row>
    <row r="448" spans="8:12" x14ac:dyDescent="0.25">
      <c r="H448" t="s">
        <v>5564</v>
      </c>
      <c r="I448" t="s">
        <v>86</v>
      </c>
    </row>
    <row r="449" spans="8:12" x14ac:dyDescent="0.25">
      <c r="H449" t="s">
        <v>253</v>
      </c>
      <c r="I449" t="s">
        <v>86</v>
      </c>
      <c r="J449" t="s">
        <v>87</v>
      </c>
      <c r="K449" t="s">
        <v>88</v>
      </c>
      <c r="L449" t="s">
        <v>89</v>
      </c>
    </row>
    <row r="450" spans="8:12" x14ac:dyDescent="0.25">
      <c r="H450" t="s">
        <v>5559</v>
      </c>
      <c r="I450" t="s">
        <v>86</v>
      </c>
      <c r="J450" t="s">
        <v>87</v>
      </c>
      <c r="K450" t="s">
        <v>88</v>
      </c>
      <c r="L450" t="s">
        <v>89</v>
      </c>
    </row>
    <row r="451" spans="8:12" x14ac:dyDescent="0.25">
      <c r="H451" t="s">
        <v>5236</v>
      </c>
      <c r="I451" t="s">
        <v>86</v>
      </c>
      <c r="J451" t="s">
        <v>87</v>
      </c>
      <c r="K451" t="s">
        <v>88</v>
      </c>
      <c r="L451" t="s">
        <v>89</v>
      </c>
    </row>
    <row r="452" spans="8:12" x14ac:dyDescent="0.25">
      <c r="H452" t="s">
        <v>254</v>
      </c>
      <c r="I452" t="s">
        <v>86</v>
      </c>
      <c r="J452" t="s">
        <v>87</v>
      </c>
      <c r="K452" t="s">
        <v>88</v>
      </c>
      <c r="L452" t="s">
        <v>89</v>
      </c>
    </row>
    <row r="453" spans="8:12" x14ac:dyDescent="0.25">
      <c r="H453" t="s">
        <v>5353</v>
      </c>
      <c r="I453" t="s">
        <v>86</v>
      </c>
    </row>
    <row r="454" spans="8:12" x14ac:dyDescent="0.25">
      <c r="H454" t="s">
        <v>253</v>
      </c>
      <c r="I454" t="s">
        <v>86</v>
      </c>
      <c r="J454" t="s">
        <v>87</v>
      </c>
      <c r="K454" t="s">
        <v>88</v>
      </c>
      <c r="L454" t="s">
        <v>89</v>
      </c>
    </row>
    <row r="455" spans="8:12" x14ac:dyDescent="0.25">
      <c r="H455" t="s">
        <v>5529</v>
      </c>
      <c r="I455" t="s">
        <v>86</v>
      </c>
      <c r="J455" t="s">
        <v>87</v>
      </c>
      <c r="K455" t="s">
        <v>88</v>
      </c>
      <c r="L455" t="s">
        <v>89</v>
      </c>
    </row>
    <row r="456" spans="8:12" x14ac:dyDescent="0.25">
      <c r="H456" t="s">
        <v>254</v>
      </c>
      <c r="I456" t="s">
        <v>86</v>
      </c>
      <c r="J456" t="s">
        <v>87</v>
      </c>
      <c r="K456" t="s">
        <v>88</v>
      </c>
      <c r="L456" t="s">
        <v>89</v>
      </c>
    </row>
    <row r="457" spans="8:12" x14ac:dyDescent="0.25">
      <c r="H457" t="s">
        <v>254</v>
      </c>
      <c r="I457" t="s">
        <v>86</v>
      </c>
      <c r="J457" t="s">
        <v>87</v>
      </c>
      <c r="K457" t="s">
        <v>88</v>
      </c>
      <c r="L457" t="s">
        <v>89</v>
      </c>
    </row>
    <row r="458" spans="8:12" x14ac:dyDescent="0.25">
      <c r="H458" t="s">
        <v>253</v>
      </c>
      <c r="I458" t="s">
        <v>86</v>
      </c>
      <c r="J458" t="s">
        <v>87</v>
      </c>
      <c r="K458" t="s">
        <v>88</v>
      </c>
      <c r="L458" t="s">
        <v>89</v>
      </c>
    </row>
    <row r="459" spans="8:12" x14ac:dyDescent="0.25">
      <c r="H459" t="s">
        <v>253</v>
      </c>
      <c r="I459" t="s">
        <v>86</v>
      </c>
      <c r="J459" t="s">
        <v>87</v>
      </c>
      <c r="K459" t="s">
        <v>88</v>
      </c>
      <c r="L459" t="s">
        <v>89</v>
      </c>
    </row>
    <row r="460" spans="8:12" x14ac:dyDescent="0.25">
      <c r="H460" t="s">
        <v>253</v>
      </c>
      <c r="I460" t="s">
        <v>86</v>
      </c>
      <c r="J460" t="s">
        <v>87</v>
      </c>
      <c r="K460" t="s">
        <v>88</v>
      </c>
      <c r="L460" t="s">
        <v>89</v>
      </c>
    </row>
    <row r="461" spans="8:12" x14ac:dyDescent="0.25">
      <c r="H461" t="s">
        <v>254</v>
      </c>
      <c r="I461" t="s">
        <v>86</v>
      </c>
      <c r="J461" t="s">
        <v>87</v>
      </c>
      <c r="K461" t="s">
        <v>88</v>
      </c>
      <c r="L461" t="s">
        <v>89</v>
      </c>
    </row>
    <row r="462" spans="8:12" x14ac:dyDescent="0.25">
      <c r="H462" t="s">
        <v>90</v>
      </c>
      <c r="I462" t="s">
        <v>86</v>
      </c>
    </row>
    <row r="463" spans="8:12" x14ac:dyDescent="0.25">
      <c r="H463" t="s">
        <v>5491</v>
      </c>
      <c r="I463" t="s">
        <v>86</v>
      </c>
      <c r="J463" t="s">
        <v>87</v>
      </c>
      <c r="K463" t="s">
        <v>88</v>
      </c>
      <c r="L463" t="s">
        <v>89</v>
      </c>
    </row>
    <row r="464" spans="8:12" x14ac:dyDescent="0.25">
      <c r="H464" t="s">
        <v>5485</v>
      </c>
      <c r="I464" t="s">
        <v>86</v>
      </c>
      <c r="J464" t="s">
        <v>87</v>
      </c>
      <c r="K464" t="s">
        <v>88</v>
      </c>
      <c r="L464" t="s">
        <v>89</v>
      </c>
    </row>
    <row r="465" spans="8:12" x14ac:dyDescent="0.25">
      <c r="H465" t="s">
        <v>253</v>
      </c>
      <c r="I465" t="s">
        <v>86</v>
      </c>
      <c r="J465" t="s">
        <v>86</v>
      </c>
      <c r="K465" t="s">
        <v>86</v>
      </c>
      <c r="L465" t="s">
        <v>86</v>
      </c>
    </row>
    <row r="466" spans="8:12" x14ac:dyDescent="0.25">
      <c r="H466" t="s">
        <v>253</v>
      </c>
      <c r="I466" t="s">
        <v>86</v>
      </c>
      <c r="J466" t="s">
        <v>87</v>
      </c>
      <c r="K466" t="s">
        <v>88</v>
      </c>
      <c r="L466" t="s">
        <v>89</v>
      </c>
    </row>
    <row r="467" spans="8:12" x14ac:dyDescent="0.25">
      <c r="H467" t="s">
        <v>5469</v>
      </c>
      <c r="I467" t="s">
        <v>86</v>
      </c>
      <c r="J467" t="s">
        <v>87</v>
      </c>
      <c r="K467" t="s">
        <v>88</v>
      </c>
      <c r="L467" t="s">
        <v>89</v>
      </c>
    </row>
    <row r="468" spans="8:12" x14ac:dyDescent="0.25">
      <c r="H468" t="s">
        <v>254</v>
      </c>
      <c r="I468" t="s">
        <v>86</v>
      </c>
      <c r="J468" t="s">
        <v>87</v>
      </c>
      <c r="K468" t="s">
        <v>88</v>
      </c>
      <c r="L468" t="s">
        <v>89</v>
      </c>
    </row>
    <row r="469" spans="8:12" x14ac:dyDescent="0.25">
      <c r="H469" t="s">
        <v>5312</v>
      </c>
      <c r="I469" t="s">
        <v>86</v>
      </c>
      <c r="J469" t="s">
        <v>87</v>
      </c>
      <c r="K469" t="s">
        <v>88</v>
      </c>
      <c r="L469" t="s">
        <v>89</v>
      </c>
    </row>
    <row r="470" spans="8:12" x14ac:dyDescent="0.25">
      <c r="H470" t="s">
        <v>5323</v>
      </c>
      <c r="I470" t="s">
        <v>86</v>
      </c>
      <c r="J470" t="s">
        <v>87</v>
      </c>
      <c r="K470" t="s">
        <v>88</v>
      </c>
      <c r="L470" t="s">
        <v>89</v>
      </c>
    </row>
    <row r="471" spans="8:12" x14ac:dyDescent="0.25">
      <c r="H471" t="s">
        <v>254</v>
      </c>
      <c r="I471" t="s">
        <v>86</v>
      </c>
      <c r="J471" t="s">
        <v>87</v>
      </c>
      <c r="K471" t="s">
        <v>88</v>
      </c>
      <c r="L471" t="s">
        <v>89</v>
      </c>
    </row>
    <row r="472" spans="8:12" x14ac:dyDescent="0.25">
      <c r="H472" t="s">
        <v>254</v>
      </c>
      <c r="I472" t="s">
        <v>86</v>
      </c>
      <c r="J472" t="s">
        <v>87</v>
      </c>
      <c r="K472" t="s">
        <v>88</v>
      </c>
      <c r="L472" t="s">
        <v>89</v>
      </c>
    </row>
    <row r="473" spans="8:12" x14ac:dyDescent="0.25">
      <c r="H473" t="s">
        <v>90</v>
      </c>
      <c r="I473" t="s">
        <v>86</v>
      </c>
    </row>
    <row r="474" spans="8:12" x14ac:dyDescent="0.25">
      <c r="H474" t="s">
        <v>253</v>
      </c>
      <c r="I474" t="s">
        <v>86</v>
      </c>
      <c r="J474" t="s">
        <v>87</v>
      </c>
      <c r="K474" t="s">
        <v>88</v>
      </c>
      <c r="L474" t="s">
        <v>89</v>
      </c>
    </row>
    <row r="475" spans="8:12" x14ac:dyDescent="0.25">
      <c r="H475" t="s">
        <v>254</v>
      </c>
      <c r="I475" t="s">
        <v>86</v>
      </c>
      <c r="J475" t="s">
        <v>87</v>
      </c>
      <c r="K475" t="s">
        <v>88</v>
      </c>
      <c r="L475" t="s">
        <v>89</v>
      </c>
    </row>
    <row r="476" spans="8:12" x14ac:dyDescent="0.25">
      <c r="H476" t="s">
        <v>90</v>
      </c>
      <c r="I476" t="s">
        <v>86</v>
      </c>
    </row>
    <row r="477" spans="8:12" x14ac:dyDescent="0.25">
      <c r="H477" t="s">
        <v>254</v>
      </c>
      <c r="I477" t="s">
        <v>86</v>
      </c>
      <c r="J477" t="s">
        <v>87</v>
      </c>
      <c r="K477" t="s">
        <v>88</v>
      </c>
      <c r="L477" t="s">
        <v>89</v>
      </c>
    </row>
    <row r="478" spans="8:12" x14ac:dyDescent="0.25">
      <c r="H478" t="s">
        <v>5400</v>
      </c>
      <c r="I478" t="s">
        <v>86</v>
      </c>
      <c r="J478" t="s">
        <v>87</v>
      </c>
      <c r="K478" t="s">
        <v>88</v>
      </c>
      <c r="L478" t="s">
        <v>89</v>
      </c>
    </row>
    <row r="479" spans="8:12" x14ac:dyDescent="0.25">
      <c r="H479" t="s">
        <v>5393</v>
      </c>
      <c r="I479" t="s">
        <v>86</v>
      </c>
      <c r="J479" t="s">
        <v>87</v>
      </c>
      <c r="K479" t="s">
        <v>88</v>
      </c>
      <c r="L479" t="s">
        <v>89</v>
      </c>
    </row>
    <row r="480" spans="8:12" x14ac:dyDescent="0.25">
      <c r="H480" t="s">
        <v>254</v>
      </c>
      <c r="I480" t="s">
        <v>86</v>
      </c>
      <c r="J480" t="s">
        <v>87</v>
      </c>
      <c r="K480" t="s">
        <v>88</v>
      </c>
      <c r="L480" t="s">
        <v>89</v>
      </c>
    </row>
    <row r="481" spans="8:12" x14ac:dyDescent="0.25">
      <c r="H481" t="s">
        <v>254</v>
      </c>
      <c r="I481" t="s">
        <v>86</v>
      </c>
      <c r="J481" t="s">
        <v>87</v>
      </c>
      <c r="K481" t="s">
        <v>88</v>
      </c>
      <c r="L481" t="s">
        <v>89</v>
      </c>
    </row>
    <row r="482" spans="8:12" x14ac:dyDescent="0.25">
      <c r="H482" t="s">
        <v>90</v>
      </c>
      <c r="I482" t="s">
        <v>86</v>
      </c>
    </row>
    <row r="483" spans="8:12" x14ac:dyDescent="0.25">
      <c r="H483" t="s">
        <v>90</v>
      </c>
      <c r="I483" t="s">
        <v>86</v>
      </c>
    </row>
    <row r="484" spans="8:12" x14ac:dyDescent="0.25">
      <c r="H484" t="s">
        <v>5367</v>
      </c>
      <c r="I484" t="s">
        <v>86</v>
      </c>
    </row>
    <row r="485" spans="8:12" x14ac:dyDescent="0.25">
      <c r="H485" t="s">
        <v>5361</v>
      </c>
      <c r="I485" t="s">
        <v>86</v>
      </c>
      <c r="J485" t="s">
        <v>87</v>
      </c>
      <c r="K485" t="s">
        <v>88</v>
      </c>
      <c r="L485" t="s">
        <v>89</v>
      </c>
    </row>
    <row r="486" spans="8:12" x14ac:dyDescent="0.25">
      <c r="H486" t="s">
        <v>5353</v>
      </c>
      <c r="I486" t="s">
        <v>86</v>
      </c>
    </row>
    <row r="487" spans="8:12" x14ac:dyDescent="0.25">
      <c r="H487" t="s">
        <v>5273</v>
      </c>
      <c r="I487" t="s">
        <v>86</v>
      </c>
      <c r="J487" t="s">
        <v>87</v>
      </c>
      <c r="K487" t="s">
        <v>88</v>
      </c>
      <c r="L487" t="s">
        <v>89</v>
      </c>
    </row>
    <row r="488" spans="8:12" x14ac:dyDescent="0.25">
      <c r="H488" t="s">
        <v>254</v>
      </c>
      <c r="I488" t="s">
        <v>86</v>
      </c>
      <c r="J488" t="s">
        <v>87</v>
      </c>
      <c r="K488" t="s">
        <v>88</v>
      </c>
      <c r="L488" t="s">
        <v>89</v>
      </c>
    </row>
    <row r="489" spans="8:12" x14ac:dyDescent="0.25">
      <c r="H489" t="s">
        <v>5323</v>
      </c>
      <c r="I489" t="s">
        <v>86</v>
      </c>
      <c r="J489" t="s">
        <v>87</v>
      </c>
      <c r="K489" t="s">
        <v>88</v>
      </c>
      <c r="L489" t="s">
        <v>89</v>
      </c>
    </row>
    <row r="490" spans="8:12" x14ac:dyDescent="0.25">
      <c r="H490" t="s">
        <v>5321</v>
      </c>
      <c r="I490" t="s">
        <v>86</v>
      </c>
    </row>
    <row r="491" spans="8:12" x14ac:dyDescent="0.25">
      <c r="H491" t="s">
        <v>253</v>
      </c>
      <c r="I491" t="s">
        <v>86</v>
      </c>
      <c r="J491" t="s">
        <v>87</v>
      </c>
      <c r="K491" t="s">
        <v>88</v>
      </c>
      <c r="L491" t="s">
        <v>89</v>
      </c>
    </row>
    <row r="492" spans="8:12" x14ac:dyDescent="0.25">
      <c r="H492" t="s">
        <v>5312</v>
      </c>
      <c r="I492" t="s">
        <v>86</v>
      </c>
      <c r="J492" t="s">
        <v>87</v>
      </c>
      <c r="K492" t="s">
        <v>88</v>
      </c>
      <c r="L492" t="s">
        <v>89</v>
      </c>
    </row>
    <row r="493" spans="8:12" x14ac:dyDescent="0.25">
      <c r="H493" t="s">
        <v>253</v>
      </c>
      <c r="I493" t="s">
        <v>86</v>
      </c>
      <c r="J493" t="s">
        <v>87</v>
      </c>
      <c r="K493" t="s">
        <v>88</v>
      </c>
      <c r="L493" t="s">
        <v>89</v>
      </c>
    </row>
    <row r="494" spans="8:12" x14ac:dyDescent="0.25">
      <c r="H494" t="s">
        <v>5294</v>
      </c>
      <c r="I494" t="s">
        <v>86</v>
      </c>
      <c r="J494" t="s">
        <v>87</v>
      </c>
      <c r="K494" t="s">
        <v>88</v>
      </c>
      <c r="L494" t="s">
        <v>89</v>
      </c>
    </row>
    <row r="495" spans="8:12" x14ac:dyDescent="0.25">
      <c r="H495" t="s">
        <v>253</v>
      </c>
      <c r="I495" t="s">
        <v>86</v>
      </c>
      <c r="J495" t="s">
        <v>87</v>
      </c>
      <c r="K495" t="s">
        <v>88</v>
      </c>
      <c r="L495" t="s">
        <v>89</v>
      </c>
    </row>
    <row r="496" spans="8:12" x14ac:dyDescent="0.25">
      <c r="H496" t="s">
        <v>5273</v>
      </c>
      <c r="I496" t="s">
        <v>86</v>
      </c>
      <c r="J496" t="s">
        <v>87</v>
      </c>
      <c r="K496" t="s">
        <v>88</v>
      </c>
      <c r="L496" t="s">
        <v>89</v>
      </c>
    </row>
    <row r="497" spans="8:12" x14ac:dyDescent="0.25">
      <c r="H497" t="s">
        <v>254</v>
      </c>
      <c r="I497" t="s">
        <v>86</v>
      </c>
      <c r="J497" t="s">
        <v>87</v>
      </c>
      <c r="K497" t="s">
        <v>88</v>
      </c>
      <c r="L497" t="s">
        <v>89</v>
      </c>
    </row>
    <row r="498" spans="8:12" x14ac:dyDescent="0.25">
      <c r="H498" t="s">
        <v>253</v>
      </c>
      <c r="I498" t="s">
        <v>86</v>
      </c>
      <c r="J498" t="s">
        <v>87</v>
      </c>
      <c r="K498" t="s">
        <v>88</v>
      </c>
      <c r="L498" t="s">
        <v>89</v>
      </c>
    </row>
    <row r="499" spans="8:12" x14ac:dyDescent="0.25">
      <c r="H499" t="s">
        <v>5263</v>
      </c>
      <c r="I499" t="s">
        <v>86</v>
      </c>
      <c r="J499" t="s">
        <v>87</v>
      </c>
      <c r="K499" t="s">
        <v>88</v>
      </c>
      <c r="L499" t="s">
        <v>89</v>
      </c>
    </row>
    <row r="500" spans="8:12" x14ac:dyDescent="0.25">
      <c r="H500" t="s">
        <v>254</v>
      </c>
      <c r="I500" t="s">
        <v>86</v>
      </c>
      <c r="J500" t="s">
        <v>87</v>
      </c>
      <c r="K500" t="s">
        <v>88</v>
      </c>
      <c r="L500" t="s">
        <v>89</v>
      </c>
    </row>
    <row r="501" spans="8:12" x14ac:dyDescent="0.25">
      <c r="H501" t="s">
        <v>254</v>
      </c>
      <c r="I501" t="s">
        <v>86</v>
      </c>
      <c r="J501" t="s">
        <v>87</v>
      </c>
      <c r="K501" t="s">
        <v>88</v>
      </c>
      <c r="L501" t="s">
        <v>89</v>
      </c>
    </row>
    <row r="502" spans="8:12" x14ac:dyDescent="0.25">
      <c r="H502" t="s">
        <v>254</v>
      </c>
      <c r="I502" t="s">
        <v>86</v>
      </c>
      <c r="J502" t="s">
        <v>87</v>
      </c>
      <c r="K502" t="s">
        <v>88</v>
      </c>
      <c r="L502" t="s">
        <v>89</v>
      </c>
    </row>
    <row r="503" spans="8:12" x14ac:dyDescent="0.25">
      <c r="H503" t="s">
        <v>253</v>
      </c>
      <c r="I503" t="s">
        <v>86</v>
      </c>
      <c r="J503" t="s">
        <v>87</v>
      </c>
      <c r="K503" t="s">
        <v>88</v>
      </c>
      <c r="L503" t="s">
        <v>89</v>
      </c>
    </row>
    <row r="504" spans="8:12" x14ac:dyDescent="0.25">
      <c r="H504" t="s">
        <v>253</v>
      </c>
      <c r="I504" t="s">
        <v>86</v>
      </c>
      <c r="J504" t="s">
        <v>87</v>
      </c>
      <c r="K504" t="s">
        <v>88</v>
      </c>
      <c r="L504" t="s">
        <v>89</v>
      </c>
    </row>
    <row r="505" spans="8:12" x14ac:dyDescent="0.25">
      <c r="H505" t="s">
        <v>5236</v>
      </c>
      <c r="I505" t="s">
        <v>86</v>
      </c>
      <c r="J505" t="s">
        <v>87</v>
      </c>
      <c r="K505" t="s">
        <v>88</v>
      </c>
      <c r="L505" t="s">
        <v>89</v>
      </c>
    </row>
    <row r="506" spans="8:12" x14ac:dyDescent="0.25">
      <c r="H506" t="s">
        <v>5507</v>
      </c>
      <c r="I506" t="s">
        <v>87</v>
      </c>
    </row>
    <row r="507" spans="8:12" x14ac:dyDescent="0.25">
      <c r="H507" t="s">
        <v>91</v>
      </c>
      <c r="I507" t="s">
        <v>87</v>
      </c>
    </row>
    <row r="508" spans="8:12" x14ac:dyDescent="0.25">
      <c r="H508" t="s">
        <v>91</v>
      </c>
      <c r="I508" t="s">
        <v>87</v>
      </c>
    </row>
    <row r="509" spans="8:12" x14ac:dyDescent="0.25">
      <c r="H509" t="s">
        <v>254</v>
      </c>
      <c r="I509" t="s">
        <v>87</v>
      </c>
      <c r="J509" t="s">
        <v>88</v>
      </c>
    </row>
    <row r="510" spans="8:12" x14ac:dyDescent="0.25">
      <c r="H510" t="s">
        <v>91</v>
      </c>
      <c r="I510" t="s">
        <v>87</v>
      </c>
    </row>
    <row r="511" spans="8:12" x14ac:dyDescent="0.25">
      <c r="H511" t="s">
        <v>6704</v>
      </c>
      <c r="I511" t="s">
        <v>87</v>
      </c>
    </row>
    <row r="512" spans="8:12" x14ac:dyDescent="0.25">
      <c r="H512" t="s">
        <v>254</v>
      </c>
      <c r="I512" t="s">
        <v>87</v>
      </c>
      <c r="J512" t="s">
        <v>88</v>
      </c>
    </row>
    <row r="513" spans="8:10" x14ac:dyDescent="0.25">
      <c r="H513" t="s">
        <v>91</v>
      </c>
      <c r="I513" t="s">
        <v>87</v>
      </c>
    </row>
    <row r="514" spans="8:10" x14ac:dyDescent="0.25">
      <c r="H514" t="s">
        <v>91</v>
      </c>
      <c r="I514" t="s">
        <v>87</v>
      </c>
    </row>
    <row r="515" spans="8:10" x14ac:dyDescent="0.25">
      <c r="H515" t="s">
        <v>91</v>
      </c>
      <c r="I515" t="s">
        <v>87</v>
      </c>
    </row>
    <row r="516" spans="8:10" x14ac:dyDescent="0.25">
      <c r="H516" t="s">
        <v>254</v>
      </c>
      <c r="I516" t="s">
        <v>87</v>
      </c>
      <c r="J516" t="s">
        <v>88</v>
      </c>
    </row>
    <row r="517" spans="8:10" x14ac:dyDescent="0.25">
      <c r="H517" t="s">
        <v>5400</v>
      </c>
      <c r="I517" t="s">
        <v>87</v>
      </c>
      <c r="J517" t="s">
        <v>88</v>
      </c>
    </row>
    <row r="518" spans="8:10" x14ac:dyDescent="0.25">
      <c r="H518" t="s">
        <v>6292</v>
      </c>
      <c r="I518" t="s">
        <v>87</v>
      </c>
    </row>
    <row r="519" spans="8:10" x14ac:dyDescent="0.25">
      <c r="H519" t="s">
        <v>254</v>
      </c>
      <c r="I519" t="s">
        <v>87</v>
      </c>
      <c r="J519" t="s">
        <v>88</v>
      </c>
    </row>
    <row r="520" spans="8:10" x14ac:dyDescent="0.25">
      <c r="H520" t="s">
        <v>91</v>
      </c>
      <c r="I520" t="s">
        <v>87</v>
      </c>
    </row>
    <row r="521" spans="8:10" x14ac:dyDescent="0.25">
      <c r="H521" t="s">
        <v>5831</v>
      </c>
      <c r="I521" t="s">
        <v>87</v>
      </c>
    </row>
    <row r="522" spans="8:10" x14ac:dyDescent="0.25">
      <c r="H522" t="s">
        <v>6219</v>
      </c>
      <c r="I522" t="s">
        <v>87</v>
      </c>
    </row>
    <row r="523" spans="8:10" x14ac:dyDescent="0.25">
      <c r="H523" t="s">
        <v>6217</v>
      </c>
      <c r="I523" t="s">
        <v>87</v>
      </c>
    </row>
    <row r="524" spans="8:10" x14ac:dyDescent="0.25">
      <c r="H524" t="s">
        <v>6197</v>
      </c>
      <c r="I524" t="s">
        <v>87</v>
      </c>
    </row>
    <row r="525" spans="8:10" x14ac:dyDescent="0.25">
      <c r="H525" t="s">
        <v>6178</v>
      </c>
      <c r="I525" t="s">
        <v>87</v>
      </c>
    </row>
    <row r="526" spans="8:10" x14ac:dyDescent="0.25">
      <c r="H526" t="s">
        <v>6121</v>
      </c>
      <c r="I526" t="s">
        <v>87</v>
      </c>
    </row>
    <row r="527" spans="8:10" x14ac:dyDescent="0.25">
      <c r="H527" t="s">
        <v>254</v>
      </c>
      <c r="I527" t="s">
        <v>87</v>
      </c>
      <c r="J527" t="s">
        <v>88</v>
      </c>
    </row>
    <row r="528" spans="8:10" x14ac:dyDescent="0.25">
      <c r="H528" t="s">
        <v>254</v>
      </c>
      <c r="I528" t="s">
        <v>87</v>
      </c>
      <c r="J528" t="s">
        <v>88</v>
      </c>
    </row>
    <row r="529" spans="8:10" x14ac:dyDescent="0.25">
      <c r="H529" t="s">
        <v>5989</v>
      </c>
      <c r="I529" t="s">
        <v>87</v>
      </c>
    </row>
    <row r="530" spans="8:10" x14ac:dyDescent="0.25">
      <c r="H530" t="s">
        <v>91</v>
      </c>
      <c r="I530" t="s">
        <v>87</v>
      </c>
    </row>
    <row r="531" spans="8:10" x14ac:dyDescent="0.25">
      <c r="H531" t="s">
        <v>91</v>
      </c>
      <c r="I531" t="s">
        <v>87</v>
      </c>
    </row>
    <row r="532" spans="8:10" x14ac:dyDescent="0.25">
      <c r="H532" t="s">
        <v>5965</v>
      </c>
      <c r="I532" t="s">
        <v>87</v>
      </c>
    </row>
    <row r="533" spans="8:10" x14ac:dyDescent="0.25">
      <c r="H533" t="s">
        <v>5962</v>
      </c>
      <c r="I533" t="s">
        <v>87</v>
      </c>
    </row>
    <row r="534" spans="8:10" x14ac:dyDescent="0.25">
      <c r="H534" t="s">
        <v>5831</v>
      </c>
      <c r="I534" t="s">
        <v>87</v>
      </c>
    </row>
    <row r="535" spans="8:10" x14ac:dyDescent="0.25">
      <c r="H535" t="s">
        <v>91</v>
      </c>
      <c r="I535" t="s">
        <v>87</v>
      </c>
    </row>
    <row r="536" spans="8:10" x14ac:dyDescent="0.25">
      <c r="H536" t="s">
        <v>254</v>
      </c>
      <c r="I536" t="s">
        <v>87</v>
      </c>
      <c r="J536" t="s">
        <v>88</v>
      </c>
    </row>
    <row r="537" spans="8:10" x14ac:dyDescent="0.25">
      <c r="H537" t="s">
        <v>5724</v>
      </c>
      <c r="I537" t="s">
        <v>87</v>
      </c>
    </row>
    <row r="538" spans="8:10" x14ac:dyDescent="0.25">
      <c r="H538" t="s">
        <v>5507</v>
      </c>
      <c r="I538" t="s">
        <v>87</v>
      </c>
    </row>
    <row r="539" spans="8:10" x14ac:dyDescent="0.25">
      <c r="H539" t="s">
        <v>91</v>
      </c>
      <c r="I539" t="s">
        <v>87</v>
      </c>
    </row>
    <row r="540" spans="8:10" x14ac:dyDescent="0.25">
      <c r="H540" t="s">
        <v>254</v>
      </c>
      <c r="I540" t="s">
        <v>87</v>
      </c>
      <c r="J540" t="s">
        <v>88</v>
      </c>
    </row>
    <row r="541" spans="8:10" x14ac:dyDescent="0.25">
      <c r="H541" t="s">
        <v>254</v>
      </c>
      <c r="I541" t="s">
        <v>87</v>
      </c>
      <c r="J541" t="s">
        <v>88</v>
      </c>
    </row>
    <row r="542" spans="8:10" x14ac:dyDescent="0.25">
      <c r="H542" t="s">
        <v>5507</v>
      </c>
      <c r="I542" t="s">
        <v>87</v>
      </c>
    </row>
    <row r="543" spans="8:10" x14ac:dyDescent="0.25">
      <c r="H543" t="s">
        <v>91</v>
      </c>
      <c r="I543" t="s">
        <v>87</v>
      </c>
    </row>
    <row r="544" spans="8:10" x14ac:dyDescent="0.25">
      <c r="H544" t="s">
        <v>91</v>
      </c>
      <c r="I544" t="s">
        <v>87</v>
      </c>
    </row>
    <row r="545" spans="8:10" x14ac:dyDescent="0.25">
      <c r="H545" t="s">
        <v>5397</v>
      </c>
      <c r="I545" t="s">
        <v>87</v>
      </c>
    </row>
    <row r="546" spans="8:10" x14ac:dyDescent="0.25">
      <c r="H546" t="s">
        <v>5276</v>
      </c>
      <c r="I546" t="s">
        <v>87</v>
      </c>
    </row>
    <row r="547" spans="8:10" x14ac:dyDescent="0.25">
      <c r="H547" t="s">
        <v>92</v>
      </c>
      <c r="I547" t="s">
        <v>88</v>
      </c>
    </row>
    <row r="548" spans="8:10" x14ac:dyDescent="0.25">
      <c r="H548" t="s">
        <v>92</v>
      </c>
      <c r="I548" t="s">
        <v>88</v>
      </c>
    </row>
    <row r="549" spans="8:10" x14ac:dyDescent="0.25">
      <c r="H549" t="s">
        <v>92</v>
      </c>
      <c r="I549" t="s">
        <v>88</v>
      </c>
    </row>
    <row r="550" spans="8:10" x14ac:dyDescent="0.25">
      <c r="H550" t="s">
        <v>92</v>
      </c>
      <c r="I550" t="s">
        <v>88</v>
      </c>
    </row>
    <row r="551" spans="8:10" x14ac:dyDescent="0.25">
      <c r="H551" t="s">
        <v>6559</v>
      </c>
      <c r="I551" t="s">
        <v>88</v>
      </c>
    </row>
    <row r="552" spans="8:10" x14ac:dyDescent="0.25">
      <c r="H552" t="s">
        <v>92</v>
      </c>
      <c r="I552" t="s">
        <v>88</v>
      </c>
    </row>
    <row r="553" spans="8:10" x14ac:dyDescent="0.25">
      <c r="H553" t="s">
        <v>6342</v>
      </c>
      <c r="I553" t="s">
        <v>88</v>
      </c>
    </row>
    <row r="554" spans="8:10" x14ac:dyDescent="0.25">
      <c r="H554" t="s">
        <v>254</v>
      </c>
      <c r="I554" t="s">
        <v>88</v>
      </c>
      <c r="J554" t="s">
        <v>89</v>
      </c>
    </row>
    <row r="555" spans="8:10" x14ac:dyDescent="0.25">
      <c r="H555" t="s">
        <v>92</v>
      </c>
      <c r="I555" t="s">
        <v>88</v>
      </c>
    </row>
    <row r="556" spans="8:10" x14ac:dyDescent="0.25">
      <c r="H556" t="s">
        <v>92</v>
      </c>
      <c r="I556" t="s">
        <v>88</v>
      </c>
    </row>
    <row r="557" spans="8:10" x14ac:dyDescent="0.25">
      <c r="H557" t="s">
        <v>90</v>
      </c>
      <c r="I557" t="s">
        <v>88</v>
      </c>
    </row>
    <row r="558" spans="8:10" x14ac:dyDescent="0.25">
      <c r="H558" t="s">
        <v>92</v>
      </c>
      <c r="I558" t="s">
        <v>88</v>
      </c>
    </row>
    <row r="559" spans="8:10" x14ac:dyDescent="0.25">
      <c r="H559" t="s">
        <v>92</v>
      </c>
      <c r="I559" t="s">
        <v>88</v>
      </c>
    </row>
    <row r="560" spans="8:10" x14ac:dyDescent="0.25">
      <c r="H560" t="s">
        <v>6083</v>
      </c>
      <c r="I560" t="s">
        <v>88</v>
      </c>
    </row>
    <row r="561" spans="8:11" x14ac:dyDescent="0.25">
      <c r="H561" t="s">
        <v>5990</v>
      </c>
      <c r="I561" t="s">
        <v>88</v>
      </c>
    </row>
    <row r="562" spans="8:11" x14ac:dyDescent="0.25">
      <c r="H562" t="s">
        <v>5985</v>
      </c>
      <c r="I562" t="s">
        <v>88</v>
      </c>
    </row>
    <row r="563" spans="8:11" x14ac:dyDescent="0.25">
      <c r="H563" t="s">
        <v>254</v>
      </c>
      <c r="I563" t="s">
        <v>88</v>
      </c>
    </row>
    <row r="564" spans="8:11" x14ac:dyDescent="0.25">
      <c r="H564" t="s">
        <v>5851</v>
      </c>
      <c r="I564" t="s">
        <v>88</v>
      </c>
    </row>
    <row r="565" spans="8:11" x14ac:dyDescent="0.25">
      <c r="H565" t="s">
        <v>92</v>
      </c>
      <c r="I565" t="s">
        <v>88</v>
      </c>
    </row>
    <row r="566" spans="8:11" x14ac:dyDescent="0.25">
      <c r="H566" t="s">
        <v>92</v>
      </c>
      <c r="I566" t="s">
        <v>88</v>
      </c>
    </row>
    <row r="567" spans="8:11" x14ac:dyDescent="0.25">
      <c r="H567" t="s">
        <v>254</v>
      </c>
      <c r="I567" t="s">
        <v>88</v>
      </c>
      <c r="J567" t="s">
        <v>87</v>
      </c>
      <c r="K567" t="s">
        <v>89</v>
      </c>
    </row>
    <row r="568" spans="8:11" x14ac:dyDescent="0.25">
      <c r="H568" t="s">
        <v>92</v>
      </c>
      <c r="I568" t="s">
        <v>88</v>
      </c>
    </row>
    <row r="569" spans="8:11" x14ac:dyDescent="0.25">
      <c r="H569" t="s">
        <v>254</v>
      </c>
      <c r="I569" t="s">
        <v>88</v>
      </c>
      <c r="J569" t="s">
        <v>89</v>
      </c>
    </row>
    <row r="570" spans="8:11" x14ac:dyDescent="0.25">
      <c r="H570" t="s">
        <v>90</v>
      </c>
      <c r="I570" t="s">
        <v>89</v>
      </c>
    </row>
    <row r="571" spans="8:11" x14ac:dyDescent="0.25">
      <c r="H571" t="s">
        <v>5692</v>
      </c>
      <c r="I571" t="s">
        <v>89</v>
      </c>
      <c r="J571" t="s">
        <v>87</v>
      </c>
      <c r="K571" t="s">
        <v>88</v>
      </c>
    </row>
    <row r="572" spans="8:11" x14ac:dyDescent="0.25">
      <c r="H572" t="s">
        <v>6587</v>
      </c>
      <c r="I572" t="s">
        <v>89</v>
      </c>
    </row>
    <row r="573" spans="8:11" x14ac:dyDescent="0.25">
      <c r="H573" t="s">
        <v>253</v>
      </c>
      <c r="I573" t="s">
        <v>89</v>
      </c>
      <c r="J573" t="s">
        <v>87</v>
      </c>
      <c r="K573" t="s">
        <v>88</v>
      </c>
    </row>
    <row r="574" spans="8:11" x14ac:dyDescent="0.25">
      <c r="H574" t="s">
        <v>254</v>
      </c>
      <c r="I574" t="s">
        <v>89</v>
      </c>
      <c r="J574" t="s">
        <v>87</v>
      </c>
      <c r="K574" t="s">
        <v>88</v>
      </c>
    </row>
    <row r="575" spans="8:11" x14ac:dyDescent="0.25">
      <c r="H575" t="s">
        <v>254</v>
      </c>
      <c r="I575" t="s">
        <v>89</v>
      </c>
    </row>
    <row r="576" spans="8:11" x14ac:dyDescent="0.25">
      <c r="H576" t="s">
        <v>93</v>
      </c>
      <c r="I576" t="s">
        <v>89</v>
      </c>
    </row>
    <row r="577" spans="8:11" x14ac:dyDescent="0.25">
      <c r="H577" t="s">
        <v>5641</v>
      </c>
      <c r="I577" t="s">
        <v>89</v>
      </c>
      <c r="J577" t="s">
        <v>87</v>
      </c>
      <c r="K577" t="s">
        <v>88</v>
      </c>
    </row>
    <row r="578" spans="8:11" x14ac:dyDescent="0.25">
      <c r="H578" t="s">
        <v>253</v>
      </c>
      <c r="I578" t="s">
        <v>89</v>
      </c>
      <c r="J578" t="s">
        <v>87</v>
      </c>
      <c r="K578" t="s">
        <v>88</v>
      </c>
    </row>
    <row r="579" spans="8:11" x14ac:dyDescent="0.25">
      <c r="H579" t="s">
        <v>5403</v>
      </c>
      <c r="I579" t="s">
        <v>89</v>
      </c>
      <c r="J579" t="s">
        <v>87</v>
      </c>
      <c r="K579" t="s">
        <v>88</v>
      </c>
    </row>
    <row r="580" spans="8:11" x14ac:dyDescent="0.25">
      <c r="H580" t="s">
        <v>6801</v>
      </c>
      <c r="I580" t="s">
        <v>6</v>
      </c>
      <c r="J580" t="s">
        <v>259</v>
      </c>
    </row>
    <row r="581" spans="8:11" x14ac:dyDescent="0.25">
      <c r="H581" t="s">
        <v>6379</v>
      </c>
      <c r="I581" t="s">
        <v>6</v>
      </c>
      <c r="J581" t="s">
        <v>259</v>
      </c>
    </row>
    <row r="582" spans="8:11" x14ac:dyDescent="0.25">
      <c r="H582" t="s">
        <v>14</v>
      </c>
      <c r="I582" t="s">
        <v>6</v>
      </c>
      <c r="J582" t="s">
        <v>259</v>
      </c>
    </row>
    <row r="583" spans="8:11" x14ac:dyDescent="0.25">
      <c r="H583" t="s">
        <v>14</v>
      </c>
      <c r="I583" t="s">
        <v>6</v>
      </c>
      <c r="J583" t="s">
        <v>259</v>
      </c>
    </row>
    <row r="584" spans="8:11" x14ac:dyDescent="0.25">
      <c r="H584" t="s">
        <v>5870</v>
      </c>
      <c r="I584" t="s">
        <v>6</v>
      </c>
    </row>
    <row r="585" spans="8:11" x14ac:dyDescent="0.25">
      <c r="H585" t="s">
        <v>5624</v>
      </c>
      <c r="I585" t="s">
        <v>6</v>
      </c>
      <c r="J585" t="s">
        <v>259</v>
      </c>
    </row>
    <row r="586" spans="8:11" x14ac:dyDescent="0.25">
      <c r="H586" t="s">
        <v>5593</v>
      </c>
      <c r="I586" t="s">
        <v>6</v>
      </c>
      <c r="J586" t="s">
        <v>259</v>
      </c>
    </row>
    <row r="587" spans="8:11" x14ac:dyDescent="0.25">
      <c r="H587" t="s">
        <v>5343</v>
      </c>
      <c r="I587" t="s">
        <v>6</v>
      </c>
    </row>
    <row r="588" spans="8:11" x14ac:dyDescent="0.25">
      <c r="H588" t="s">
        <v>5733</v>
      </c>
      <c r="I588" t="s">
        <v>259</v>
      </c>
      <c r="J588" t="s">
        <v>6</v>
      </c>
    </row>
    <row r="589" spans="8:11" x14ac:dyDescent="0.25">
      <c r="H589" t="s">
        <v>95</v>
      </c>
      <c r="I589" t="s">
        <v>94</v>
      </c>
    </row>
    <row r="590" spans="8:11" x14ac:dyDescent="0.25">
      <c r="H590" t="s">
        <v>6809</v>
      </c>
      <c r="I590" t="s">
        <v>94</v>
      </c>
    </row>
    <row r="591" spans="8:11" x14ac:dyDescent="0.25">
      <c r="H591" t="s">
        <v>95</v>
      </c>
      <c r="I591" t="s">
        <v>94</v>
      </c>
    </row>
    <row r="592" spans="8:11" x14ac:dyDescent="0.25">
      <c r="H592" t="s">
        <v>95</v>
      </c>
      <c r="I592" t="s">
        <v>94</v>
      </c>
    </row>
    <row r="593" spans="8:9" x14ac:dyDescent="0.25">
      <c r="H593" t="s">
        <v>6757</v>
      </c>
      <c r="I593" t="s">
        <v>94</v>
      </c>
    </row>
    <row r="594" spans="8:9" x14ac:dyDescent="0.25">
      <c r="H594" t="s">
        <v>95</v>
      </c>
      <c r="I594" t="s">
        <v>94</v>
      </c>
    </row>
    <row r="595" spans="8:9" x14ac:dyDescent="0.25">
      <c r="H595" t="s">
        <v>6743</v>
      </c>
      <c r="I595" t="s">
        <v>94</v>
      </c>
    </row>
    <row r="596" spans="8:9" x14ac:dyDescent="0.25">
      <c r="H596" t="s">
        <v>95</v>
      </c>
      <c r="I596" t="s">
        <v>94</v>
      </c>
    </row>
    <row r="597" spans="8:9" x14ac:dyDescent="0.25">
      <c r="H597" t="s">
        <v>95</v>
      </c>
      <c r="I597" t="s">
        <v>94</v>
      </c>
    </row>
    <row r="598" spans="8:9" x14ac:dyDescent="0.25">
      <c r="H598" t="s">
        <v>95</v>
      </c>
      <c r="I598" t="s">
        <v>94</v>
      </c>
    </row>
    <row r="599" spans="8:9" x14ac:dyDescent="0.25">
      <c r="H599" t="s">
        <v>6642</v>
      </c>
      <c r="I599" t="s">
        <v>94</v>
      </c>
    </row>
    <row r="600" spans="8:9" x14ac:dyDescent="0.25">
      <c r="H600" t="s">
        <v>95</v>
      </c>
      <c r="I600" t="s">
        <v>94</v>
      </c>
    </row>
    <row r="601" spans="8:9" x14ac:dyDescent="0.25">
      <c r="H601" t="s">
        <v>95</v>
      </c>
      <c r="I601" t="s">
        <v>94</v>
      </c>
    </row>
    <row r="602" spans="8:9" x14ac:dyDescent="0.25">
      <c r="H602" t="s">
        <v>5765</v>
      </c>
      <c r="I602" t="s">
        <v>94</v>
      </c>
    </row>
    <row r="603" spans="8:9" x14ac:dyDescent="0.25">
      <c r="H603" t="s">
        <v>6500</v>
      </c>
      <c r="I603" t="s">
        <v>94</v>
      </c>
    </row>
    <row r="604" spans="8:9" x14ac:dyDescent="0.25">
      <c r="H604" t="s">
        <v>95</v>
      </c>
      <c r="I604" t="s">
        <v>94</v>
      </c>
    </row>
    <row r="605" spans="8:9" x14ac:dyDescent="0.25">
      <c r="H605" t="s">
        <v>95</v>
      </c>
      <c r="I605" t="s">
        <v>94</v>
      </c>
    </row>
    <row r="606" spans="8:9" x14ac:dyDescent="0.25">
      <c r="H606" t="s">
        <v>95</v>
      </c>
      <c r="I606" t="s">
        <v>94</v>
      </c>
    </row>
    <row r="607" spans="8:9" x14ac:dyDescent="0.25">
      <c r="H607" t="s">
        <v>95</v>
      </c>
      <c r="I607" t="s">
        <v>94</v>
      </c>
    </row>
    <row r="608" spans="8:9" x14ac:dyDescent="0.25">
      <c r="H608" t="s">
        <v>5765</v>
      </c>
      <c r="I608" t="s">
        <v>94</v>
      </c>
    </row>
    <row r="609" spans="8:9" x14ac:dyDescent="0.25">
      <c r="H609" t="s">
        <v>4872</v>
      </c>
      <c r="I609" t="s">
        <v>94</v>
      </c>
    </row>
    <row r="610" spans="8:9" x14ac:dyDescent="0.25">
      <c r="H610" t="s">
        <v>95</v>
      </c>
      <c r="I610" t="s">
        <v>94</v>
      </c>
    </row>
    <row r="611" spans="8:9" x14ac:dyDescent="0.25">
      <c r="H611" t="s">
        <v>95</v>
      </c>
      <c r="I611" t="s">
        <v>94</v>
      </c>
    </row>
    <row r="612" spans="8:9" x14ac:dyDescent="0.25">
      <c r="H612" t="s">
        <v>95</v>
      </c>
      <c r="I612" t="s">
        <v>94</v>
      </c>
    </row>
    <row r="613" spans="8:9" x14ac:dyDescent="0.25">
      <c r="H613" t="s">
        <v>95</v>
      </c>
      <c r="I613" t="s">
        <v>94</v>
      </c>
    </row>
    <row r="614" spans="8:9" x14ac:dyDescent="0.25">
      <c r="H614" t="s">
        <v>95</v>
      </c>
      <c r="I614" t="s">
        <v>94</v>
      </c>
    </row>
    <row r="615" spans="8:9" x14ac:dyDescent="0.25">
      <c r="H615" t="s">
        <v>95</v>
      </c>
      <c r="I615" t="s">
        <v>94</v>
      </c>
    </row>
    <row r="616" spans="8:9" x14ac:dyDescent="0.25">
      <c r="H616" t="s">
        <v>95</v>
      </c>
      <c r="I616" t="s">
        <v>94</v>
      </c>
    </row>
    <row r="617" spans="8:9" x14ac:dyDescent="0.25">
      <c r="H617" t="s">
        <v>95</v>
      </c>
      <c r="I617" t="s">
        <v>94</v>
      </c>
    </row>
    <row r="618" spans="8:9" x14ac:dyDescent="0.25">
      <c r="H618" t="s">
        <v>6199</v>
      </c>
      <c r="I618" t="s">
        <v>94</v>
      </c>
    </row>
    <row r="619" spans="8:9" x14ac:dyDescent="0.25">
      <c r="H619" t="s">
        <v>95</v>
      </c>
      <c r="I619" t="s">
        <v>94</v>
      </c>
    </row>
    <row r="620" spans="8:9" x14ac:dyDescent="0.25">
      <c r="H620" t="s">
        <v>95</v>
      </c>
      <c r="I620" t="s">
        <v>94</v>
      </c>
    </row>
    <row r="621" spans="8:9" x14ac:dyDescent="0.25">
      <c r="H621" t="s">
        <v>95</v>
      </c>
      <c r="I621" t="s">
        <v>94</v>
      </c>
    </row>
    <row r="622" spans="8:9" x14ac:dyDescent="0.25">
      <c r="H622" t="s">
        <v>95</v>
      </c>
      <c r="I622" t="s">
        <v>94</v>
      </c>
    </row>
    <row r="623" spans="8:9" x14ac:dyDescent="0.25">
      <c r="H623" t="s">
        <v>4555</v>
      </c>
      <c r="I623" t="s">
        <v>94</v>
      </c>
    </row>
    <row r="624" spans="8:9" x14ac:dyDescent="0.25">
      <c r="H624" t="s">
        <v>95</v>
      </c>
      <c r="I624" t="s">
        <v>94</v>
      </c>
    </row>
    <row r="625" spans="8:9" x14ac:dyDescent="0.25">
      <c r="H625" t="s">
        <v>95</v>
      </c>
      <c r="I625" t="s">
        <v>94</v>
      </c>
    </row>
    <row r="626" spans="8:9" x14ac:dyDescent="0.25">
      <c r="H626" t="s">
        <v>5765</v>
      </c>
      <c r="I626" t="s">
        <v>94</v>
      </c>
    </row>
    <row r="627" spans="8:9" x14ac:dyDescent="0.25">
      <c r="H627" t="s">
        <v>5765</v>
      </c>
      <c r="I627" t="s">
        <v>94</v>
      </c>
    </row>
    <row r="628" spans="8:9" x14ac:dyDescent="0.25">
      <c r="H628" t="s">
        <v>5765</v>
      </c>
      <c r="I628" t="s">
        <v>94</v>
      </c>
    </row>
    <row r="629" spans="8:9" x14ac:dyDescent="0.25">
      <c r="H629" t="s">
        <v>95</v>
      </c>
      <c r="I629" t="s">
        <v>94</v>
      </c>
    </row>
    <row r="630" spans="8:9" x14ac:dyDescent="0.25">
      <c r="H630" t="s">
        <v>95</v>
      </c>
      <c r="I630" t="s">
        <v>94</v>
      </c>
    </row>
    <row r="631" spans="8:9" x14ac:dyDescent="0.25">
      <c r="H631" t="s">
        <v>95</v>
      </c>
      <c r="I631" t="s">
        <v>94</v>
      </c>
    </row>
    <row r="632" spans="8:9" x14ac:dyDescent="0.25">
      <c r="H632" t="s">
        <v>95</v>
      </c>
      <c r="I632" t="s">
        <v>94</v>
      </c>
    </row>
    <row r="633" spans="8:9" x14ac:dyDescent="0.25">
      <c r="H633" t="s">
        <v>95</v>
      </c>
      <c r="I633" t="s">
        <v>94</v>
      </c>
    </row>
    <row r="634" spans="8:9" x14ac:dyDescent="0.25">
      <c r="H634" t="s">
        <v>95</v>
      </c>
      <c r="I634" t="s">
        <v>94</v>
      </c>
    </row>
    <row r="635" spans="8:9" x14ac:dyDescent="0.25">
      <c r="H635" t="s">
        <v>95</v>
      </c>
      <c r="I635" t="s">
        <v>94</v>
      </c>
    </row>
    <row r="636" spans="8:9" x14ac:dyDescent="0.25">
      <c r="H636" t="s">
        <v>95</v>
      </c>
      <c r="I636" t="s">
        <v>94</v>
      </c>
    </row>
    <row r="637" spans="8:9" x14ac:dyDescent="0.25">
      <c r="H637" t="s">
        <v>95</v>
      </c>
      <c r="I637" t="s">
        <v>94</v>
      </c>
    </row>
    <row r="638" spans="8:9" x14ac:dyDescent="0.25">
      <c r="H638" t="s">
        <v>5576</v>
      </c>
      <c r="I638" t="s">
        <v>94</v>
      </c>
    </row>
    <row r="639" spans="8:9" x14ac:dyDescent="0.25">
      <c r="H639" t="s">
        <v>95</v>
      </c>
      <c r="I639" t="s">
        <v>94</v>
      </c>
    </row>
    <row r="640" spans="8:9" x14ac:dyDescent="0.25">
      <c r="H640" t="s">
        <v>5404</v>
      </c>
      <c r="I640" t="s">
        <v>94</v>
      </c>
    </row>
    <row r="641" spans="8:9" x14ac:dyDescent="0.25">
      <c r="H641" t="s">
        <v>95</v>
      </c>
      <c r="I641" t="s">
        <v>94</v>
      </c>
    </row>
    <row r="642" spans="8:9" x14ac:dyDescent="0.25">
      <c r="H642" t="s">
        <v>5351</v>
      </c>
      <c r="I642" t="s">
        <v>94</v>
      </c>
    </row>
    <row r="643" spans="8:9" x14ac:dyDescent="0.25">
      <c r="H643" t="s">
        <v>95</v>
      </c>
      <c r="I643" t="s">
        <v>94</v>
      </c>
    </row>
    <row r="644" spans="8:9" x14ac:dyDescent="0.25">
      <c r="H644" t="s">
        <v>5260</v>
      </c>
      <c r="I644" t="s">
        <v>94</v>
      </c>
    </row>
    <row r="645" spans="8:9" x14ac:dyDescent="0.25">
      <c r="H645" t="s">
        <v>95</v>
      </c>
      <c r="I645" t="s">
        <v>94</v>
      </c>
    </row>
    <row r="646" spans="8:9" x14ac:dyDescent="0.25">
      <c r="H646" t="s">
        <v>95</v>
      </c>
      <c r="I646" t="s">
        <v>94</v>
      </c>
    </row>
    <row r="647" spans="8:9" x14ac:dyDescent="0.25">
      <c r="H647" t="s">
        <v>95</v>
      </c>
      <c r="I647" t="s">
        <v>94</v>
      </c>
    </row>
    <row r="648" spans="8:9" x14ac:dyDescent="0.25">
      <c r="H648" t="s">
        <v>95</v>
      </c>
      <c r="I648" t="s">
        <v>94</v>
      </c>
    </row>
    <row r="649" spans="8:9" x14ac:dyDescent="0.25">
      <c r="H649" t="s">
        <v>6862</v>
      </c>
      <c r="I649" t="s">
        <v>454</v>
      </c>
    </row>
    <row r="650" spans="8:9" x14ac:dyDescent="0.25">
      <c r="H650" t="s">
        <v>6771</v>
      </c>
      <c r="I650" t="s">
        <v>454</v>
      </c>
    </row>
    <row r="651" spans="8:9" x14ac:dyDescent="0.25">
      <c r="H651" t="s">
        <v>47</v>
      </c>
      <c r="I651" t="s">
        <v>454</v>
      </c>
    </row>
    <row r="652" spans="8:9" x14ac:dyDescent="0.25">
      <c r="H652" t="s">
        <v>47</v>
      </c>
      <c r="I652" t="s">
        <v>454</v>
      </c>
    </row>
    <row r="653" spans="8:9" x14ac:dyDescent="0.25">
      <c r="H653" t="s">
        <v>5631</v>
      </c>
      <c r="I653" t="s">
        <v>454</v>
      </c>
    </row>
    <row r="654" spans="8:9" x14ac:dyDescent="0.25">
      <c r="H654" t="s">
        <v>6679</v>
      </c>
      <c r="I654" t="s">
        <v>454</v>
      </c>
    </row>
    <row r="655" spans="8:9" x14ac:dyDescent="0.25">
      <c r="H655" t="s">
        <v>6637</v>
      </c>
      <c r="I655" t="s">
        <v>454</v>
      </c>
    </row>
    <row r="656" spans="8:9" x14ac:dyDescent="0.25">
      <c r="H656" t="s">
        <v>47</v>
      </c>
      <c r="I656" t="s">
        <v>454</v>
      </c>
    </row>
    <row r="657" spans="8:9" x14ac:dyDescent="0.25">
      <c r="H657" t="s">
        <v>6460</v>
      </c>
      <c r="I657" t="s">
        <v>454</v>
      </c>
    </row>
    <row r="658" spans="8:9" x14ac:dyDescent="0.25">
      <c r="H658" t="s">
        <v>6375</v>
      </c>
      <c r="I658" t="s">
        <v>454</v>
      </c>
    </row>
    <row r="659" spans="8:9" x14ac:dyDescent="0.25">
      <c r="H659" t="s">
        <v>47</v>
      </c>
      <c r="I659" t="s">
        <v>454</v>
      </c>
    </row>
    <row r="660" spans="8:9" x14ac:dyDescent="0.25">
      <c r="H660" t="s">
        <v>6301</v>
      </c>
      <c r="I660" t="s">
        <v>454</v>
      </c>
    </row>
    <row r="661" spans="8:9" x14ac:dyDescent="0.25">
      <c r="H661" t="s">
        <v>6230</v>
      </c>
      <c r="I661" t="s">
        <v>454</v>
      </c>
    </row>
    <row r="662" spans="8:9" x14ac:dyDescent="0.25">
      <c r="H662" t="s">
        <v>47</v>
      </c>
      <c r="I662" t="s">
        <v>454</v>
      </c>
    </row>
    <row r="663" spans="8:9" x14ac:dyDescent="0.25">
      <c r="H663" t="s">
        <v>5543</v>
      </c>
      <c r="I663" t="s">
        <v>454</v>
      </c>
    </row>
    <row r="664" spans="8:9" x14ac:dyDescent="0.25">
      <c r="H664" t="s">
        <v>47</v>
      </c>
      <c r="I664" t="s">
        <v>454</v>
      </c>
    </row>
    <row r="665" spans="8:9" x14ac:dyDescent="0.25">
      <c r="H665" t="s">
        <v>5933</v>
      </c>
      <c r="I665" t="s">
        <v>454</v>
      </c>
    </row>
    <row r="666" spans="8:9" x14ac:dyDescent="0.25">
      <c r="H666" t="s">
        <v>5916</v>
      </c>
      <c r="I666" t="s">
        <v>454</v>
      </c>
    </row>
    <row r="667" spans="8:9" x14ac:dyDescent="0.25">
      <c r="H667" t="s">
        <v>5792</v>
      </c>
      <c r="I667" t="s">
        <v>454</v>
      </c>
    </row>
    <row r="668" spans="8:9" x14ac:dyDescent="0.25">
      <c r="H668" t="s">
        <v>5631</v>
      </c>
      <c r="I668" t="s">
        <v>454</v>
      </c>
    </row>
    <row r="669" spans="8:9" x14ac:dyDescent="0.25">
      <c r="H669" t="s">
        <v>47</v>
      </c>
      <c r="I669" t="s">
        <v>454</v>
      </c>
    </row>
    <row r="670" spans="8:9" x14ac:dyDescent="0.25">
      <c r="H670" t="s">
        <v>47</v>
      </c>
      <c r="I670" t="s">
        <v>454</v>
      </c>
    </row>
    <row r="671" spans="8:9" x14ac:dyDescent="0.25">
      <c r="H671" t="s">
        <v>5543</v>
      </c>
      <c r="I671" t="s">
        <v>454</v>
      </c>
    </row>
    <row r="672" spans="8:9" x14ac:dyDescent="0.25">
      <c r="H672" t="s">
        <v>47</v>
      </c>
      <c r="I672" t="s">
        <v>454</v>
      </c>
    </row>
    <row r="673" spans="8:9" x14ac:dyDescent="0.25">
      <c r="H673" t="s">
        <v>47</v>
      </c>
      <c r="I673" t="s">
        <v>454</v>
      </c>
    </row>
    <row r="674" spans="8:9" x14ac:dyDescent="0.25">
      <c r="H674" t="s">
        <v>47</v>
      </c>
      <c r="I674" t="s">
        <v>454</v>
      </c>
    </row>
    <row r="675" spans="8:9" x14ac:dyDescent="0.25">
      <c r="H675" t="s">
        <v>5282</v>
      </c>
      <c r="I675" t="s">
        <v>454</v>
      </c>
    </row>
    <row r="676" spans="8:9" x14ac:dyDescent="0.25">
      <c r="H676" t="s">
        <v>5241</v>
      </c>
      <c r="I676" t="s">
        <v>454</v>
      </c>
    </row>
    <row r="677" spans="8:9" x14ac:dyDescent="0.25">
      <c r="H677" t="s">
        <v>47</v>
      </c>
      <c r="I677" t="s">
        <v>454</v>
      </c>
    </row>
    <row r="678" spans="8:9" x14ac:dyDescent="0.25">
      <c r="H678" t="s">
        <v>5940</v>
      </c>
      <c r="I678" t="s">
        <v>455</v>
      </c>
    </row>
    <row r="679" spans="8:9" x14ac:dyDescent="0.25">
      <c r="H679" t="s">
        <v>6430</v>
      </c>
      <c r="I679" t="s">
        <v>455</v>
      </c>
    </row>
    <row r="680" spans="8:9" x14ac:dyDescent="0.25">
      <c r="H680" t="s">
        <v>48</v>
      </c>
      <c r="I680" t="s">
        <v>455</v>
      </c>
    </row>
    <row r="681" spans="8:9" x14ac:dyDescent="0.25">
      <c r="H681" t="s">
        <v>6157</v>
      </c>
      <c r="I681" t="s">
        <v>455</v>
      </c>
    </row>
    <row r="682" spans="8:9" x14ac:dyDescent="0.25">
      <c r="H682" t="s">
        <v>6017</v>
      </c>
      <c r="I682" t="s">
        <v>455</v>
      </c>
    </row>
    <row r="683" spans="8:9" x14ac:dyDescent="0.25">
      <c r="H683" t="s">
        <v>5940</v>
      </c>
      <c r="I683" t="s">
        <v>455</v>
      </c>
    </row>
    <row r="684" spans="8:9" x14ac:dyDescent="0.25">
      <c r="H684" t="s">
        <v>5903</v>
      </c>
      <c r="I684" t="s">
        <v>455</v>
      </c>
    </row>
    <row r="685" spans="8:9" x14ac:dyDescent="0.25">
      <c r="H685" t="s">
        <v>5841</v>
      </c>
      <c r="I685" t="s">
        <v>455</v>
      </c>
    </row>
    <row r="686" spans="8:9" x14ac:dyDescent="0.25">
      <c r="H686" t="s">
        <v>5538</v>
      </c>
      <c r="I686" t="s">
        <v>455</v>
      </c>
    </row>
    <row r="687" spans="8:9" x14ac:dyDescent="0.25">
      <c r="H687" t="s">
        <v>48</v>
      </c>
      <c r="I687" t="s">
        <v>455</v>
      </c>
    </row>
    <row r="688" spans="8:9" x14ac:dyDescent="0.25">
      <c r="H688" t="s">
        <v>5345</v>
      </c>
      <c r="I688" t="s">
        <v>455</v>
      </c>
    </row>
    <row r="689" spans="8:9" x14ac:dyDescent="0.25">
      <c r="H689" t="s">
        <v>5295</v>
      </c>
      <c r="I689" t="s">
        <v>455</v>
      </c>
    </row>
    <row r="690" spans="8:9" x14ac:dyDescent="0.25">
      <c r="H690" t="s">
        <v>48</v>
      </c>
      <c r="I690" t="s">
        <v>455</v>
      </c>
    </row>
    <row r="691" spans="8:9" x14ac:dyDescent="0.25">
      <c r="H691" t="s">
        <v>6781</v>
      </c>
      <c r="I691" t="s">
        <v>456</v>
      </c>
    </row>
    <row r="692" spans="8:9" x14ac:dyDescent="0.25">
      <c r="H692" t="s">
        <v>6767</v>
      </c>
      <c r="I692" t="s">
        <v>456</v>
      </c>
    </row>
    <row r="693" spans="8:9" x14ac:dyDescent="0.25">
      <c r="H693" t="s">
        <v>6571</v>
      </c>
      <c r="I693" t="s">
        <v>456</v>
      </c>
    </row>
    <row r="694" spans="8:9" x14ac:dyDescent="0.25">
      <c r="H694" t="s">
        <v>6418</v>
      </c>
      <c r="I694" t="s">
        <v>456</v>
      </c>
    </row>
    <row r="695" spans="8:9" x14ac:dyDescent="0.25">
      <c r="H695" t="s">
        <v>5858</v>
      </c>
      <c r="I695" t="s">
        <v>456</v>
      </c>
    </row>
    <row r="696" spans="8:9" x14ac:dyDescent="0.25">
      <c r="H696" t="s">
        <v>49</v>
      </c>
      <c r="I696" t="s">
        <v>456</v>
      </c>
    </row>
    <row r="697" spans="8:9" x14ac:dyDescent="0.25">
      <c r="H697" t="s">
        <v>5858</v>
      </c>
      <c r="I697" t="s">
        <v>456</v>
      </c>
    </row>
    <row r="698" spans="8:9" x14ac:dyDescent="0.25">
      <c r="H698" t="s">
        <v>5663</v>
      </c>
      <c r="I698" t="s">
        <v>456</v>
      </c>
    </row>
    <row r="699" spans="8:9" x14ac:dyDescent="0.25">
      <c r="H699" t="s">
        <v>5656</v>
      </c>
      <c r="I699" t="s">
        <v>456</v>
      </c>
    </row>
    <row r="700" spans="8:9" x14ac:dyDescent="0.25">
      <c r="H700" t="s">
        <v>5516</v>
      </c>
      <c r="I700" t="s">
        <v>456</v>
      </c>
    </row>
    <row r="701" spans="8:9" x14ac:dyDescent="0.25">
      <c r="H701" t="s">
        <v>5604</v>
      </c>
      <c r="I701" t="s">
        <v>457</v>
      </c>
    </row>
    <row r="702" spans="8:9" x14ac:dyDescent="0.25">
      <c r="H702" t="s">
        <v>6695</v>
      </c>
      <c r="I702" t="s">
        <v>457</v>
      </c>
    </row>
    <row r="703" spans="8:9" x14ac:dyDescent="0.25">
      <c r="H703" t="s">
        <v>6340</v>
      </c>
      <c r="I703" t="s">
        <v>457</v>
      </c>
    </row>
    <row r="704" spans="8:9" x14ac:dyDescent="0.25">
      <c r="H704" t="s">
        <v>6512</v>
      </c>
      <c r="I704" t="s">
        <v>457</v>
      </c>
    </row>
    <row r="705" spans="8:9" x14ac:dyDescent="0.25">
      <c r="H705" t="s">
        <v>5741</v>
      </c>
      <c r="I705" t="s">
        <v>457</v>
      </c>
    </row>
    <row r="706" spans="8:9" x14ac:dyDescent="0.25">
      <c r="H706" t="s">
        <v>6404</v>
      </c>
      <c r="I706" t="s">
        <v>457</v>
      </c>
    </row>
    <row r="707" spans="8:9" x14ac:dyDescent="0.25">
      <c r="H707" t="s">
        <v>6340</v>
      </c>
      <c r="I707" t="s">
        <v>457</v>
      </c>
    </row>
    <row r="708" spans="8:9" x14ac:dyDescent="0.25">
      <c r="H708" t="s">
        <v>4562</v>
      </c>
      <c r="I708" t="s">
        <v>457</v>
      </c>
    </row>
    <row r="709" spans="8:9" x14ac:dyDescent="0.25">
      <c r="H709" t="s">
        <v>5602</v>
      </c>
      <c r="I709" t="s">
        <v>457</v>
      </c>
    </row>
    <row r="710" spans="8:9" x14ac:dyDescent="0.25">
      <c r="H710" t="s">
        <v>6204</v>
      </c>
      <c r="I710" t="s">
        <v>457</v>
      </c>
    </row>
    <row r="711" spans="8:9" x14ac:dyDescent="0.25">
      <c r="H711" t="s">
        <v>5604</v>
      </c>
      <c r="I711" t="s">
        <v>457</v>
      </c>
    </row>
    <row r="712" spans="8:9" x14ac:dyDescent="0.25">
      <c r="H712" t="s">
        <v>5861</v>
      </c>
      <c r="I712" t="s">
        <v>457</v>
      </c>
    </row>
    <row r="713" spans="8:9" x14ac:dyDescent="0.25">
      <c r="H713" t="s">
        <v>4782</v>
      </c>
      <c r="I713" t="s">
        <v>457</v>
      </c>
    </row>
    <row r="714" spans="8:9" x14ac:dyDescent="0.25">
      <c r="H714" t="s">
        <v>5741</v>
      </c>
      <c r="I714" t="s">
        <v>457</v>
      </c>
    </row>
    <row r="715" spans="8:9" x14ac:dyDescent="0.25">
      <c r="H715" t="s">
        <v>5604</v>
      </c>
      <c r="I715" t="s">
        <v>457</v>
      </c>
    </row>
    <row r="716" spans="8:9" x14ac:dyDescent="0.25">
      <c r="H716" t="s">
        <v>5602</v>
      </c>
      <c r="I716" t="s">
        <v>457</v>
      </c>
    </row>
    <row r="717" spans="8:9" x14ac:dyDescent="0.25">
      <c r="H717" t="s">
        <v>50</v>
      </c>
      <c r="I717" t="s">
        <v>457</v>
      </c>
    </row>
    <row r="718" spans="8:9" x14ac:dyDescent="0.25">
      <c r="H718" t="s">
        <v>6808</v>
      </c>
      <c r="I718" t="s">
        <v>458</v>
      </c>
    </row>
    <row r="719" spans="8:9" x14ac:dyDescent="0.25">
      <c r="H719" t="s">
        <v>6624</v>
      </c>
      <c r="I719" t="s">
        <v>458</v>
      </c>
    </row>
    <row r="720" spans="8:9" x14ac:dyDescent="0.25">
      <c r="H720" t="s">
        <v>6457</v>
      </c>
      <c r="I720" t="s">
        <v>458</v>
      </c>
    </row>
    <row r="721" spans="8:9" x14ac:dyDescent="0.25">
      <c r="H721" t="s">
        <v>6001</v>
      </c>
      <c r="I721" t="s">
        <v>458</v>
      </c>
    </row>
    <row r="722" spans="8:9" x14ac:dyDescent="0.25">
      <c r="H722" t="s">
        <v>5793</v>
      </c>
      <c r="I722" t="s">
        <v>458</v>
      </c>
    </row>
    <row r="723" spans="8:9" x14ac:dyDescent="0.25">
      <c r="H723" t="s">
        <v>5786</v>
      </c>
      <c r="I723" t="s">
        <v>458</v>
      </c>
    </row>
    <row r="724" spans="8:9" x14ac:dyDescent="0.25">
      <c r="H724" t="s">
        <v>5573</v>
      </c>
      <c r="I724" t="s">
        <v>458</v>
      </c>
    </row>
    <row r="725" spans="8:9" x14ac:dyDescent="0.25">
      <c r="H725" t="s">
        <v>6705</v>
      </c>
      <c r="I725" t="s">
        <v>400</v>
      </c>
    </row>
    <row r="726" spans="8:9" x14ac:dyDescent="0.25">
      <c r="H726" t="s">
        <v>399</v>
      </c>
      <c r="I726" t="s">
        <v>400</v>
      </c>
    </row>
    <row r="727" spans="8:9" x14ac:dyDescent="0.25">
      <c r="H727" t="s">
        <v>399</v>
      </c>
      <c r="I727" t="s">
        <v>400</v>
      </c>
    </row>
    <row r="728" spans="8:9" x14ac:dyDescent="0.25">
      <c r="H728" t="s">
        <v>399</v>
      </c>
      <c r="I728" t="s">
        <v>400</v>
      </c>
    </row>
    <row r="729" spans="8:9" x14ac:dyDescent="0.25">
      <c r="H729" t="s">
        <v>5750</v>
      </c>
      <c r="I729" t="s">
        <v>400</v>
      </c>
    </row>
    <row r="730" spans="8:9" x14ac:dyDescent="0.25">
      <c r="H730" t="s">
        <v>399</v>
      </c>
      <c r="I730" t="s">
        <v>400</v>
      </c>
    </row>
    <row r="731" spans="8:9" x14ac:dyDescent="0.25">
      <c r="H731" t="s">
        <v>399</v>
      </c>
      <c r="I731" t="s">
        <v>400</v>
      </c>
    </row>
    <row r="732" spans="8:9" x14ac:dyDescent="0.25">
      <c r="H732" t="s">
        <v>401</v>
      </c>
      <c r="I732" t="s">
        <v>402</v>
      </c>
    </row>
    <row r="733" spans="8:9" x14ac:dyDescent="0.25">
      <c r="H733" t="s">
        <v>401</v>
      </c>
      <c r="I733" t="s">
        <v>402</v>
      </c>
    </row>
    <row r="734" spans="8:9" x14ac:dyDescent="0.25">
      <c r="H734" t="s">
        <v>401</v>
      </c>
      <c r="I734" t="s">
        <v>402</v>
      </c>
    </row>
    <row r="735" spans="8:9" x14ac:dyDescent="0.25">
      <c r="H735" t="s">
        <v>401</v>
      </c>
      <c r="I735" t="s">
        <v>402</v>
      </c>
    </row>
    <row r="736" spans="8:9" x14ac:dyDescent="0.25">
      <c r="H736" t="s">
        <v>401</v>
      </c>
      <c r="I736" t="s">
        <v>402</v>
      </c>
    </row>
    <row r="737" spans="8:11" x14ac:dyDescent="0.25">
      <c r="H737" t="s">
        <v>401</v>
      </c>
      <c r="I737" t="s">
        <v>402</v>
      </c>
    </row>
    <row r="738" spans="8:11" x14ac:dyDescent="0.25">
      <c r="H738" t="s">
        <v>401</v>
      </c>
      <c r="I738" t="s">
        <v>402</v>
      </c>
    </row>
    <row r="739" spans="8:11" x14ac:dyDescent="0.25">
      <c r="H739" t="s">
        <v>401</v>
      </c>
      <c r="I739" t="s">
        <v>402</v>
      </c>
    </row>
    <row r="740" spans="8:11" x14ac:dyDescent="0.25">
      <c r="H740" t="s">
        <v>401</v>
      </c>
      <c r="I740" t="s">
        <v>402</v>
      </c>
    </row>
    <row r="741" spans="8:11" x14ac:dyDescent="0.25">
      <c r="H741" t="s">
        <v>401</v>
      </c>
      <c r="I741" t="s">
        <v>402</v>
      </c>
    </row>
    <row r="742" spans="8:11" x14ac:dyDescent="0.25">
      <c r="H742" t="s">
        <v>401</v>
      </c>
      <c r="I742" t="s">
        <v>402</v>
      </c>
    </row>
    <row r="743" spans="8:11" x14ac:dyDescent="0.25">
      <c r="H743" t="s">
        <v>401</v>
      </c>
      <c r="I743" t="s">
        <v>402</v>
      </c>
    </row>
    <row r="744" spans="8:11" x14ac:dyDescent="0.25">
      <c r="H744" t="s">
        <v>401</v>
      </c>
      <c r="I744" t="s">
        <v>402</v>
      </c>
    </row>
    <row r="745" spans="8:11" x14ac:dyDescent="0.25">
      <c r="H745" t="s">
        <v>401</v>
      </c>
      <c r="I745" t="s">
        <v>402</v>
      </c>
    </row>
    <row r="746" spans="8:11" x14ac:dyDescent="0.25">
      <c r="H746" t="s">
        <v>401</v>
      </c>
      <c r="I746" t="s">
        <v>402</v>
      </c>
    </row>
    <row r="747" spans="8:11" x14ac:dyDescent="0.25">
      <c r="H747" t="s">
        <v>401</v>
      </c>
      <c r="I747" t="s">
        <v>402</v>
      </c>
    </row>
    <row r="748" spans="8:11" x14ac:dyDescent="0.25">
      <c r="H748" t="s">
        <v>401</v>
      </c>
      <c r="I748" t="s">
        <v>402</v>
      </c>
    </row>
    <row r="749" spans="8:11" x14ac:dyDescent="0.25">
      <c r="H749" t="s">
        <v>401</v>
      </c>
      <c r="I749" t="s">
        <v>402</v>
      </c>
    </row>
    <row r="750" spans="8:11" x14ac:dyDescent="0.25">
      <c r="H750" t="s">
        <v>392</v>
      </c>
      <c r="I750" t="s">
        <v>58</v>
      </c>
      <c r="J750" t="s">
        <v>59</v>
      </c>
      <c r="K750" t="s">
        <v>60</v>
      </c>
    </row>
    <row r="751" spans="8:11" x14ac:dyDescent="0.25">
      <c r="H751" t="s">
        <v>392</v>
      </c>
      <c r="I751" t="s">
        <v>58</v>
      </c>
      <c r="J751" t="s">
        <v>59</v>
      </c>
      <c r="K751" t="s">
        <v>60</v>
      </c>
    </row>
    <row r="752" spans="8:11" x14ac:dyDescent="0.25">
      <c r="H752" t="s">
        <v>63</v>
      </c>
      <c r="I752" t="s">
        <v>58</v>
      </c>
    </row>
    <row r="753" spans="8:11" x14ac:dyDescent="0.25">
      <c r="H753" t="s">
        <v>392</v>
      </c>
      <c r="I753" t="s">
        <v>58</v>
      </c>
      <c r="J753" t="s">
        <v>59</v>
      </c>
      <c r="K753" t="s">
        <v>60</v>
      </c>
    </row>
    <row r="754" spans="8:11" x14ac:dyDescent="0.25">
      <c r="H754" t="s">
        <v>392</v>
      </c>
      <c r="I754" t="s">
        <v>58</v>
      </c>
      <c r="J754" t="s">
        <v>59</v>
      </c>
      <c r="K754" t="s">
        <v>60</v>
      </c>
    </row>
    <row r="755" spans="8:11" x14ac:dyDescent="0.25">
      <c r="H755" t="s">
        <v>392</v>
      </c>
      <c r="I755" t="s">
        <v>58</v>
      </c>
      <c r="J755" t="s">
        <v>59</v>
      </c>
      <c r="K755" t="s">
        <v>60</v>
      </c>
    </row>
    <row r="756" spans="8:11" x14ac:dyDescent="0.25">
      <c r="H756" t="s">
        <v>392</v>
      </c>
      <c r="I756" t="s">
        <v>58</v>
      </c>
      <c r="J756" t="s">
        <v>59</v>
      </c>
      <c r="K756" t="s">
        <v>60</v>
      </c>
    </row>
    <row r="757" spans="8:11" x14ac:dyDescent="0.25">
      <c r="H757" t="s">
        <v>63</v>
      </c>
      <c r="I757" t="s">
        <v>58</v>
      </c>
    </row>
    <row r="758" spans="8:11" x14ac:dyDescent="0.25">
      <c r="H758" t="s">
        <v>392</v>
      </c>
      <c r="I758" t="s">
        <v>58</v>
      </c>
      <c r="J758" t="s">
        <v>59</v>
      </c>
      <c r="K758" t="s">
        <v>60</v>
      </c>
    </row>
    <row r="759" spans="8:11" x14ac:dyDescent="0.25">
      <c r="H759" t="s">
        <v>63</v>
      </c>
      <c r="I759" t="s">
        <v>58</v>
      </c>
    </row>
    <row r="760" spans="8:11" x14ac:dyDescent="0.25">
      <c r="H760" t="s">
        <v>392</v>
      </c>
      <c r="I760" t="s">
        <v>58</v>
      </c>
      <c r="J760" t="s">
        <v>59</v>
      </c>
      <c r="K760" t="s">
        <v>60</v>
      </c>
    </row>
    <row r="761" spans="8:11" x14ac:dyDescent="0.25">
      <c r="H761" t="s">
        <v>392</v>
      </c>
      <c r="I761" t="s">
        <v>58</v>
      </c>
      <c r="J761" t="s">
        <v>59</v>
      </c>
      <c r="K761" t="s">
        <v>60</v>
      </c>
    </row>
    <row r="762" spans="8:11" x14ac:dyDescent="0.25">
      <c r="H762" t="s">
        <v>392</v>
      </c>
      <c r="I762" t="s">
        <v>58</v>
      </c>
      <c r="J762" t="s">
        <v>59</v>
      </c>
      <c r="K762" t="s">
        <v>60</v>
      </c>
    </row>
    <row r="763" spans="8:11" x14ac:dyDescent="0.25">
      <c r="H763" t="s">
        <v>63</v>
      </c>
      <c r="I763" t="s">
        <v>58</v>
      </c>
    </row>
    <row r="764" spans="8:11" x14ac:dyDescent="0.25">
      <c r="H764" t="s">
        <v>63</v>
      </c>
      <c r="I764" t="s">
        <v>58</v>
      </c>
    </row>
    <row r="765" spans="8:11" x14ac:dyDescent="0.25">
      <c r="H765" t="s">
        <v>392</v>
      </c>
      <c r="I765" t="s">
        <v>58</v>
      </c>
      <c r="J765" t="s">
        <v>59</v>
      </c>
      <c r="K765" t="s">
        <v>60</v>
      </c>
    </row>
    <row r="766" spans="8:11" x14ac:dyDescent="0.25">
      <c r="H766" t="s">
        <v>63</v>
      </c>
      <c r="I766" t="s">
        <v>58</v>
      </c>
    </row>
    <row r="767" spans="8:11" x14ac:dyDescent="0.25">
      <c r="H767" t="s">
        <v>63</v>
      </c>
      <c r="I767" t="s">
        <v>58</v>
      </c>
    </row>
    <row r="768" spans="8:11" x14ac:dyDescent="0.25">
      <c r="H768" t="s">
        <v>392</v>
      </c>
      <c r="I768" t="s">
        <v>58</v>
      </c>
      <c r="J768" t="s">
        <v>59</v>
      </c>
      <c r="K768" t="s">
        <v>60</v>
      </c>
    </row>
    <row r="769" spans="8:11" x14ac:dyDescent="0.25">
      <c r="H769" t="s">
        <v>392</v>
      </c>
      <c r="I769" t="s">
        <v>58</v>
      </c>
      <c r="J769" t="s">
        <v>59</v>
      </c>
      <c r="K769" t="s">
        <v>60</v>
      </c>
    </row>
    <row r="770" spans="8:11" x14ac:dyDescent="0.25">
      <c r="H770" t="s">
        <v>392</v>
      </c>
      <c r="I770" t="s">
        <v>58</v>
      </c>
      <c r="J770" t="s">
        <v>59</v>
      </c>
      <c r="K770" t="s">
        <v>60</v>
      </c>
    </row>
    <row r="771" spans="8:11" x14ac:dyDescent="0.25">
      <c r="H771" t="s">
        <v>63</v>
      </c>
      <c r="I771" t="s">
        <v>58</v>
      </c>
    </row>
    <row r="772" spans="8:11" x14ac:dyDescent="0.25">
      <c r="H772" t="s">
        <v>63</v>
      </c>
      <c r="I772" t="s">
        <v>58</v>
      </c>
    </row>
    <row r="773" spans="8:11" x14ac:dyDescent="0.25">
      <c r="H773" t="s">
        <v>63</v>
      </c>
      <c r="I773" t="s">
        <v>58</v>
      </c>
    </row>
    <row r="774" spans="8:11" x14ac:dyDescent="0.25">
      <c r="H774" t="s">
        <v>392</v>
      </c>
      <c r="I774" t="s">
        <v>58</v>
      </c>
      <c r="J774" t="s">
        <v>59</v>
      </c>
      <c r="K774" t="s">
        <v>60</v>
      </c>
    </row>
    <row r="775" spans="8:11" x14ac:dyDescent="0.25">
      <c r="H775" t="s">
        <v>63</v>
      </c>
      <c r="I775" t="s">
        <v>58</v>
      </c>
    </row>
    <row r="776" spans="8:11" x14ac:dyDescent="0.25">
      <c r="H776" t="s">
        <v>392</v>
      </c>
      <c r="I776" t="s">
        <v>58</v>
      </c>
      <c r="J776" t="s">
        <v>59</v>
      </c>
      <c r="K776" t="s">
        <v>60</v>
      </c>
    </row>
    <row r="777" spans="8:11" x14ac:dyDescent="0.25">
      <c r="H777" t="s">
        <v>392</v>
      </c>
      <c r="I777" t="s">
        <v>58</v>
      </c>
      <c r="J777" t="s">
        <v>59</v>
      </c>
      <c r="K777" t="s">
        <v>60</v>
      </c>
    </row>
    <row r="778" spans="8:11" x14ac:dyDescent="0.25">
      <c r="H778" t="s">
        <v>63</v>
      </c>
      <c r="I778" t="s">
        <v>58</v>
      </c>
    </row>
    <row r="779" spans="8:11" x14ac:dyDescent="0.25">
      <c r="H779" t="s">
        <v>63</v>
      </c>
      <c r="I779" t="s">
        <v>58</v>
      </c>
    </row>
    <row r="780" spans="8:11" x14ac:dyDescent="0.25">
      <c r="H780" t="s">
        <v>392</v>
      </c>
      <c r="I780" t="s">
        <v>58</v>
      </c>
      <c r="J780" t="s">
        <v>59</v>
      </c>
      <c r="K780" t="s">
        <v>60</v>
      </c>
    </row>
    <row r="781" spans="8:11" x14ac:dyDescent="0.25">
      <c r="H781" t="s">
        <v>63</v>
      </c>
      <c r="I781" t="s">
        <v>58</v>
      </c>
    </row>
    <row r="782" spans="8:11" x14ac:dyDescent="0.25">
      <c r="H782" t="s">
        <v>392</v>
      </c>
      <c r="I782" t="s">
        <v>58</v>
      </c>
      <c r="J782" t="s">
        <v>59</v>
      </c>
      <c r="K782" t="s">
        <v>60</v>
      </c>
    </row>
    <row r="783" spans="8:11" x14ac:dyDescent="0.25">
      <c r="H783" t="s">
        <v>392</v>
      </c>
      <c r="I783" t="s">
        <v>58</v>
      </c>
      <c r="J783" t="s">
        <v>59</v>
      </c>
      <c r="K783" t="s">
        <v>60</v>
      </c>
    </row>
    <row r="784" spans="8:11" x14ac:dyDescent="0.25">
      <c r="H784" t="s">
        <v>63</v>
      </c>
      <c r="I784" t="s">
        <v>58</v>
      </c>
    </row>
    <row r="785" spans="8:11" x14ac:dyDescent="0.25">
      <c r="H785" t="s">
        <v>392</v>
      </c>
      <c r="I785" t="s">
        <v>58</v>
      </c>
      <c r="J785" t="s">
        <v>59</v>
      </c>
      <c r="K785" t="s">
        <v>60</v>
      </c>
    </row>
    <row r="786" spans="8:11" x14ac:dyDescent="0.25">
      <c r="H786" t="s">
        <v>392</v>
      </c>
      <c r="I786" t="s">
        <v>58</v>
      </c>
      <c r="J786" t="s">
        <v>59</v>
      </c>
      <c r="K786" t="s">
        <v>60</v>
      </c>
    </row>
    <row r="787" spans="8:11" x14ac:dyDescent="0.25">
      <c r="H787" t="s">
        <v>63</v>
      </c>
      <c r="I787" t="s">
        <v>58</v>
      </c>
    </row>
    <row r="788" spans="8:11" x14ac:dyDescent="0.25">
      <c r="H788" t="s">
        <v>404</v>
      </c>
      <c r="I788" t="s">
        <v>405</v>
      </c>
    </row>
    <row r="789" spans="8:11" x14ac:dyDescent="0.25">
      <c r="H789" t="s">
        <v>404</v>
      </c>
      <c r="I789" t="s">
        <v>405</v>
      </c>
    </row>
    <row r="790" spans="8:11" x14ac:dyDescent="0.25">
      <c r="H790" t="s">
        <v>404</v>
      </c>
      <c r="I790" t="s">
        <v>405</v>
      </c>
    </row>
    <row r="791" spans="8:11" x14ac:dyDescent="0.25">
      <c r="H791" t="s">
        <v>404</v>
      </c>
      <c r="I791" t="s">
        <v>405</v>
      </c>
    </row>
    <row r="792" spans="8:11" x14ac:dyDescent="0.25">
      <c r="H792" t="s">
        <v>404</v>
      </c>
      <c r="I792" t="s">
        <v>405</v>
      </c>
    </row>
    <row r="793" spans="8:11" x14ac:dyDescent="0.25">
      <c r="H793" t="s">
        <v>404</v>
      </c>
      <c r="I793" t="s">
        <v>405</v>
      </c>
    </row>
    <row r="794" spans="8:11" x14ac:dyDescent="0.25">
      <c r="H794" t="s">
        <v>404</v>
      </c>
      <c r="I794" t="s">
        <v>405</v>
      </c>
    </row>
    <row r="795" spans="8:11" x14ac:dyDescent="0.25">
      <c r="H795" t="s">
        <v>404</v>
      </c>
      <c r="I795" t="s">
        <v>405</v>
      </c>
    </row>
    <row r="796" spans="8:11" x14ac:dyDescent="0.25">
      <c r="H796" t="s">
        <v>404</v>
      </c>
      <c r="I796" t="s">
        <v>405</v>
      </c>
    </row>
    <row r="797" spans="8:11" x14ac:dyDescent="0.25">
      <c r="H797" t="s">
        <v>404</v>
      </c>
      <c r="I797" t="s">
        <v>405</v>
      </c>
    </row>
    <row r="798" spans="8:11" x14ac:dyDescent="0.25">
      <c r="H798" t="s">
        <v>404</v>
      </c>
      <c r="I798" t="s">
        <v>405</v>
      </c>
    </row>
    <row r="799" spans="8:11" x14ac:dyDescent="0.25">
      <c r="H799" t="s">
        <v>404</v>
      </c>
      <c r="I799" t="s">
        <v>405</v>
      </c>
    </row>
    <row r="800" spans="8:11" x14ac:dyDescent="0.25">
      <c r="H800" t="s">
        <v>404</v>
      </c>
      <c r="I800" t="s">
        <v>405</v>
      </c>
    </row>
    <row r="801" spans="8:9" x14ac:dyDescent="0.25">
      <c r="H801" t="s">
        <v>404</v>
      </c>
      <c r="I801" t="s">
        <v>405</v>
      </c>
    </row>
    <row r="802" spans="8:9" x14ac:dyDescent="0.25">
      <c r="H802" t="s">
        <v>404</v>
      </c>
      <c r="I802" t="s">
        <v>405</v>
      </c>
    </row>
    <row r="803" spans="8:9" x14ac:dyDescent="0.25">
      <c r="H803" t="s">
        <v>404</v>
      </c>
      <c r="I803" t="s">
        <v>405</v>
      </c>
    </row>
    <row r="804" spans="8:9" x14ac:dyDescent="0.25">
      <c r="H804" t="s">
        <v>46</v>
      </c>
      <c r="I804" t="s">
        <v>24</v>
      </c>
    </row>
    <row r="805" spans="8:9" x14ac:dyDescent="0.25">
      <c r="H805" t="s">
        <v>46</v>
      </c>
      <c r="I805" t="s">
        <v>24</v>
      </c>
    </row>
    <row r="806" spans="8:9" x14ac:dyDescent="0.25">
      <c r="H806" t="s">
        <v>46</v>
      </c>
      <c r="I806" t="s">
        <v>24</v>
      </c>
    </row>
    <row r="807" spans="8:9" x14ac:dyDescent="0.25">
      <c r="H807" t="s">
        <v>46</v>
      </c>
      <c r="I807" t="s">
        <v>24</v>
      </c>
    </row>
    <row r="808" spans="8:9" x14ac:dyDescent="0.25">
      <c r="H808" t="s">
        <v>46</v>
      </c>
      <c r="I808" t="s">
        <v>24</v>
      </c>
    </row>
    <row r="809" spans="8:9" x14ac:dyDescent="0.25">
      <c r="H809" t="s">
        <v>46</v>
      </c>
      <c r="I809" t="s">
        <v>24</v>
      </c>
    </row>
    <row r="810" spans="8:9" x14ac:dyDescent="0.25">
      <c r="H810" t="s">
        <v>46</v>
      </c>
      <c r="I810" t="s">
        <v>24</v>
      </c>
    </row>
    <row r="811" spans="8:9" x14ac:dyDescent="0.25">
      <c r="H811" t="s">
        <v>46</v>
      </c>
      <c r="I811" t="s">
        <v>24</v>
      </c>
    </row>
    <row r="812" spans="8:9" x14ac:dyDescent="0.25">
      <c r="H812" t="s">
        <v>46</v>
      </c>
      <c r="I812" t="s">
        <v>24</v>
      </c>
    </row>
    <row r="813" spans="8:9" x14ac:dyDescent="0.25">
      <c r="H813" t="s">
        <v>46</v>
      </c>
      <c r="I813" t="s">
        <v>24</v>
      </c>
    </row>
    <row r="814" spans="8:9" x14ac:dyDescent="0.25">
      <c r="H814" t="s">
        <v>46</v>
      </c>
      <c r="I814" t="s">
        <v>24</v>
      </c>
    </row>
    <row r="815" spans="8:9" x14ac:dyDescent="0.25">
      <c r="H815" t="s">
        <v>46</v>
      </c>
      <c r="I815" t="s">
        <v>24</v>
      </c>
    </row>
    <row r="816" spans="8:9" x14ac:dyDescent="0.25">
      <c r="H816" t="s">
        <v>46</v>
      </c>
      <c r="I816" t="s">
        <v>24</v>
      </c>
    </row>
    <row r="817" spans="8:9" x14ac:dyDescent="0.25">
      <c r="H817" t="s">
        <v>46</v>
      </c>
      <c r="I817" t="s">
        <v>24</v>
      </c>
    </row>
    <row r="818" spans="8:9" x14ac:dyDescent="0.25">
      <c r="H818" t="s">
        <v>46</v>
      </c>
      <c r="I818" t="s">
        <v>24</v>
      </c>
    </row>
    <row r="819" spans="8:9" x14ac:dyDescent="0.25">
      <c r="H819" t="s">
        <v>46</v>
      </c>
      <c r="I819" t="s">
        <v>24</v>
      </c>
    </row>
    <row r="820" spans="8:9" x14ac:dyDescent="0.25">
      <c r="H820" t="s">
        <v>46</v>
      </c>
      <c r="I820" t="s">
        <v>24</v>
      </c>
    </row>
    <row r="821" spans="8:9" x14ac:dyDescent="0.25">
      <c r="H821" t="s">
        <v>46</v>
      </c>
      <c r="I821" t="s">
        <v>24</v>
      </c>
    </row>
    <row r="822" spans="8:9" x14ac:dyDescent="0.25">
      <c r="H822" t="s">
        <v>46</v>
      </c>
      <c r="I822" t="s">
        <v>24</v>
      </c>
    </row>
    <row r="823" spans="8:9" x14ac:dyDescent="0.25">
      <c r="H823" t="s">
        <v>46</v>
      </c>
      <c r="I823" t="s">
        <v>24</v>
      </c>
    </row>
    <row r="824" spans="8:9" x14ac:dyDescent="0.25">
      <c r="H824" t="s">
        <v>46</v>
      </c>
      <c r="I824" t="s">
        <v>24</v>
      </c>
    </row>
    <row r="825" spans="8:9" x14ac:dyDescent="0.25">
      <c r="H825" t="s">
        <v>6868</v>
      </c>
      <c r="I825" t="s">
        <v>33</v>
      </c>
    </row>
    <row r="826" spans="8:9" x14ac:dyDescent="0.25">
      <c r="H826" t="s">
        <v>39</v>
      </c>
      <c r="I826" t="s">
        <v>33</v>
      </c>
    </row>
    <row r="827" spans="8:9" x14ac:dyDescent="0.25">
      <c r="H827" t="s">
        <v>39</v>
      </c>
      <c r="I827" t="s">
        <v>33</v>
      </c>
    </row>
    <row r="828" spans="8:9" x14ac:dyDescent="0.25">
      <c r="H828" t="s">
        <v>39</v>
      </c>
      <c r="I828" t="s">
        <v>33</v>
      </c>
    </row>
    <row r="829" spans="8:9" x14ac:dyDescent="0.25">
      <c r="H829" t="s">
        <v>39</v>
      </c>
      <c r="I829" t="s">
        <v>33</v>
      </c>
    </row>
    <row r="830" spans="8:9" x14ac:dyDescent="0.25">
      <c r="H830" t="s">
        <v>39</v>
      </c>
      <c r="I830" t="s">
        <v>33</v>
      </c>
    </row>
    <row r="831" spans="8:9" x14ac:dyDescent="0.25">
      <c r="H831" t="s">
        <v>39</v>
      </c>
      <c r="I831" t="s">
        <v>33</v>
      </c>
    </row>
    <row r="832" spans="8:9" x14ac:dyDescent="0.25">
      <c r="H832" t="s">
        <v>39</v>
      </c>
      <c r="I832" t="s">
        <v>33</v>
      </c>
    </row>
    <row r="833" spans="8:9" x14ac:dyDescent="0.25">
      <c r="H833" t="s">
        <v>5623</v>
      </c>
      <c r="I833" t="s">
        <v>33</v>
      </c>
    </row>
    <row r="834" spans="8:9" x14ac:dyDescent="0.25">
      <c r="H834" t="s">
        <v>39</v>
      </c>
      <c r="I834" t="s">
        <v>33</v>
      </c>
    </row>
    <row r="835" spans="8:9" x14ac:dyDescent="0.25">
      <c r="H835" t="s">
        <v>5623</v>
      </c>
      <c r="I835" t="s">
        <v>33</v>
      </c>
    </row>
    <row r="836" spans="8:9" x14ac:dyDescent="0.25">
      <c r="H836" t="s">
        <v>6699</v>
      </c>
      <c r="I836" t="s">
        <v>33</v>
      </c>
    </row>
    <row r="837" spans="8:9" x14ac:dyDescent="0.25">
      <c r="H837" t="s">
        <v>6689</v>
      </c>
      <c r="I837" t="s">
        <v>33</v>
      </c>
    </row>
    <row r="838" spans="8:9" x14ac:dyDescent="0.25">
      <c r="H838" t="s">
        <v>6675</v>
      </c>
      <c r="I838" t="s">
        <v>33</v>
      </c>
    </row>
    <row r="839" spans="8:9" x14ac:dyDescent="0.25">
      <c r="H839" t="s">
        <v>5809</v>
      </c>
      <c r="I839" t="s">
        <v>33</v>
      </c>
    </row>
    <row r="840" spans="8:9" x14ac:dyDescent="0.25">
      <c r="H840" t="s">
        <v>6633</v>
      </c>
      <c r="I840" t="s">
        <v>33</v>
      </c>
    </row>
    <row r="841" spans="8:9" x14ac:dyDescent="0.25">
      <c r="H841" t="s">
        <v>39</v>
      </c>
      <c r="I841" t="s">
        <v>33</v>
      </c>
    </row>
    <row r="842" spans="8:9" x14ac:dyDescent="0.25">
      <c r="H842" t="s">
        <v>39</v>
      </c>
      <c r="I842" t="s">
        <v>33</v>
      </c>
    </row>
    <row r="843" spans="8:9" x14ac:dyDescent="0.25">
      <c r="H843" t="s">
        <v>39</v>
      </c>
      <c r="I843" t="s">
        <v>33</v>
      </c>
    </row>
    <row r="844" spans="8:9" x14ac:dyDescent="0.25">
      <c r="H844" t="s">
        <v>6547</v>
      </c>
      <c r="I844" t="s">
        <v>33</v>
      </c>
    </row>
    <row r="845" spans="8:9" x14ac:dyDescent="0.25">
      <c r="H845" t="s">
        <v>6495</v>
      </c>
      <c r="I845" t="s">
        <v>33</v>
      </c>
    </row>
    <row r="846" spans="8:9" x14ac:dyDescent="0.25">
      <c r="H846" t="s">
        <v>39</v>
      </c>
      <c r="I846" t="s">
        <v>33</v>
      </c>
    </row>
    <row r="847" spans="8:9" x14ac:dyDescent="0.25">
      <c r="H847" t="s">
        <v>39</v>
      </c>
      <c r="I847" t="s">
        <v>33</v>
      </c>
    </row>
    <row r="848" spans="8:9" x14ac:dyDescent="0.25">
      <c r="H848" t="s">
        <v>6419</v>
      </c>
      <c r="I848" t="s">
        <v>33</v>
      </c>
    </row>
    <row r="849" spans="8:9" x14ac:dyDescent="0.25">
      <c r="H849" t="s">
        <v>5885</v>
      </c>
      <c r="I849" t="s">
        <v>33</v>
      </c>
    </row>
    <row r="850" spans="8:9" x14ac:dyDescent="0.25">
      <c r="H850" t="s">
        <v>6139</v>
      </c>
      <c r="I850" t="s">
        <v>33</v>
      </c>
    </row>
    <row r="851" spans="8:9" x14ac:dyDescent="0.25">
      <c r="H851" t="s">
        <v>39</v>
      </c>
      <c r="I851" t="s">
        <v>33</v>
      </c>
    </row>
    <row r="852" spans="8:9" x14ac:dyDescent="0.25">
      <c r="H852" t="s">
        <v>39</v>
      </c>
      <c r="I852" t="s">
        <v>33</v>
      </c>
    </row>
    <row r="853" spans="8:9" x14ac:dyDescent="0.25">
      <c r="H853" t="s">
        <v>39</v>
      </c>
      <c r="I853" t="s">
        <v>33</v>
      </c>
    </row>
    <row r="854" spans="8:9" x14ac:dyDescent="0.25">
      <c r="H854" t="s">
        <v>39</v>
      </c>
      <c r="I854" t="s">
        <v>33</v>
      </c>
    </row>
    <row r="855" spans="8:9" x14ac:dyDescent="0.25">
      <c r="H855" t="s">
        <v>39</v>
      </c>
      <c r="I855" t="s">
        <v>33</v>
      </c>
    </row>
    <row r="856" spans="8:9" x14ac:dyDescent="0.25">
      <c r="H856" t="s">
        <v>39</v>
      </c>
      <c r="I856" t="s">
        <v>33</v>
      </c>
    </row>
    <row r="857" spans="8:9" x14ac:dyDescent="0.25">
      <c r="H857" t="s">
        <v>39</v>
      </c>
      <c r="I857" t="s">
        <v>33</v>
      </c>
    </row>
    <row r="858" spans="8:9" x14ac:dyDescent="0.25">
      <c r="H858" t="s">
        <v>6283</v>
      </c>
      <c r="I858" t="s">
        <v>33</v>
      </c>
    </row>
    <row r="859" spans="8:9" x14ac:dyDescent="0.25">
      <c r="H859" t="s">
        <v>6281</v>
      </c>
      <c r="I859" t="s">
        <v>33</v>
      </c>
    </row>
    <row r="860" spans="8:9" x14ac:dyDescent="0.25">
      <c r="H860" t="s">
        <v>5706</v>
      </c>
      <c r="I860" t="s">
        <v>33</v>
      </c>
    </row>
    <row r="861" spans="8:9" x14ac:dyDescent="0.25">
      <c r="H861" t="s">
        <v>39</v>
      </c>
      <c r="I861" t="s">
        <v>33</v>
      </c>
    </row>
    <row r="862" spans="8:9" x14ac:dyDescent="0.25">
      <c r="H862" t="s">
        <v>39</v>
      </c>
      <c r="I862" t="s">
        <v>33</v>
      </c>
    </row>
    <row r="863" spans="8:9" x14ac:dyDescent="0.25">
      <c r="H863" t="s">
        <v>6139</v>
      </c>
      <c r="I863" t="s">
        <v>33</v>
      </c>
    </row>
    <row r="864" spans="8:9" x14ac:dyDescent="0.25">
      <c r="H864" t="s">
        <v>5509</v>
      </c>
      <c r="I864" t="s">
        <v>33</v>
      </c>
    </row>
    <row r="865" spans="8:9" x14ac:dyDescent="0.25">
      <c r="H865" t="s">
        <v>39</v>
      </c>
      <c r="I865" t="s">
        <v>33</v>
      </c>
    </row>
    <row r="866" spans="8:9" x14ac:dyDescent="0.25">
      <c r="H866" t="s">
        <v>6116</v>
      </c>
      <c r="I866" t="s">
        <v>33</v>
      </c>
    </row>
    <row r="867" spans="8:9" x14ac:dyDescent="0.25">
      <c r="H867" t="s">
        <v>39</v>
      </c>
      <c r="I867" t="s">
        <v>33</v>
      </c>
    </row>
    <row r="868" spans="8:9" x14ac:dyDescent="0.25">
      <c r="H868" t="s">
        <v>39</v>
      </c>
      <c r="I868" t="s">
        <v>33</v>
      </c>
    </row>
    <row r="869" spans="8:9" x14ac:dyDescent="0.25">
      <c r="H869" t="s">
        <v>39</v>
      </c>
      <c r="I869" t="s">
        <v>33</v>
      </c>
    </row>
    <row r="870" spans="8:9" x14ac:dyDescent="0.25">
      <c r="H870" t="s">
        <v>39</v>
      </c>
      <c r="I870" t="s">
        <v>33</v>
      </c>
    </row>
    <row r="871" spans="8:9" x14ac:dyDescent="0.25">
      <c r="H871" t="s">
        <v>39</v>
      </c>
      <c r="I871" t="s">
        <v>33</v>
      </c>
    </row>
    <row r="872" spans="8:9" x14ac:dyDescent="0.25">
      <c r="H872" t="s">
        <v>39</v>
      </c>
      <c r="I872" t="s">
        <v>33</v>
      </c>
    </row>
    <row r="873" spans="8:9" x14ac:dyDescent="0.25">
      <c r="H873" t="s">
        <v>39</v>
      </c>
      <c r="I873" t="s">
        <v>33</v>
      </c>
    </row>
    <row r="874" spans="8:9" x14ac:dyDescent="0.25">
      <c r="H874" t="s">
        <v>39</v>
      </c>
      <c r="I874" t="s">
        <v>33</v>
      </c>
    </row>
    <row r="875" spans="8:9" x14ac:dyDescent="0.25">
      <c r="H875" t="s">
        <v>39</v>
      </c>
      <c r="I875" t="s">
        <v>33</v>
      </c>
    </row>
    <row r="876" spans="8:9" x14ac:dyDescent="0.25">
      <c r="H876" t="s">
        <v>5885</v>
      </c>
      <c r="I876" t="s">
        <v>33</v>
      </c>
    </row>
    <row r="877" spans="8:9" x14ac:dyDescent="0.25">
      <c r="H877" t="s">
        <v>39</v>
      </c>
      <c r="I877" t="s">
        <v>33</v>
      </c>
    </row>
    <row r="878" spans="8:9" x14ac:dyDescent="0.25">
      <c r="H878" t="s">
        <v>5812</v>
      </c>
      <c r="I878" t="s">
        <v>33</v>
      </c>
    </row>
    <row r="879" spans="8:9" x14ac:dyDescent="0.25">
      <c r="H879" t="s">
        <v>5809</v>
      </c>
      <c r="I879" t="s">
        <v>33</v>
      </c>
    </row>
    <row r="880" spans="8:9" x14ac:dyDescent="0.25">
      <c r="H880" t="s">
        <v>5775</v>
      </c>
      <c r="I880" t="s">
        <v>33</v>
      </c>
    </row>
    <row r="881" spans="8:9" x14ac:dyDescent="0.25">
      <c r="H881" t="s">
        <v>5509</v>
      </c>
      <c r="I881" t="s">
        <v>33</v>
      </c>
    </row>
    <row r="882" spans="8:9" x14ac:dyDescent="0.25">
      <c r="H882" t="s">
        <v>39</v>
      </c>
      <c r="I882" t="s">
        <v>33</v>
      </c>
    </row>
    <row r="883" spans="8:9" x14ac:dyDescent="0.25">
      <c r="H883" t="s">
        <v>5764</v>
      </c>
      <c r="I883" t="s">
        <v>33</v>
      </c>
    </row>
    <row r="884" spans="8:9" x14ac:dyDescent="0.25">
      <c r="H884" t="s">
        <v>5757</v>
      </c>
      <c r="I884" t="s">
        <v>33</v>
      </c>
    </row>
    <row r="885" spans="8:9" x14ac:dyDescent="0.25">
      <c r="H885" t="s">
        <v>39</v>
      </c>
      <c r="I885" t="s">
        <v>33</v>
      </c>
    </row>
    <row r="886" spans="8:9" x14ac:dyDescent="0.25">
      <c r="H886" t="s">
        <v>5706</v>
      </c>
      <c r="I886" t="s">
        <v>33</v>
      </c>
    </row>
    <row r="887" spans="8:9" x14ac:dyDescent="0.25">
      <c r="H887" t="s">
        <v>5674</v>
      </c>
      <c r="I887" t="s">
        <v>33</v>
      </c>
    </row>
    <row r="888" spans="8:9" x14ac:dyDescent="0.25">
      <c r="H888" t="s">
        <v>39</v>
      </c>
      <c r="I888" t="s">
        <v>33</v>
      </c>
    </row>
    <row r="889" spans="8:9" x14ac:dyDescent="0.25">
      <c r="H889" t="s">
        <v>39</v>
      </c>
      <c r="I889" t="s">
        <v>33</v>
      </c>
    </row>
    <row r="890" spans="8:9" x14ac:dyDescent="0.25">
      <c r="H890" t="s">
        <v>39</v>
      </c>
      <c r="I890" t="s">
        <v>33</v>
      </c>
    </row>
    <row r="891" spans="8:9" x14ac:dyDescent="0.25">
      <c r="H891" t="s">
        <v>5623</v>
      </c>
      <c r="I891" t="s">
        <v>33</v>
      </c>
    </row>
    <row r="892" spans="8:9" x14ac:dyDescent="0.25">
      <c r="H892" t="s">
        <v>39</v>
      </c>
      <c r="I892" t="s">
        <v>33</v>
      </c>
    </row>
    <row r="893" spans="8:9" x14ac:dyDescent="0.25">
      <c r="H893" t="s">
        <v>5524</v>
      </c>
      <c r="I893" t="s">
        <v>33</v>
      </c>
    </row>
    <row r="894" spans="8:9" x14ac:dyDescent="0.25">
      <c r="H894" t="s">
        <v>5509</v>
      </c>
      <c r="I894" t="s">
        <v>33</v>
      </c>
    </row>
    <row r="895" spans="8:9" x14ac:dyDescent="0.25">
      <c r="H895" t="s">
        <v>39</v>
      </c>
      <c r="I895" t="s">
        <v>33</v>
      </c>
    </row>
    <row r="896" spans="8:9" x14ac:dyDescent="0.25">
      <c r="H896" t="s">
        <v>39</v>
      </c>
      <c r="I896" t="s">
        <v>33</v>
      </c>
    </row>
    <row r="897" spans="8:9" x14ac:dyDescent="0.25">
      <c r="H897" t="s">
        <v>39</v>
      </c>
      <c r="I897" t="s">
        <v>33</v>
      </c>
    </row>
    <row r="898" spans="8:9" x14ac:dyDescent="0.25">
      <c r="H898" t="s">
        <v>39</v>
      </c>
      <c r="I898" t="s">
        <v>33</v>
      </c>
    </row>
    <row r="899" spans="8:9" x14ac:dyDescent="0.25">
      <c r="H899" t="s">
        <v>5272</v>
      </c>
      <c r="I899" t="s">
        <v>33</v>
      </c>
    </row>
    <row r="900" spans="8:9" x14ac:dyDescent="0.25">
      <c r="H900" t="s">
        <v>5268</v>
      </c>
      <c r="I900" t="s">
        <v>33</v>
      </c>
    </row>
    <row r="901" spans="8:9" x14ac:dyDescent="0.25">
      <c r="H901" t="s">
        <v>39</v>
      </c>
      <c r="I901" t="s">
        <v>33</v>
      </c>
    </row>
    <row r="902" spans="8:9" x14ac:dyDescent="0.25">
      <c r="H902" t="s">
        <v>5245</v>
      </c>
      <c r="I902" t="s">
        <v>33</v>
      </c>
    </row>
    <row r="903" spans="8:9" x14ac:dyDescent="0.25">
      <c r="H903" t="s">
        <v>6298</v>
      </c>
      <c r="I903" t="s">
        <v>260</v>
      </c>
    </row>
    <row r="904" spans="8:9" x14ac:dyDescent="0.25">
      <c r="H904" t="s">
        <v>6739</v>
      </c>
      <c r="I904" t="s">
        <v>260</v>
      </c>
    </row>
    <row r="905" spans="8:9" x14ac:dyDescent="0.25">
      <c r="H905" t="s">
        <v>256</v>
      </c>
      <c r="I905" t="s">
        <v>260</v>
      </c>
    </row>
    <row r="906" spans="8:9" x14ac:dyDescent="0.25">
      <c r="H906" t="s">
        <v>256</v>
      </c>
      <c r="I906" t="s">
        <v>260</v>
      </c>
    </row>
    <row r="907" spans="8:9" x14ac:dyDescent="0.25">
      <c r="H907" t="s">
        <v>6729</v>
      </c>
      <c r="I907" t="s">
        <v>260</v>
      </c>
    </row>
    <row r="908" spans="8:9" x14ac:dyDescent="0.25">
      <c r="H908" t="s">
        <v>256</v>
      </c>
      <c r="I908" t="s">
        <v>260</v>
      </c>
    </row>
    <row r="909" spans="8:9" x14ac:dyDescent="0.25">
      <c r="H909" t="s">
        <v>6598</v>
      </c>
      <c r="I909" t="s">
        <v>260</v>
      </c>
    </row>
    <row r="910" spans="8:9" x14ac:dyDescent="0.25">
      <c r="H910" t="s">
        <v>6525</v>
      </c>
      <c r="I910" t="s">
        <v>260</v>
      </c>
    </row>
    <row r="911" spans="8:9" x14ac:dyDescent="0.25">
      <c r="H911" t="s">
        <v>256</v>
      </c>
      <c r="I911" t="s">
        <v>260</v>
      </c>
    </row>
    <row r="912" spans="8:9" x14ac:dyDescent="0.25">
      <c r="H912" t="s">
        <v>5475</v>
      </c>
      <c r="I912" t="s">
        <v>260</v>
      </c>
    </row>
    <row r="913" spans="8:9" x14ac:dyDescent="0.25">
      <c r="H913" t="s">
        <v>6298</v>
      </c>
      <c r="I913" t="s">
        <v>260</v>
      </c>
    </row>
    <row r="914" spans="8:9" x14ac:dyDescent="0.25">
      <c r="H914" t="s">
        <v>256</v>
      </c>
      <c r="I914" t="s">
        <v>260</v>
      </c>
    </row>
    <row r="915" spans="8:9" x14ac:dyDescent="0.25">
      <c r="H915" t="s">
        <v>6243</v>
      </c>
      <c r="I915" t="s">
        <v>260</v>
      </c>
    </row>
    <row r="916" spans="8:9" x14ac:dyDescent="0.25">
      <c r="H916" t="s">
        <v>6147</v>
      </c>
      <c r="I916" t="s">
        <v>260</v>
      </c>
    </row>
    <row r="917" spans="8:9" x14ac:dyDescent="0.25">
      <c r="H917" t="s">
        <v>6114</v>
      </c>
      <c r="I917" t="s">
        <v>260</v>
      </c>
    </row>
    <row r="918" spans="8:9" x14ac:dyDescent="0.25">
      <c r="H918" t="s">
        <v>256</v>
      </c>
      <c r="I918" t="s">
        <v>260</v>
      </c>
    </row>
    <row r="919" spans="8:9" x14ac:dyDescent="0.25">
      <c r="H919" t="s">
        <v>6056</v>
      </c>
      <c r="I919" t="s">
        <v>260</v>
      </c>
    </row>
    <row r="920" spans="8:9" x14ac:dyDescent="0.25">
      <c r="H920" t="s">
        <v>256</v>
      </c>
      <c r="I920" t="s">
        <v>260</v>
      </c>
    </row>
    <row r="921" spans="8:9" x14ac:dyDescent="0.25">
      <c r="H921" t="s">
        <v>256</v>
      </c>
      <c r="I921" t="s">
        <v>260</v>
      </c>
    </row>
    <row r="922" spans="8:9" x14ac:dyDescent="0.25">
      <c r="H922" t="s">
        <v>256</v>
      </c>
      <c r="I922" t="s">
        <v>260</v>
      </c>
    </row>
    <row r="923" spans="8:9" x14ac:dyDescent="0.25">
      <c r="H923" t="s">
        <v>5568</v>
      </c>
      <c r="I923" t="s">
        <v>260</v>
      </c>
    </row>
    <row r="924" spans="8:9" x14ac:dyDescent="0.25">
      <c r="H924" t="s">
        <v>5498</v>
      </c>
      <c r="I924" t="s">
        <v>260</v>
      </c>
    </row>
    <row r="925" spans="8:9" x14ac:dyDescent="0.25">
      <c r="H925" t="s">
        <v>5475</v>
      </c>
      <c r="I925" t="s">
        <v>260</v>
      </c>
    </row>
    <row r="926" spans="8:9" x14ac:dyDescent="0.25">
      <c r="H926" t="s">
        <v>256</v>
      </c>
      <c r="I926" t="s">
        <v>260</v>
      </c>
    </row>
    <row r="927" spans="8:9" x14ac:dyDescent="0.25">
      <c r="H927" t="s">
        <v>256</v>
      </c>
      <c r="I927" t="s">
        <v>260</v>
      </c>
    </row>
    <row r="928" spans="8:9" x14ac:dyDescent="0.25">
      <c r="H928" t="s">
        <v>5289</v>
      </c>
      <c r="I928" t="s">
        <v>260</v>
      </c>
    </row>
    <row r="929" spans="8:9" x14ac:dyDescent="0.25">
      <c r="H929" t="s">
        <v>6819</v>
      </c>
      <c r="I929" t="s">
        <v>34</v>
      </c>
    </row>
    <row r="930" spans="8:9" x14ac:dyDescent="0.25">
      <c r="H930" t="s">
        <v>6725</v>
      </c>
      <c r="I930" t="s">
        <v>34</v>
      </c>
    </row>
    <row r="931" spans="8:9" x14ac:dyDescent="0.25">
      <c r="H931" t="s">
        <v>6672</v>
      </c>
      <c r="I931" t="s">
        <v>34</v>
      </c>
    </row>
    <row r="932" spans="8:9" x14ac:dyDescent="0.25">
      <c r="H932" t="s">
        <v>40</v>
      </c>
      <c r="I932" t="s">
        <v>34</v>
      </c>
    </row>
    <row r="933" spans="8:9" x14ac:dyDescent="0.25">
      <c r="H933" t="s">
        <v>6508</v>
      </c>
      <c r="I933" t="s">
        <v>34</v>
      </c>
    </row>
    <row r="934" spans="8:9" x14ac:dyDescent="0.25">
      <c r="H934" t="s">
        <v>40</v>
      </c>
      <c r="I934" t="s">
        <v>34</v>
      </c>
    </row>
    <row r="935" spans="8:9" x14ac:dyDescent="0.25">
      <c r="H935" t="s">
        <v>6458</v>
      </c>
      <c r="I935" t="s">
        <v>34</v>
      </c>
    </row>
    <row r="936" spans="8:9" x14ac:dyDescent="0.25">
      <c r="H936" t="s">
        <v>6440</v>
      </c>
      <c r="I936" t="s">
        <v>34</v>
      </c>
    </row>
    <row r="937" spans="8:9" x14ac:dyDescent="0.25">
      <c r="H937" t="s">
        <v>40</v>
      </c>
      <c r="I937" t="s">
        <v>34</v>
      </c>
    </row>
    <row r="938" spans="8:9" x14ac:dyDescent="0.25">
      <c r="H938" t="s">
        <v>40</v>
      </c>
      <c r="I938" t="s">
        <v>34</v>
      </c>
    </row>
    <row r="939" spans="8:9" x14ac:dyDescent="0.25">
      <c r="H939" t="s">
        <v>40</v>
      </c>
      <c r="I939" t="s">
        <v>34</v>
      </c>
    </row>
    <row r="940" spans="8:9" x14ac:dyDescent="0.25">
      <c r="H940" t="s">
        <v>40</v>
      </c>
      <c r="I940" t="s">
        <v>34</v>
      </c>
    </row>
    <row r="941" spans="8:9" x14ac:dyDescent="0.25">
      <c r="H941" t="s">
        <v>6363</v>
      </c>
      <c r="I941" t="s">
        <v>34</v>
      </c>
    </row>
    <row r="942" spans="8:9" x14ac:dyDescent="0.25">
      <c r="H942" t="s">
        <v>40</v>
      </c>
      <c r="I942" t="s">
        <v>34</v>
      </c>
    </row>
    <row r="943" spans="8:9" x14ac:dyDescent="0.25">
      <c r="H943" t="s">
        <v>40</v>
      </c>
      <c r="I943" t="s">
        <v>34</v>
      </c>
    </row>
    <row r="944" spans="8:9" x14ac:dyDescent="0.25">
      <c r="H944" t="s">
        <v>6307</v>
      </c>
      <c r="I944" t="s">
        <v>34</v>
      </c>
    </row>
    <row r="945" spans="8:9" x14ac:dyDescent="0.25">
      <c r="H945" t="s">
        <v>6183</v>
      </c>
      <c r="I945" t="s">
        <v>34</v>
      </c>
    </row>
    <row r="946" spans="8:9" x14ac:dyDescent="0.25">
      <c r="H946" t="s">
        <v>6183</v>
      </c>
      <c r="I946" t="s">
        <v>34</v>
      </c>
    </row>
    <row r="947" spans="8:9" x14ac:dyDescent="0.25">
      <c r="H947" t="s">
        <v>40</v>
      </c>
      <c r="I947" t="s">
        <v>34</v>
      </c>
    </row>
    <row r="948" spans="8:9" x14ac:dyDescent="0.25">
      <c r="H948" t="s">
        <v>40</v>
      </c>
      <c r="I948" t="s">
        <v>34</v>
      </c>
    </row>
    <row r="949" spans="8:9" x14ac:dyDescent="0.25">
      <c r="H949" t="s">
        <v>6035</v>
      </c>
      <c r="I949" t="s">
        <v>34</v>
      </c>
    </row>
    <row r="950" spans="8:9" x14ac:dyDescent="0.25">
      <c r="H950" t="s">
        <v>5852</v>
      </c>
      <c r="I950" t="s">
        <v>34</v>
      </c>
    </row>
    <row r="951" spans="8:9" x14ac:dyDescent="0.25">
      <c r="H951" t="s">
        <v>5852</v>
      </c>
      <c r="I951" t="s">
        <v>34</v>
      </c>
    </row>
    <row r="952" spans="8:9" x14ac:dyDescent="0.25">
      <c r="H952" t="s">
        <v>40</v>
      </c>
      <c r="I952" t="s">
        <v>34</v>
      </c>
    </row>
    <row r="953" spans="8:9" x14ac:dyDescent="0.25">
      <c r="H953" t="s">
        <v>5649</v>
      </c>
      <c r="I953" t="s">
        <v>34</v>
      </c>
    </row>
    <row r="954" spans="8:9" x14ac:dyDescent="0.25">
      <c r="H954" t="s">
        <v>5621</v>
      </c>
      <c r="I954" t="s">
        <v>34</v>
      </c>
    </row>
    <row r="955" spans="8:9" x14ac:dyDescent="0.25">
      <c r="H955" t="s">
        <v>40</v>
      </c>
      <c r="I955" t="s">
        <v>34</v>
      </c>
    </row>
    <row r="956" spans="8:9" x14ac:dyDescent="0.25">
      <c r="H956" t="s">
        <v>5547</v>
      </c>
      <c r="I956" t="s">
        <v>34</v>
      </c>
    </row>
    <row r="957" spans="8:9" x14ac:dyDescent="0.25">
      <c r="H957" t="s">
        <v>40</v>
      </c>
      <c r="I957" t="s">
        <v>34</v>
      </c>
    </row>
    <row r="958" spans="8:9" x14ac:dyDescent="0.25">
      <c r="H958" t="s">
        <v>40</v>
      </c>
      <c r="I958" t="s">
        <v>34</v>
      </c>
    </row>
    <row r="959" spans="8:9" x14ac:dyDescent="0.25">
      <c r="H959" t="s">
        <v>257</v>
      </c>
      <c r="I959" t="s">
        <v>261</v>
      </c>
    </row>
    <row r="960" spans="8:9" x14ac:dyDescent="0.25">
      <c r="H960" t="s">
        <v>257</v>
      </c>
      <c r="I960" t="s">
        <v>261</v>
      </c>
    </row>
    <row r="961" spans="8:9" x14ac:dyDescent="0.25">
      <c r="H961" t="s">
        <v>6682</v>
      </c>
      <c r="I961" t="s">
        <v>261</v>
      </c>
    </row>
    <row r="962" spans="8:9" x14ac:dyDescent="0.25">
      <c r="H962" t="s">
        <v>6561</v>
      </c>
      <c r="I962" t="s">
        <v>261</v>
      </c>
    </row>
    <row r="963" spans="8:9" x14ac:dyDescent="0.25">
      <c r="H963" t="s">
        <v>257</v>
      </c>
      <c r="I963" t="s">
        <v>261</v>
      </c>
    </row>
    <row r="964" spans="8:9" x14ac:dyDescent="0.25">
      <c r="H964" t="s">
        <v>257</v>
      </c>
      <c r="I964" t="s">
        <v>261</v>
      </c>
    </row>
    <row r="965" spans="8:9" x14ac:dyDescent="0.25">
      <c r="H965" t="s">
        <v>6531</v>
      </c>
      <c r="I965" t="s">
        <v>261</v>
      </c>
    </row>
    <row r="966" spans="8:9" x14ac:dyDescent="0.25">
      <c r="H966" t="s">
        <v>5713</v>
      </c>
      <c r="I966" t="s">
        <v>261</v>
      </c>
    </row>
    <row r="967" spans="8:9" x14ac:dyDescent="0.25">
      <c r="H967" t="s">
        <v>6451</v>
      </c>
      <c r="I967" t="s">
        <v>261</v>
      </c>
    </row>
    <row r="968" spans="8:9" x14ac:dyDescent="0.25">
      <c r="H968" t="s">
        <v>6442</v>
      </c>
      <c r="I968" t="s">
        <v>261</v>
      </c>
    </row>
    <row r="969" spans="8:9" x14ac:dyDescent="0.25">
      <c r="H969" t="s">
        <v>257</v>
      </c>
      <c r="I969" t="s">
        <v>261</v>
      </c>
    </row>
    <row r="970" spans="8:9" x14ac:dyDescent="0.25">
      <c r="H970" t="s">
        <v>6436</v>
      </c>
      <c r="I970" t="s">
        <v>261</v>
      </c>
    </row>
    <row r="971" spans="8:9" x14ac:dyDescent="0.25">
      <c r="H971" t="s">
        <v>6392</v>
      </c>
      <c r="I971" t="s">
        <v>261</v>
      </c>
    </row>
    <row r="972" spans="8:9" x14ac:dyDescent="0.25">
      <c r="H972" t="s">
        <v>6355</v>
      </c>
      <c r="I972" t="s">
        <v>261</v>
      </c>
    </row>
    <row r="973" spans="8:9" x14ac:dyDescent="0.25">
      <c r="H973" t="s">
        <v>6335</v>
      </c>
      <c r="I973" t="s">
        <v>261</v>
      </c>
    </row>
    <row r="974" spans="8:9" x14ac:dyDescent="0.25">
      <c r="H974" t="s">
        <v>257</v>
      </c>
      <c r="I974" t="s">
        <v>261</v>
      </c>
    </row>
    <row r="975" spans="8:9" x14ac:dyDescent="0.25">
      <c r="H975" t="s">
        <v>6272</v>
      </c>
      <c r="I975" t="s">
        <v>261</v>
      </c>
    </row>
    <row r="976" spans="8:9" x14ac:dyDescent="0.25">
      <c r="H976" t="s">
        <v>5994</v>
      </c>
      <c r="I976" t="s">
        <v>261</v>
      </c>
    </row>
    <row r="977" spans="8:9" x14ac:dyDescent="0.25">
      <c r="H977" t="s">
        <v>257</v>
      </c>
      <c r="I977" t="s">
        <v>261</v>
      </c>
    </row>
    <row r="978" spans="8:9" x14ac:dyDescent="0.25">
      <c r="H978" t="s">
        <v>6185</v>
      </c>
      <c r="I978" t="s">
        <v>261</v>
      </c>
    </row>
    <row r="979" spans="8:9" x14ac:dyDescent="0.25">
      <c r="H979" t="s">
        <v>5994</v>
      </c>
      <c r="I979" t="s">
        <v>261</v>
      </c>
    </row>
    <row r="980" spans="8:9" x14ac:dyDescent="0.25">
      <c r="H980" t="s">
        <v>257</v>
      </c>
      <c r="I980" t="s">
        <v>261</v>
      </c>
    </row>
    <row r="981" spans="8:9" x14ac:dyDescent="0.25">
      <c r="H981" t="s">
        <v>257</v>
      </c>
      <c r="I981" t="s">
        <v>261</v>
      </c>
    </row>
    <row r="982" spans="8:9" x14ac:dyDescent="0.25">
      <c r="H982" t="s">
        <v>5847</v>
      </c>
      <c r="I982" t="s">
        <v>261</v>
      </c>
    </row>
    <row r="983" spans="8:9" x14ac:dyDescent="0.25">
      <c r="H983" t="s">
        <v>5797</v>
      </c>
      <c r="I983" t="s">
        <v>261</v>
      </c>
    </row>
    <row r="984" spans="8:9" x14ac:dyDescent="0.25">
      <c r="H984" t="s">
        <v>5243</v>
      </c>
      <c r="I984" t="s">
        <v>261</v>
      </c>
    </row>
    <row r="985" spans="8:9" x14ac:dyDescent="0.25">
      <c r="H985" t="s">
        <v>5713</v>
      </c>
      <c r="I985" t="s">
        <v>261</v>
      </c>
    </row>
    <row r="986" spans="8:9" x14ac:dyDescent="0.25">
      <c r="H986" t="s">
        <v>257</v>
      </c>
      <c r="I986" t="s">
        <v>261</v>
      </c>
    </row>
    <row r="987" spans="8:9" x14ac:dyDescent="0.25">
      <c r="H987" t="s">
        <v>257</v>
      </c>
      <c r="I987" t="s">
        <v>261</v>
      </c>
    </row>
    <row r="988" spans="8:9" x14ac:dyDescent="0.25">
      <c r="H988" t="s">
        <v>5463</v>
      </c>
      <c r="I988" t="s">
        <v>261</v>
      </c>
    </row>
    <row r="989" spans="8:9" x14ac:dyDescent="0.25">
      <c r="H989" t="s">
        <v>257</v>
      </c>
      <c r="I989" t="s">
        <v>261</v>
      </c>
    </row>
    <row r="990" spans="8:9" x14ac:dyDescent="0.25">
      <c r="H990" t="s">
        <v>257</v>
      </c>
      <c r="I990" t="s">
        <v>261</v>
      </c>
    </row>
    <row r="991" spans="8:9" x14ac:dyDescent="0.25">
      <c r="H991" t="s">
        <v>257</v>
      </c>
      <c r="I991" t="s">
        <v>261</v>
      </c>
    </row>
    <row r="992" spans="8:9" x14ac:dyDescent="0.25">
      <c r="H992" t="s">
        <v>257</v>
      </c>
      <c r="I992" t="s">
        <v>261</v>
      </c>
    </row>
    <row r="993" spans="8:9" x14ac:dyDescent="0.25">
      <c r="H993" t="s">
        <v>5243</v>
      </c>
      <c r="I993" t="s">
        <v>261</v>
      </c>
    </row>
    <row r="994" spans="8:9" x14ac:dyDescent="0.25">
      <c r="H994" t="s">
        <v>6848</v>
      </c>
      <c r="I994" t="s">
        <v>35</v>
      </c>
    </row>
    <row r="995" spans="8:9" x14ac:dyDescent="0.25">
      <c r="H995" t="s">
        <v>6503</v>
      </c>
      <c r="I995" t="s">
        <v>35</v>
      </c>
    </row>
    <row r="996" spans="8:9" x14ac:dyDescent="0.25">
      <c r="H996" t="s">
        <v>5807</v>
      </c>
      <c r="I996" t="s">
        <v>35</v>
      </c>
    </row>
    <row r="997" spans="8:9" x14ac:dyDescent="0.25">
      <c r="H997" t="s">
        <v>4736</v>
      </c>
      <c r="I997" t="s">
        <v>35</v>
      </c>
    </row>
    <row r="998" spans="8:9" x14ac:dyDescent="0.25">
      <c r="H998" t="s">
        <v>6268</v>
      </c>
      <c r="I998" t="s">
        <v>35</v>
      </c>
    </row>
    <row r="999" spans="8:9" x14ac:dyDescent="0.25">
      <c r="H999" t="s">
        <v>6261</v>
      </c>
      <c r="I999" t="s">
        <v>35</v>
      </c>
    </row>
    <row r="1000" spans="8:9" x14ac:dyDescent="0.25">
      <c r="H1000" t="s">
        <v>5425</v>
      </c>
      <c r="I1000" t="s">
        <v>35</v>
      </c>
    </row>
    <row r="1001" spans="8:9" x14ac:dyDescent="0.25">
      <c r="H1001" t="s">
        <v>5997</v>
      </c>
      <c r="I1001" t="s">
        <v>35</v>
      </c>
    </row>
    <row r="1002" spans="8:9" x14ac:dyDescent="0.25">
      <c r="H1002" t="s">
        <v>5819</v>
      </c>
      <c r="I1002" t="s">
        <v>35</v>
      </c>
    </row>
    <row r="1003" spans="8:9" x14ac:dyDescent="0.25">
      <c r="H1003" t="s">
        <v>5807</v>
      </c>
      <c r="I1003" t="s">
        <v>35</v>
      </c>
    </row>
    <row r="1004" spans="8:9" x14ac:dyDescent="0.25">
      <c r="H1004" t="s">
        <v>5650</v>
      </c>
      <c r="I1004" t="s">
        <v>35</v>
      </c>
    </row>
    <row r="1005" spans="8:9" x14ac:dyDescent="0.25">
      <c r="H1005" t="s">
        <v>5457</v>
      </c>
      <c r="I1005" t="s">
        <v>35</v>
      </c>
    </row>
    <row r="1006" spans="8:9" x14ac:dyDescent="0.25">
      <c r="H1006" t="s">
        <v>5425</v>
      </c>
      <c r="I1006" t="s">
        <v>35</v>
      </c>
    </row>
    <row r="1007" spans="8:9" x14ac:dyDescent="0.25">
      <c r="H1007" t="s">
        <v>5616</v>
      </c>
      <c r="I1007" t="s">
        <v>262</v>
      </c>
    </row>
    <row r="1008" spans="8:9" x14ac:dyDescent="0.25">
      <c r="H1008" t="s">
        <v>5308</v>
      </c>
      <c r="I1008" t="s">
        <v>262</v>
      </c>
    </row>
    <row r="1009" spans="8:9" x14ac:dyDescent="0.25">
      <c r="H1009" t="s">
        <v>5951</v>
      </c>
      <c r="I1009" t="s">
        <v>262</v>
      </c>
    </row>
    <row r="1010" spans="8:9" x14ac:dyDescent="0.25">
      <c r="H1010" t="s">
        <v>6259</v>
      </c>
      <c r="I1010" t="s">
        <v>262</v>
      </c>
    </row>
    <row r="1011" spans="8:9" x14ac:dyDescent="0.25">
      <c r="H1011" t="s">
        <v>6453</v>
      </c>
      <c r="I1011" t="s">
        <v>262</v>
      </c>
    </row>
    <row r="1012" spans="8:9" x14ac:dyDescent="0.25">
      <c r="H1012" t="s">
        <v>6445</v>
      </c>
      <c r="I1012" t="s">
        <v>262</v>
      </c>
    </row>
    <row r="1013" spans="8:9" x14ac:dyDescent="0.25">
      <c r="H1013" t="s">
        <v>6389</v>
      </c>
      <c r="I1013" t="s">
        <v>262</v>
      </c>
    </row>
    <row r="1014" spans="8:9" x14ac:dyDescent="0.25">
      <c r="H1014" t="s">
        <v>6259</v>
      </c>
      <c r="I1014" t="s">
        <v>262</v>
      </c>
    </row>
    <row r="1015" spans="8:9" x14ac:dyDescent="0.25">
      <c r="H1015" t="s">
        <v>4779</v>
      </c>
      <c r="I1015" t="s">
        <v>262</v>
      </c>
    </row>
    <row r="1016" spans="8:9" x14ac:dyDescent="0.25">
      <c r="H1016" t="s">
        <v>6024</v>
      </c>
      <c r="I1016" t="s">
        <v>262</v>
      </c>
    </row>
    <row r="1017" spans="8:9" x14ac:dyDescent="0.25">
      <c r="H1017" t="s">
        <v>258</v>
      </c>
      <c r="I1017" t="s">
        <v>262</v>
      </c>
    </row>
    <row r="1018" spans="8:9" x14ac:dyDescent="0.25">
      <c r="H1018" t="s">
        <v>5951</v>
      </c>
      <c r="I1018" t="s">
        <v>262</v>
      </c>
    </row>
    <row r="1019" spans="8:9" x14ac:dyDescent="0.25">
      <c r="H1019" t="s">
        <v>5904</v>
      </c>
      <c r="I1019" t="s">
        <v>262</v>
      </c>
    </row>
    <row r="1020" spans="8:9" x14ac:dyDescent="0.25">
      <c r="H1020" t="s">
        <v>4519</v>
      </c>
      <c r="I1020" t="s">
        <v>262</v>
      </c>
    </row>
    <row r="1021" spans="8:9" x14ac:dyDescent="0.25">
      <c r="H1021" t="s">
        <v>5770</v>
      </c>
      <c r="I1021" t="s">
        <v>262</v>
      </c>
    </row>
    <row r="1022" spans="8:9" x14ac:dyDescent="0.25">
      <c r="H1022" t="s">
        <v>5296</v>
      </c>
      <c r="I1022" t="s">
        <v>262</v>
      </c>
    </row>
    <row r="1023" spans="8:9" x14ac:dyDescent="0.25">
      <c r="H1023" t="s">
        <v>5617</v>
      </c>
      <c r="I1023" t="s">
        <v>262</v>
      </c>
    </row>
    <row r="1024" spans="8:9" x14ac:dyDescent="0.25">
      <c r="H1024" t="s">
        <v>5616</v>
      </c>
      <c r="I1024" t="s">
        <v>262</v>
      </c>
    </row>
    <row r="1025" spans="8:9" x14ac:dyDescent="0.25">
      <c r="H1025" t="s">
        <v>5445</v>
      </c>
      <c r="I1025" t="s">
        <v>262</v>
      </c>
    </row>
    <row r="1026" spans="8:9" x14ac:dyDescent="0.25">
      <c r="H1026" t="s">
        <v>5296</v>
      </c>
      <c r="I1026" t="s">
        <v>262</v>
      </c>
    </row>
    <row r="1027" spans="8:9" x14ac:dyDescent="0.25">
      <c r="H1027" t="s">
        <v>5356</v>
      </c>
      <c r="I1027" t="s">
        <v>262</v>
      </c>
    </row>
    <row r="1028" spans="8:9" x14ac:dyDescent="0.25">
      <c r="H1028" t="s">
        <v>5308</v>
      </c>
      <c r="I1028" t="s">
        <v>262</v>
      </c>
    </row>
    <row r="1029" spans="8:9" x14ac:dyDescent="0.25">
      <c r="H1029" t="s">
        <v>5296</v>
      </c>
      <c r="I1029" t="s">
        <v>262</v>
      </c>
    </row>
    <row r="1030" spans="8:9" x14ac:dyDescent="0.25">
      <c r="H1030" t="s">
        <v>5239</v>
      </c>
      <c r="I1030" t="s">
        <v>262</v>
      </c>
    </row>
    <row r="1031" spans="8:9" x14ac:dyDescent="0.25">
      <c r="H1031" t="s">
        <v>122</v>
      </c>
      <c r="I1031" t="s">
        <v>18</v>
      </c>
    </row>
    <row r="1032" spans="8:9" x14ac:dyDescent="0.25">
      <c r="H1032" t="s">
        <v>122</v>
      </c>
      <c r="I1032" t="s">
        <v>18</v>
      </c>
    </row>
    <row r="1033" spans="8:9" x14ac:dyDescent="0.25">
      <c r="H1033" t="s">
        <v>122</v>
      </c>
      <c r="I1033" t="s">
        <v>18</v>
      </c>
    </row>
    <row r="1034" spans="8:9" x14ac:dyDescent="0.25">
      <c r="H1034" t="s">
        <v>6649</v>
      </c>
      <c r="I1034" t="s">
        <v>18</v>
      </c>
    </row>
    <row r="1035" spans="8:9" x14ac:dyDescent="0.25">
      <c r="H1035" t="s">
        <v>122</v>
      </c>
      <c r="I1035" t="s">
        <v>18</v>
      </c>
    </row>
    <row r="1036" spans="8:9" x14ac:dyDescent="0.25">
      <c r="H1036" t="s">
        <v>122</v>
      </c>
      <c r="I1036" t="s">
        <v>18</v>
      </c>
    </row>
    <row r="1037" spans="8:9" x14ac:dyDescent="0.25">
      <c r="H1037" t="s">
        <v>122</v>
      </c>
      <c r="I1037" t="s">
        <v>18</v>
      </c>
    </row>
    <row r="1038" spans="8:9" x14ac:dyDescent="0.25">
      <c r="H1038" t="s">
        <v>122</v>
      </c>
      <c r="I1038" t="s">
        <v>18</v>
      </c>
    </row>
    <row r="1039" spans="8:9" x14ac:dyDescent="0.25">
      <c r="H1039" t="s">
        <v>122</v>
      </c>
      <c r="I1039" t="s">
        <v>18</v>
      </c>
    </row>
    <row r="1040" spans="8:9" x14ac:dyDescent="0.25">
      <c r="H1040" t="s">
        <v>122</v>
      </c>
      <c r="I1040" t="s">
        <v>18</v>
      </c>
    </row>
    <row r="1041" spans="8:9" x14ac:dyDescent="0.25">
      <c r="H1041" t="s">
        <v>122</v>
      </c>
      <c r="I1041" t="s">
        <v>18</v>
      </c>
    </row>
    <row r="1042" spans="8:9" x14ac:dyDescent="0.25">
      <c r="H1042" t="s">
        <v>6172</v>
      </c>
      <c r="I1042" t="s">
        <v>18</v>
      </c>
    </row>
    <row r="1043" spans="8:9" x14ac:dyDescent="0.25">
      <c r="H1043" t="s">
        <v>122</v>
      </c>
      <c r="I1043" t="s">
        <v>18</v>
      </c>
    </row>
    <row r="1044" spans="8:9" x14ac:dyDescent="0.25">
      <c r="H1044" t="s">
        <v>122</v>
      </c>
      <c r="I1044" t="s">
        <v>18</v>
      </c>
    </row>
    <row r="1045" spans="8:9" x14ac:dyDescent="0.25">
      <c r="H1045" t="s">
        <v>122</v>
      </c>
      <c r="I1045" t="s">
        <v>18</v>
      </c>
    </row>
    <row r="1046" spans="8:9" x14ac:dyDescent="0.25">
      <c r="H1046" t="s">
        <v>122</v>
      </c>
      <c r="I1046" t="s">
        <v>18</v>
      </c>
    </row>
    <row r="1047" spans="8:9" x14ac:dyDescent="0.25">
      <c r="H1047" t="s">
        <v>122</v>
      </c>
      <c r="I1047" t="s">
        <v>18</v>
      </c>
    </row>
    <row r="1048" spans="8:9" x14ac:dyDescent="0.25">
      <c r="H1048" t="s">
        <v>122</v>
      </c>
      <c r="I1048" t="s">
        <v>18</v>
      </c>
    </row>
    <row r="1049" spans="8:9" x14ac:dyDescent="0.25">
      <c r="H1049" t="s">
        <v>122</v>
      </c>
      <c r="I1049" t="s">
        <v>18</v>
      </c>
    </row>
    <row r="1050" spans="8:9" x14ac:dyDescent="0.25">
      <c r="H1050" t="s">
        <v>122</v>
      </c>
      <c r="I1050" t="s">
        <v>18</v>
      </c>
    </row>
    <row r="1051" spans="8:9" x14ac:dyDescent="0.25">
      <c r="H1051" t="s">
        <v>122</v>
      </c>
      <c r="I1051" t="s">
        <v>18</v>
      </c>
    </row>
    <row r="1052" spans="8:9" x14ac:dyDescent="0.25">
      <c r="H1052" t="s">
        <v>122</v>
      </c>
      <c r="I1052" t="s">
        <v>18</v>
      </c>
    </row>
    <row r="1053" spans="8:9" x14ac:dyDescent="0.25">
      <c r="H1053" t="s">
        <v>122</v>
      </c>
      <c r="I1053" t="s">
        <v>18</v>
      </c>
    </row>
    <row r="1054" spans="8:9" x14ac:dyDescent="0.25">
      <c r="H1054" t="s">
        <v>122</v>
      </c>
      <c r="I1054" t="s">
        <v>18</v>
      </c>
    </row>
    <row r="1055" spans="8:9" x14ac:dyDescent="0.25">
      <c r="H1055" t="s">
        <v>122</v>
      </c>
      <c r="I1055" t="s">
        <v>18</v>
      </c>
    </row>
    <row r="1056" spans="8:9" x14ac:dyDescent="0.25">
      <c r="H1056" t="s">
        <v>122</v>
      </c>
      <c r="I1056" t="s">
        <v>18</v>
      </c>
    </row>
    <row r="1057" spans="8:12" x14ac:dyDescent="0.25">
      <c r="H1057" t="s">
        <v>2733</v>
      </c>
      <c r="I1057" t="s">
        <v>2735</v>
      </c>
      <c r="J1057" t="s">
        <v>2764</v>
      </c>
      <c r="K1057" t="s">
        <v>2766</v>
      </c>
      <c r="L1057" t="s">
        <v>2765</v>
      </c>
    </row>
    <row r="1058" spans="8:12" x14ac:dyDescent="0.25">
      <c r="H1058" t="s">
        <v>2733</v>
      </c>
      <c r="I1058" t="s">
        <v>2735</v>
      </c>
      <c r="J1058" t="s">
        <v>2764</v>
      </c>
      <c r="K1058" t="s">
        <v>2766</v>
      </c>
      <c r="L1058" t="s">
        <v>2765</v>
      </c>
    </row>
    <row r="1059" spans="8:12" x14ac:dyDescent="0.25">
      <c r="H1059" t="s">
        <v>2733</v>
      </c>
      <c r="I1059" t="s">
        <v>2735</v>
      </c>
      <c r="J1059" t="s">
        <v>2764</v>
      </c>
      <c r="K1059" t="s">
        <v>2766</v>
      </c>
      <c r="L1059" t="s">
        <v>2765</v>
      </c>
    </row>
    <row r="1060" spans="8:12" x14ac:dyDescent="0.25">
      <c r="H1060" t="s">
        <v>2733</v>
      </c>
      <c r="I1060" t="s">
        <v>2735</v>
      </c>
      <c r="J1060" t="s">
        <v>2764</v>
      </c>
      <c r="K1060" t="s">
        <v>2766</v>
      </c>
      <c r="L1060" t="s">
        <v>2765</v>
      </c>
    </row>
    <row r="1061" spans="8:12" x14ac:dyDescent="0.25">
      <c r="H1061" t="s">
        <v>2733</v>
      </c>
      <c r="I1061" t="s">
        <v>2735</v>
      </c>
      <c r="J1061" t="s">
        <v>2764</v>
      </c>
      <c r="K1061" t="s">
        <v>2766</v>
      </c>
      <c r="L1061" t="s">
        <v>2765</v>
      </c>
    </row>
    <row r="1062" spans="8:12" x14ac:dyDescent="0.25">
      <c r="H1062" t="s">
        <v>2733</v>
      </c>
      <c r="I1062" t="s">
        <v>2735</v>
      </c>
      <c r="J1062" t="s">
        <v>2765</v>
      </c>
      <c r="K1062" t="s">
        <v>2766</v>
      </c>
    </row>
    <row r="1063" spans="8:12" x14ac:dyDescent="0.25">
      <c r="H1063" t="s">
        <v>2733</v>
      </c>
      <c r="I1063" t="s">
        <v>2735</v>
      </c>
      <c r="J1063" t="s">
        <v>2765</v>
      </c>
      <c r="K1063" t="s">
        <v>2766</v>
      </c>
    </row>
    <row r="1064" spans="8:12" x14ac:dyDescent="0.25">
      <c r="H1064" t="s">
        <v>2733</v>
      </c>
      <c r="I1064" t="s">
        <v>2735</v>
      </c>
      <c r="J1064" t="s">
        <v>2764</v>
      </c>
      <c r="K1064" t="s">
        <v>2766</v>
      </c>
      <c r="L1064" t="s">
        <v>2765</v>
      </c>
    </row>
    <row r="1065" spans="8:12" x14ac:dyDescent="0.25">
      <c r="H1065" t="s">
        <v>2733</v>
      </c>
      <c r="I1065" t="s">
        <v>2735</v>
      </c>
      <c r="J1065" t="s">
        <v>2764</v>
      </c>
      <c r="K1065" t="s">
        <v>2766</v>
      </c>
      <c r="L1065" t="s">
        <v>2765</v>
      </c>
    </row>
    <row r="1066" spans="8:12" x14ac:dyDescent="0.25">
      <c r="H1066" t="s">
        <v>2733</v>
      </c>
      <c r="I1066" t="s">
        <v>2735</v>
      </c>
      <c r="J1066" t="s">
        <v>2765</v>
      </c>
      <c r="K1066" t="s">
        <v>2766</v>
      </c>
    </row>
    <row r="1067" spans="8:12" x14ac:dyDescent="0.25">
      <c r="H1067" t="s">
        <v>2733</v>
      </c>
      <c r="I1067" t="s">
        <v>2735</v>
      </c>
      <c r="J1067" t="s">
        <v>2765</v>
      </c>
      <c r="K1067" t="s">
        <v>2766</v>
      </c>
    </row>
    <row r="1068" spans="8:12" x14ac:dyDescent="0.25">
      <c r="H1068" t="s">
        <v>2733</v>
      </c>
      <c r="I1068" t="s">
        <v>2735</v>
      </c>
      <c r="J1068" t="s">
        <v>2765</v>
      </c>
      <c r="K1068" t="s">
        <v>2766</v>
      </c>
    </row>
    <row r="1069" spans="8:12" x14ac:dyDescent="0.25">
      <c r="H1069" t="s">
        <v>137</v>
      </c>
      <c r="I1069" t="s">
        <v>23</v>
      </c>
    </row>
    <row r="1070" spans="8:12" x14ac:dyDescent="0.25">
      <c r="H1070" t="s">
        <v>137</v>
      </c>
      <c r="I1070" t="s">
        <v>23</v>
      </c>
    </row>
    <row r="1071" spans="8:12" x14ac:dyDescent="0.25">
      <c r="H1071" t="s">
        <v>137</v>
      </c>
      <c r="I1071" t="s">
        <v>23</v>
      </c>
    </row>
    <row r="1072" spans="8:12" x14ac:dyDescent="0.25">
      <c r="H1072" t="s">
        <v>137</v>
      </c>
      <c r="I1072" t="s">
        <v>23</v>
      </c>
    </row>
    <row r="1073" spans="8:9" x14ac:dyDescent="0.25">
      <c r="H1073" t="s">
        <v>137</v>
      </c>
      <c r="I1073" t="s">
        <v>23</v>
      </c>
    </row>
    <row r="1074" spans="8:9" x14ac:dyDescent="0.25">
      <c r="H1074" t="s">
        <v>137</v>
      </c>
      <c r="I1074" t="s">
        <v>23</v>
      </c>
    </row>
    <row r="1075" spans="8:9" x14ac:dyDescent="0.25">
      <c r="H1075" t="s">
        <v>137</v>
      </c>
      <c r="I1075" t="s">
        <v>23</v>
      </c>
    </row>
    <row r="1076" spans="8:9" x14ac:dyDescent="0.25">
      <c r="H1076" t="s">
        <v>137</v>
      </c>
      <c r="I1076" t="s">
        <v>23</v>
      </c>
    </row>
    <row r="1077" spans="8:9" x14ac:dyDescent="0.25">
      <c r="H1077" t="s">
        <v>137</v>
      </c>
      <c r="I1077" t="s">
        <v>23</v>
      </c>
    </row>
    <row r="1078" spans="8:9" x14ac:dyDescent="0.25">
      <c r="H1078" t="s">
        <v>45</v>
      </c>
      <c r="I1078" t="s">
        <v>25</v>
      </c>
    </row>
    <row r="1079" spans="8:9" x14ac:dyDescent="0.25">
      <c r="H1079" t="s">
        <v>45</v>
      </c>
      <c r="I1079" t="s">
        <v>25</v>
      </c>
    </row>
    <row r="1080" spans="8:9" x14ac:dyDescent="0.25">
      <c r="H1080" t="s">
        <v>6524</v>
      </c>
      <c r="I1080" t="s">
        <v>25</v>
      </c>
    </row>
    <row r="1081" spans="8:9" x14ac:dyDescent="0.25">
      <c r="H1081" t="s">
        <v>6511</v>
      </c>
      <c r="I1081" t="s">
        <v>25</v>
      </c>
    </row>
    <row r="1082" spans="8:9" x14ac:dyDescent="0.25">
      <c r="H1082" t="s">
        <v>45</v>
      </c>
      <c r="I1082" t="s">
        <v>25</v>
      </c>
    </row>
    <row r="1083" spans="8:9" x14ac:dyDescent="0.25">
      <c r="H1083" t="s">
        <v>6296</v>
      </c>
      <c r="I1083" t="s">
        <v>25</v>
      </c>
    </row>
    <row r="1084" spans="8:9" x14ac:dyDescent="0.25">
      <c r="H1084" t="s">
        <v>45</v>
      </c>
      <c r="I1084" t="s">
        <v>25</v>
      </c>
    </row>
    <row r="1085" spans="8:9" x14ac:dyDescent="0.25">
      <c r="H1085" t="s">
        <v>45</v>
      </c>
      <c r="I1085" t="s">
        <v>25</v>
      </c>
    </row>
    <row r="1086" spans="8:9" x14ac:dyDescent="0.25">
      <c r="H1086" t="s">
        <v>6071</v>
      </c>
      <c r="I1086" t="s">
        <v>25</v>
      </c>
    </row>
    <row r="1087" spans="8:9" x14ac:dyDescent="0.25">
      <c r="H1087" t="s">
        <v>45</v>
      </c>
      <c r="I1087" t="s">
        <v>25</v>
      </c>
    </row>
    <row r="1088" spans="8:9" x14ac:dyDescent="0.25">
      <c r="H1088" t="s">
        <v>45</v>
      </c>
      <c r="I1088" t="s">
        <v>25</v>
      </c>
    </row>
    <row r="1089" spans="8:10" x14ac:dyDescent="0.25">
      <c r="H1089" t="s">
        <v>5834</v>
      </c>
      <c r="I1089" t="s">
        <v>25</v>
      </c>
    </row>
    <row r="1090" spans="8:10" x14ac:dyDescent="0.25">
      <c r="H1090" t="s">
        <v>45</v>
      </c>
      <c r="I1090" t="s">
        <v>25</v>
      </c>
    </row>
    <row r="1091" spans="8:10" x14ac:dyDescent="0.25">
      <c r="H1091" t="s">
        <v>45</v>
      </c>
      <c r="I1091" t="s">
        <v>25</v>
      </c>
    </row>
    <row r="1092" spans="8:10" x14ac:dyDescent="0.25">
      <c r="H1092" t="s">
        <v>5636</v>
      </c>
      <c r="I1092" t="s">
        <v>25</v>
      </c>
    </row>
    <row r="1093" spans="8:10" x14ac:dyDescent="0.25">
      <c r="H1093" t="s">
        <v>45</v>
      </c>
      <c r="I1093" t="s">
        <v>25</v>
      </c>
    </row>
    <row r="1094" spans="8:10" x14ac:dyDescent="0.25">
      <c r="H1094" t="s">
        <v>45</v>
      </c>
      <c r="I1094" t="s">
        <v>25</v>
      </c>
    </row>
    <row r="1095" spans="8:10" x14ac:dyDescent="0.25">
      <c r="H1095" t="s">
        <v>15</v>
      </c>
      <c r="I1095" t="s">
        <v>7</v>
      </c>
      <c r="J1095" t="s">
        <v>16</v>
      </c>
    </row>
    <row r="1096" spans="8:10" x14ac:dyDescent="0.25">
      <c r="H1096" t="s">
        <v>15</v>
      </c>
      <c r="I1096" t="s">
        <v>7</v>
      </c>
      <c r="J1096" t="s">
        <v>16</v>
      </c>
    </row>
    <row r="1097" spans="8:10" x14ac:dyDescent="0.25">
      <c r="H1097" t="s">
        <v>6435</v>
      </c>
      <c r="I1097" t="s">
        <v>7</v>
      </c>
      <c r="J1097" t="s">
        <v>16</v>
      </c>
    </row>
    <row r="1098" spans="8:10" x14ac:dyDescent="0.25">
      <c r="H1098" t="s">
        <v>15</v>
      </c>
      <c r="I1098" t="s">
        <v>7</v>
      </c>
      <c r="J1098" t="s">
        <v>16</v>
      </c>
    </row>
    <row r="1099" spans="8:10" x14ac:dyDescent="0.25">
      <c r="H1099" t="s">
        <v>5406</v>
      </c>
      <c r="I1099" t="s">
        <v>7</v>
      </c>
      <c r="J1099" t="s">
        <v>16</v>
      </c>
    </row>
    <row r="1100" spans="8:10" x14ac:dyDescent="0.25">
      <c r="H1100" t="s">
        <v>17</v>
      </c>
      <c r="I1100" t="s">
        <v>16</v>
      </c>
    </row>
    <row r="1101" spans="8:10" x14ac:dyDescent="0.25">
      <c r="H1101" t="s">
        <v>17</v>
      </c>
      <c r="I1101" t="s">
        <v>16</v>
      </c>
    </row>
    <row r="1102" spans="8:10" x14ac:dyDescent="0.25">
      <c r="H1102" t="s">
        <v>5634</v>
      </c>
      <c r="I1102" t="s">
        <v>16</v>
      </c>
    </row>
    <row r="1103" spans="8:10" x14ac:dyDescent="0.25">
      <c r="H1103" t="s">
        <v>17</v>
      </c>
      <c r="I1103" t="s">
        <v>16</v>
      </c>
    </row>
    <row r="1104" spans="8:10" x14ac:dyDescent="0.25">
      <c r="H1104" t="s">
        <v>17</v>
      </c>
      <c r="I1104" t="s">
        <v>16</v>
      </c>
    </row>
    <row r="1105" spans="8:9" x14ac:dyDescent="0.25">
      <c r="H1105" t="s">
        <v>6881</v>
      </c>
      <c r="I1105" t="s">
        <v>20</v>
      </c>
    </row>
    <row r="1106" spans="8:9" x14ac:dyDescent="0.25">
      <c r="H1106" t="s">
        <v>22</v>
      </c>
      <c r="I1106" t="s">
        <v>20</v>
      </c>
    </row>
    <row r="1107" spans="8:9" x14ac:dyDescent="0.25">
      <c r="H1107" t="s">
        <v>6337</v>
      </c>
      <c r="I1107" t="s">
        <v>20</v>
      </c>
    </row>
    <row r="1108" spans="8:9" x14ac:dyDescent="0.25">
      <c r="H1108" t="s">
        <v>22</v>
      </c>
      <c r="I1108" t="s">
        <v>20</v>
      </c>
    </row>
    <row r="1109" spans="8:9" x14ac:dyDescent="0.25">
      <c r="H1109" t="s">
        <v>6337</v>
      </c>
      <c r="I1109" t="s">
        <v>20</v>
      </c>
    </row>
    <row r="1110" spans="8:9" x14ac:dyDescent="0.25">
      <c r="H1110" t="s">
        <v>22</v>
      </c>
      <c r="I1110" t="s">
        <v>20</v>
      </c>
    </row>
    <row r="1111" spans="8:9" x14ac:dyDescent="0.25">
      <c r="H1111" t="s">
        <v>22</v>
      </c>
      <c r="I1111" t="s">
        <v>20</v>
      </c>
    </row>
    <row r="1112" spans="8:9" x14ac:dyDescent="0.25">
      <c r="H1112" t="s">
        <v>6140</v>
      </c>
      <c r="I1112" t="s">
        <v>20</v>
      </c>
    </row>
    <row r="1113" spans="8:9" x14ac:dyDescent="0.25">
      <c r="H1113" t="s">
        <v>5432</v>
      </c>
      <c r="I1113" t="s">
        <v>20</v>
      </c>
    </row>
    <row r="1114" spans="8:9" x14ac:dyDescent="0.25">
      <c r="H1114" t="s">
        <v>22</v>
      </c>
      <c r="I1114" t="s">
        <v>20</v>
      </c>
    </row>
    <row r="1115" spans="8:9" x14ac:dyDescent="0.25">
      <c r="H1115" t="s">
        <v>5730</v>
      </c>
      <c r="I1115" t="s">
        <v>20</v>
      </c>
    </row>
    <row r="1116" spans="8:9" x14ac:dyDescent="0.25">
      <c r="H1116" t="s">
        <v>5662</v>
      </c>
      <c r="I1116" t="s">
        <v>20</v>
      </c>
    </row>
    <row r="1117" spans="8:9" x14ac:dyDescent="0.25">
      <c r="H1117" t="s">
        <v>22</v>
      </c>
      <c r="I1117" t="s">
        <v>20</v>
      </c>
    </row>
    <row r="1118" spans="8:9" x14ac:dyDescent="0.25">
      <c r="H1118" t="s">
        <v>5432</v>
      </c>
      <c r="I1118" t="s">
        <v>20</v>
      </c>
    </row>
    <row r="1119" spans="8:9" x14ac:dyDescent="0.25">
      <c r="H1119" t="s">
        <v>5419</v>
      </c>
      <c r="I1119" t="s">
        <v>20</v>
      </c>
    </row>
    <row r="1120" spans="8:9" x14ac:dyDescent="0.25">
      <c r="H1120" t="s">
        <v>5412</v>
      </c>
      <c r="I1120" t="s">
        <v>20</v>
      </c>
    </row>
    <row r="1121" spans="8:9" x14ac:dyDescent="0.25">
      <c r="H1121" t="s">
        <v>5280</v>
      </c>
      <c r="I1121" t="s">
        <v>20</v>
      </c>
    </row>
    <row r="1122" spans="8:9" x14ac:dyDescent="0.25">
      <c r="H1122" t="s">
        <v>22</v>
      </c>
      <c r="I1122" t="s">
        <v>20</v>
      </c>
    </row>
    <row r="1123" spans="8:9" x14ac:dyDescent="0.25">
      <c r="H1123" t="s">
        <v>123</v>
      </c>
      <c r="I1123" t="s">
        <v>26</v>
      </c>
    </row>
    <row r="1124" spans="8:9" x14ac:dyDescent="0.25">
      <c r="H1124" t="s">
        <v>123</v>
      </c>
      <c r="I1124" t="s">
        <v>26</v>
      </c>
    </row>
    <row r="1125" spans="8:9" x14ac:dyDescent="0.25">
      <c r="H1125" t="s">
        <v>123</v>
      </c>
      <c r="I1125" t="s">
        <v>26</v>
      </c>
    </row>
    <row r="1126" spans="8:9" x14ac:dyDescent="0.25">
      <c r="H1126" t="s">
        <v>6772</v>
      </c>
      <c r="I1126" t="s">
        <v>26</v>
      </c>
    </row>
    <row r="1127" spans="8:9" x14ac:dyDescent="0.25">
      <c r="H1127" t="s">
        <v>6763</v>
      </c>
      <c r="I1127" t="s">
        <v>26</v>
      </c>
    </row>
    <row r="1128" spans="8:9" x14ac:dyDescent="0.25">
      <c r="H1128" t="s">
        <v>123</v>
      </c>
      <c r="I1128" t="s">
        <v>26</v>
      </c>
    </row>
    <row r="1129" spans="8:9" x14ac:dyDescent="0.25">
      <c r="H1129" t="s">
        <v>123</v>
      </c>
      <c r="I1129" t="s">
        <v>26</v>
      </c>
    </row>
    <row r="1130" spans="8:9" x14ac:dyDescent="0.25">
      <c r="H1130" t="s">
        <v>123</v>
      </c>
      <c r="I1130" t="s">
        <v>26</v>
      </c>
    </row>
    <row r="1131" spans="8:9" x14ac:dyDescent="0.25">
      <c r="H1131" t="s">
        <v>6476</v>
      </c>
      <c r="I1131" t="s">
        <v>26</v>
      </c>
    </row>
    <row r="1132" spans="8:9" x14ac:dyDescent="0.25">
      <c r="H1132" t="s">
        <v>123</v>
      </c>
      <c r="I1132" t="s">
        <v>26</v>
      </c>
    </row>
    <row r="1133" spans="8:9" x14ac:dyDescent="0.25">
      <c r="H1133" t="s">
        <v>6395</v>
      </c>
      <c r="I1133" t="s">
        <v>26</v>
      </c>
    </row>
    <row r="1134" spans="8:9" x14ac:dyDescent="0.25">
      <c r="H1134" t="s">
        <v>123</v>
      </c>
      <c r="I1134" t="s">
        <v>26</v>
      </c>
    </row>
    <row r="1135" spans="8:9" x14ac:dyDescent="0.25">
      <c r="H1135" t="s">
        <v>6239</v>
      </c>
      <c r="I1135" t="s">
        <v>26</v>
      </c>
    </row>
    <row r="1136" spans="8:9" x14ac:dyDescent="0.25">
      <c r="H1136" t="s">
        <v>6175</v>
      </c>
      <c r="I1136" t="s">
        <v>26</v>
      </c>
    </row>
    <row r="1137" spans="8:9" x14ac:dyDescent="0.25">
      <c r="H1137" t="s">
        <v>123</v>
      </c>
      <c r="I1137" t="s">
        <v>26</v>
      </c>
    </row>
    <row r="1138" spans="8:9" x14ac:dyDescent="0.25">
      <c r="H1138" t="s">
        <v>123</v>
      </c>
      <c r="I1138" t="s">
        <v>26</v>
      </c>
    </row>
    <row r="1139" spans="8:9" x14ac:dyDescent="0.25">
      <c r="H1139" t="s">
        <v>6123</v>
      </c>
      <c r="I1139" t="s">
        <v>26</v>
      </c>
    </row>
    <row r="1140" spans="8:9" x14ac:dyDescent="0.25">
      <c r="H1140" t="s">
        <v>6118</v>
      </c>
      <c r="I1140" t="s">
        <v>26</v>
      </c>
    </row>
    <row r="1141" spans="8:9" x14ac:dyDescent="0.25">
      <c r="H1141" t="s">
        <v>6093</v>
      </c>
      <c r="I1141" t="s">
        <v>26</v>
      </c>
    </row>
    <row r="1142" spans="8:9" x14ac:dyDescent="0.25">
      <c r="H1142" t="s">
        <v>123</v>
      </c>
      <c r="I1142" t="s">
        <v>26</v>
      </c>
    </row>
    <row r="1143" spans="8:9" x14ac:dyDescent="0.25">
      <c r="H1143" t="s">
        <v>123</v>
      </c>
      <c r="I1143" t="s">
        <v>26</v>
      </c>
    </row>
    <row r="1144" spans="8:9" x14ac:dyDescent="0.25">
      <c r="H1144" t="s">
        <v>123</v>
      </c>
      <c r="I1144" t="s">
        <v>26</v>
      </c>
    </row>
    <row r="1145" spans="8:9" x14ac:dyDescent="0.25">
      <c r="H1145" t="s">
        <v>5804</v>
      </c>
      <c r="I1145" t="s">
        <v>26</v>
      </c>
    </row>
    <row r="1146" spans="8:9" x14ac:dyDescent="0.25">
      <c r="H1146" t="s">
        <v>5815</v>
      </c>
      <c r="I1146" t="s">
        <v>26</v>
      </c>
    </row>
    <row r="1147" spans="8:9" x14ac:dyDescent="0.25">
      <c r="H1147" t="s">
        <v>5804</v>
      </c>
      <c r="I1147" t="s">
        <v>26</v>
      </c>
    </row>
    <row r="1148" spans="8:9" x14ac:dyDescent="0.25">
      <c r="H1148" t="s">
        <v>5560</v>
      </c>
      <c r="I1148" t="s">
        <v>26</v>
      </c>
    </row>
    <row r="1149" spans="8:9" x14ac:dyDescent="0.25">
      <c r="H1149" t="s">
        <v>5533</v>
      </c>
      <c r="I1149" t="s">
        <v>26</v>
      </c>
    </row>
    <row r="1150" spans="8:9" x14ac:dyDescent="0.25">
      <c r="H1150" t="s">
        <v>123</v>
      </c>
      <c r="I1150" t="s">
        <v>26</v>
      </c>
    </row>
    <row r="1151" spans="8:9" x14ac:dyDescent="0.25">
      <c r="H1151" t="s">
        <v>5381</v>
      </c>
      <c r="I1151" t="s">
        <v>26</v>
      </c>
    </row>
    <row r="1152" spans="8:9" x14ac:dyDescent="0.25">
      <c r="H1152" t="s">
        <v>123</v>
      </c>
      <c r="I1152" t="s">
        <v>26</v>
      </c>
    </row>
    <row r="1153" spans="8:9" x14ac:dyDescent="0.25">
      <c r="H1153" t="s">
        <v>123</v>
      </c>
      <c r="I1153" t="s">
        <v>26</v>
      </c>
    </row>
    <row r="1154" spans="8:9" x14ac:dyDescent="0.25">
      <c r="H1154" t="s">
        <v>123</v>
      </c>
      <c r="I1154" t="s">
        <v>26</v>
      </c>
    </row>
    <row r="1155" spans="8:9" x14ac:dyDescent="0.25">
      <c r="H1155" t="s">
        <v>5301</v>
      </c>
      <c r="I1155" t="s">
        <v>26</v>
      </c>
    </row>
    <row r="1156" spans="8:9" x14ac:dyDescent="0.25">
      <c r="H1156" t="s">
        <v>5258</v>
      </c>
      <c r="I1156" t="s">
        <v>26</v>
      </c>
    </row>
    <row r="1157" spans="8:9" x14ac:dyDescent="0.25">
      <c r="H1157" t="s">
        <v>4438</v>
      </c>
      <c r="I1157" t="s">
        <v>4466</v>
      </c>
    </row>
    <row r="1158" spans="8:9" x14ac:dyDescent="0.25">
      <c r="H1158" t="s">
        <v>4438</v>
      </c>
      <c r="I1158" t="s">
        <v>4466</v>
      </c>
    </row>
    <row r="1159" spans="8:9" x14ac:dyDescent="0.25">
      <c r="H1159" t="s">
        <v>6727</v>
      </c>
      <c r="I1159" t="s">
        <v>4466</v>
      </c>
    </row>
    <row r="1160" spans="8:9" x14ac:dyDescent="0.25">
      <c r="H1160" t="s">
        <v>6657</v>
      </c>
      <c r="I1160" t="s">
        <v>4466</v>
      </c>
    </row>
    <row r="1161" spans="8:9" x14ac:dyDescent="0.25">
      <c r="H1161" t="s">
        <v>4438</v>
      </c>
      <c r="I1161" t="s">
        <v>4466</v>
      </c>
    </row>
    <row r="1162" spans="8:9" x14ac:dyDescent="0.25">
      <c r="H1162" t="s">
        <v>6352</v>
      </c>
      <c r="I1162" t="s">
        <v>4466</v>
      </c>
    </row>
    <row r="1163" spans="8:9" x14ac:dyDescent="0.25">
      <c r="H1163" t="s">
        <v>4438</v>
      </c>
      <c r="I1163" t="s">
        <v>4466</v>
      </c>
    </row>
    <row r="1164" spans="8:9" x14ac:dyDescent="0.25">
      <c r="H1164" t="s">
        <v>4438</v>
      </c>
      <c r="I1164" t="s">
        <v>4466</v>
      </c>
    </row>
    <row r="1165" spans="8:9" x14ac:dyDescent="0.25">
      <c r="H1165" t="s">
        <v>4438</v>
      </c>
      <c r="I1165" t="s">
        <v>4466</v>
      </c>
    </row>
    <row r="1166" spans="8:9" x14ac:dyDescent="0.25">
      <c r="H1166" t="s">
        <v>4438</v>
      </c>
      <c r="I1166" t="s">
        <v>4466</v>
      </c>
    </row>
    <row r="1167" spans="8:9" x14ac:dyDescent="0.25">
      <c r="H1167" t="s">
        <v>4438</v>
      </c>
      <c r="I1167" t="s">
        <v>4466</v>
      </c>
    </row>
    <row r="1168" spans="8:9" x14ac:dyDescent="0.25">
      <c r="H1168" t="s">
        <v>4438</v>
      </c>
      <c r="I1168" t="s">
        <v>4466</v>
      </c>
    </row>
    <row r="1169" spans="8:9" x14ac:dyDescent="0.25">
      <c r="H1169" t="s">
        <v>4438</v>
      </c>
      <c r="I1169" t="s">
        <v>4466</v>
      </c>
    </row>
    <row r="1170" spans="8:9" x14ac:dyDescent="0.25">
      <c r="H1170" t="s">
        <v>4438</v>
      </c>
      <c r="I1170" t="s">
        <v>4466</v>
      </c>
    </row>
    <row r="1171" spans="8:9" x14ac:dyDescent="0.25">
      <c r="H1171" t="s">
        <v>5828</v>
      </c>
      <c r="I1171" t="s">
        <v>4466</v>
      </c>
    </row>
    <row r="1172" spans="8:9" x14ac:dyDescent="0.25">
      <c r="H1172" t="s">
        <v>4438</v>
      </c>
      <c r="I1172" t="s">
        <v>4466</v>
      </c>
    </row>
    <row r="1173" spans="8:9" x14ac:dyDescent="0.25">
      <c r="H1173" t="s">
        <v>4438</v>
      </c>
      <c r="I1173" t="s">
        <v>4466</v>
      </c>
    </row>
    <row r="1174" spans="8:9" x14ac:dyDescent="0.25">
      <c r="H1174" t="s">
        <v>4438</v>
      </c>
      <c r="I1174" t="s">
        <v>4466</v>
      </c>
    </row>
    <row r="1175" spans="8:9" x14ac:dyDescent="0.25">
      <c r="H1175" t="s">
        <v>4438</v>
      </c>
      <c r="I1175" t="s">
        <v>4466</v>
      </c>
    </row>
    <row r="1176" spans="8:9" x14ac:dyDescent="0.25">
      <c r="H1176" t="s">
        <v>5554</v>
      </c>
      <c r="I1176" t="s">
        <v>4466</v>
      </c>
    </row>
    <row r="1177" spans="8:9" x14ac:dyDescent="0.25">
      <c r="H1177" t="s">
        <v>4438</v>
      </c>
      <c r="I1177" t="s">
        <v>4466</v>
      </c>
    </row>
    <row r="1178" spans="8:9" x14ac:dyDescent="0.25">
      <c r="H1178" t="s">
        <v>4438</v>
      </c>
      <c r="I1178" t="s">
        <v>4466</v>
      </c>
    </row>
    <row r="1179" spans="8:9" x14ac:dyDescent="0.25">
      <c r="H1179" t="s">
        <v>6479</v>
      </c>
      <c r="I1179" t="s">
        <v>27</v>
      </c>
    </row>
    <row r="1180" spans="8:9" x14ac:dyDescent="0.25">
      <c r="H1180" t="s">
        <v>5363</v>
      </c>
      <c r="I1180" t="s">
        <v>27</v>
      </c>
    </row>
    <row r="1181" spans="8:9" x14ac:dyDescent="0.25">
      <c r="H1181" t="s">
        <v>6202</v>
      </c>
      <c r="I1181" t="s">
        <v>27</v>
      </c>
    </row>
    <row r="1182" spans="8:9" x14ac:dyDescent="0.25">
      <c r="H1182" t="s">
        <v>6127</v>
      </c>
      <c r="I1182" t="s">
        <v>27</v>
      </c>
    </row>
    <row r="1183" spans="8:9" x14ac:dyDescent="0.25">
      <c r="H1183" t="s">
        <v>6097</v>
      </c>
      <c r="I1183" t="s">
        <v>27</v>
      </c>
    </row>
    <row r="1184" spans="8:9" x14ac:dyDescent="0.25">
      <c r="H1184" t="s">
        <v>5840</v>
      </c>
      <c r="I1184" t="s">
        <v>27</v>
      </c>
    </row>
    <row r="1185" spans="8:9" x14ac:dyDescent="0.25">
      <c r="H1185" t="s">
        <v>5500</v>
      </c>
      <c r="I1185" t="s">
        <v>27</v>
      </c>
    </row>
    <row r="1186" spans="8:9" x14ac:dyDescent="0.25">
      <c r="H1186" t="s">
        <v>5500</v>
      </c>
      <c r="I1186" t="s">
        <v>27</v>
      </c>
    </row>
    <row r="1187" spans="8:9" x14ac:dyDescent="0.25">
      <c r="H1187" t="s">
        <v>5440</v>
      </c>
      <c r="I1187" t="s">
        <v>27</v>
      </c>
    </row>
    <row r="1188" spans="8:9" x14ac:dyDescent="0.25">
      <c r="H1188" t="s">
        <v>5363</v>
      </c>
      <c r="I1188" t="s">
        <v>27</v>
      </c>
    </row>
    <row r="1189" spans="8:9" x14ac:dyDescent="0.25">
      <c r="H1189" t="s">
        <v>5330</v>
      </c>
      <c r="I1189" t="s">
        <v>27</v>
      </c>
    </row>
    <row r="1190" spans="8:9" x14ac:dyDescent="0.25">
      <c r="H1190" t="s">
        <v>6823</v>
      </c>
      <c r="I1190" t="s">
        <v>28</v>
      </c>
    </row>
    <row r="1191" spans="8:9" x14ac:dyDescent="0.25">
      <c r="H1191" t="s">
        <v>6583</v>
      </c>
      <c r="I1191" t="s">
        <v>28</v>
      </c>
    </row>
    <row r="1192" spans="8:9" x14ac:dyDescent="0.25">
      <c r="H1192" t="s">
        <v>6211</v>
      </c>
      <c r="I1192" t="s">
        <v>28</v>
      </c>
    </row>
    <row r="1193" spans="8:9" x14ac:dyDescent="0.25">
      <c r="H1193" t="s">
        <v>6622</v>
      </c>
      <c r="I1193" t="s">
        <v>28</v>
      </c>
    </row>
    <row r="1194" spans="8:9" x14ac:dyDescent="0.25">
      <c r="H1194" t="s">
        <v>6258</v>
      </c>
      <c r="I1194" t="s">
        <v>28</v>
      </c>
    </row>
    <row r="1195" spans="8:9" x14ac:dyDescent="0.25">
      <c r="H1195" t="s">
        <v>6211</v>
      </c>
      <c r="I1195" t="s">
        <v>28</v>
      </c>
    </row>
    <row r="1196" spans="8:9" x14ac:dyDescent="0.25">
      <c r="H1196" t="s">
        <v>6133</v>
      </c>
      <c r="I1196" t="s">
        <v>28</v>
      </c>
    </row>
    <row r="1197" spans="8:9" x14ac:dyDescent="0.25">
      <c r="H1197" t="s">
        <v>5686</v>
      </c>
      <c r="I1197" t="s">
        <v>28</v>
      </c>
    </row>
    <row r="1198" spans="8:9" x14ac:dyDescent="0.25">
      <c r="H1198" t="s">
        <v>44</v>
      </c>
      <c r="I1198" t="s">
        <v>29</v>
      </c>
    </row>
    <row r="1199" spans="8:9" x14ac:dyDescent="0.25">
      <c r="H1199" t="s">
        <v>6415</v>
      </c>
      <c r="I1199" t="s">
        <v>29</v>
      </c>
    </row>
    <row r="1200" spans="8:9" x14ac:dyDescent="0.25">
      <c r="H1200" t="s">
        <v>44</v>
      </c>
      <c r="I1200" t="s">
        <v>29</v>
      </c>
    </row>
    <row r="1201" spans="8:9" x14ac:dyDescent="0.25">
      <c r="H1201" t="s">
        <v>44</v>
      </c>
      <c r="I1201" t="s">
        <v>29</v>
      </c>
    </row>
    <row r="1202" spans="8:9" x14ac:dyDescent="0.25">
      <c r="H1202" t="s">
        <v>44</v>
      </c>
      <c r="I1202" t="s">
        <v>29</v>
      </c>
    </row>
    <row r="1203" spans="8:9" x14ac:dyDescent="0.25">
      <c r="H1203" t="s">
        <v>44</v>
      </c>
      <c r="I1203" t="s">
        <v>29</v>
      </c>
    </row>
    <row r="1204" spans="8:9" x14ac:dyDescent="0.25">
      <c r="H1204" t="s">
        <v>5651</v>
      </c>
      <c r="I1204" t="s">
        <v>29</v>
      </c>
    </row>
    <row r="1205" spans="8:9" x14ac:dyDescent="0.25">
      <c r="H1205" t="s">
        <v>5651</v>
      </c>
      <c r="I1205" t="s">
        <v>29</v>
      </c>
    </row>
    <row r="1206" spans="8:9" x14ac:dyDescent="0.25">
      <c r="H1206" t="s">
        <v>5647</v>
      </c>
      <c r="I1206" t="s">
        <v>29</v>
      </c>
    </row>
    <row r="1207" spans="8:9" x14ac:dyDescent="0.25">
      <c r="H1207" t="s">
        <v>5451</v>
      </c>
      <c r="I1207" t="s">
        <v>29</v>
      </c>
    </row>
    <row r="1208" spans="8:9" x14ac:dyDescent="0.25">
      <c r="H1208" t="s">
        <v>5288</v>
      </c>
      <c r="I1208" t="s">
        <v>29</v>
      </c>
    </row>
    <row r="1209" spans="8:9" x14ac:dyDescent="0.25">
      <c r="H1209" t="s">
        <v>6817</v>
      </c>
      <c r="I1209" t="s">
        <v>274</v>
      </c>
    </row>
    <row r="1210" spans="8:9" x14ac:dyDescent="0.25">
      <c r="H1210" t="s">
        <v>6721</v>
      </c>
      <c r="I1210" t="s">
        <v>274</v>
      </c>
    </row>
    <row r="1211" spans="8:9" x14ac:dyDescent="0.25">
      <c r="H1211" t="s">
        <v>273</v>
      </c>
      <c r="I1211" t="s">
        <v>274</v>
      </c>
    </row>
    <row r="1212" spans="8:9" x14ac:dyDescent="0.25">
      <c r="H1212" t="s">
        <v>5387</v>
      </c>
      <c r="I1212" t="s">
        <v>274</v>
      </c>
    </row>
    <row r="1213" spans="8:9" x14ac:dyDescent="0.25">
      <c r="H1213" t="s">
        <v>6472</v>
      </c>
      <c r="I1213" t="s">
        <v>274</v>
      </c>
    </row>
    <row r="1214" spans="8:9" x14ac:dyDescent="0.25">
      <c r="H1214" t="s">
        <v>6420</v>
      </c>
      <c r="I1214" t="s">
        <v>274</v>
      </c>
    </row>
    <row r="1215" spans="8:9" x14ac:dyDescent="0.25">
      <c r="H1215" t="s">
        <v>6420</v>
      </c>
      <c r="I1215" t="s">
        <v>274</v>
      </c>
    </row>
    <row r="1216" spans="8:9" x14ac:dyDescent="0.25">
      <c r="H1216" t="s">
        <v>273</v>
      </c>
      <c r="I1216" t="s">
        <v>274</v>
      </c>
    </row>
    <row r="1217" spans="8:9" x14ac:dyDescent="0.25">
      <c r="H1217" t="s">
        <v>6067</v>
      </c>
      <c r="I1217" t="s">
        <v>274</v>
      </c>
    </row>
    <row r="1218" spans="8:9" x14ac:dyDescent="0.25">
      <c r="H1218" t="s">
        <v>5697</v>
      </c>
      <c r="I1218" t="s">
        <v>274</v>
      </c>
    </row>
    <row r="1219" spans="8:9" x14ac:dyDescent="0.25">
      <c r="H1219" t="s">
        <v>6067</v>
      </c>
      <c r="I1219" t="s">
        <v>274</v>
      </c>
    </row>
    <row r="1220" spans="8:9" x14ac:dyDescent="0.25">
      <c r="H1220" t="s">
        <v>5738</v>
      </c>
      <c r="I1220" t="s">
        <v>274</v>
      </c>
    </row>
    <row r="1221" spans="8:9" x14ac:dyDescent="0.25">
      <c r="H1221" t="s">
        <v>5697</v>
      </c>
      <c r="I1221" t="s">
        <v>274</v>
      </c>
    </row>
    <row r="1222" spans="8:9" x14ac:dyDescent="0.25">
      <c r="H1222" t="s">
        <v>5584</v>
      </c>
      <c r="I1222" t="s">
        <v>274</v>
      </c>
    </row>
    <row r="1223" spans="8:9" x14ac:dyDescent="0.25">
      <c r="H1223" t="s">
        <v>5387</v>
      </c>
      <c r="I1223" t="s">
        <v>274</v>
      </c>
    </row>
    <row r="1224" spans="8:9" x14ac:dyDescent="0.25">
      <c r="H1224" t="s">
        <v>5248</v>
      </c>
      <c r="I1224" t="s">
        <v>274</v>
      </c>
    </row>
    <row r="1225" spans="8:9" x14ac:dyDescent="0.25">
      <c r="H1225" t="s">
        <v>276</v>
      </c>
      <c r="I1225" t="s">
        <v>277</v>
      </c>
    </row>
    <row r="1226" spans="8:9" x14ac:dyDescent="0.25">
      <c r="H1226" t="s">
        <v>276</v>
      </c>
      <c r="I1226" t="s">
        <v>277</v>
      </c>
    </row>
    <row r="1227" spans="8:9" x14ac:dyDescent="0.25">
      <c r="H1227" t="s">
        <v>276</v>
      </c>
      <c r="I1227" t="s">
        <v>277</v>
      </c>
    </row>
    <row r="1228" spans="8:9" x14ac:dyDescent="0.25">
      <c r="H1228" t="s">
        <v>276</v>
      </c>
      <c r="I1228" t="s">
        <v>277</v>
      </c>
    </row>
    <row r="1229" spans="8:9" x14ac:dyDescent="0.25">
      <c r="H1229" t="s">
        <v>276</v>
      </c>
      <c r="I1229" t="s">
        <v>277</v>
      </c>
    </row>
    <row r="1230" spans="8:9" x14ac:dyDescent="0.25">
      <c r="H1230" t="s">
        <v>6207</v>
      </c>
      <c r="I1230" t="s">
        <v>277</v>
      </c>
    </row>
    <row r="1231" spans="8:9" x14ac:dyDescent="0.25">
      <c r="H1231" t="s">
        <v>276</v>
      </c>
      <c r="I1231" t="s">
        <v>277</v>
      </c>
    </row>
    <row r="1232" spans="8:9" x14ac:dyDescent="0.25">
      <c r="H1232" t="s">
        <v>276</v>
      </c>
      <c r="I1232" t="s">
        <v>277</v>
      </c>
    </row>
    <row r="1233" spans="8:9" x14ac:dyDescent="0.25">
      <c r="H1233" t="s">
        <v>276</v>
      </c>
      <c r="I1233" t="s">
        <v>277</v>
      </c>
    </row>
    <row r="1234" spans="8:9" x14ac:dyDescent="0.25">
      <c r="H1234" t="s">
        <v>276</v>
      </c>
      <c r="I1234" t="s">
        <v>277</v>
      </c>
    </row>
    <row r="1235" spans="8:9" x14ac:dyDescent="0.25">
      <c r="H1235" t="s">
        <v>6015</v>
      </c>
      <c r="I1235" t="s">
        <v>277</v>
      </c>
    </row>
    <row r="1236" spans="8:9" x14ac:dyDescent="0.25">
      <c r="H1236" t="s">
        <v>276</v>
      </c>
      <c r="I1236" t="s">
        <v>277</v>
      </c>
    </row>
    <row r="1237" spans="8:9" x14ac:dyDescent="0.25">
      <c r="H1237" t="s">
        <v>276</v>
      </c>
      <c r="I1237" t="s">
        <v>277</v>
      </c>
    </row>
    <row r="1238" spans="8:9" x14ac:dyDescent="0.25">
      <c r="H1238" t="s">
        <v>276</v>
      </c>
      <c r="I1238" t="s">
        <v>277</v>
      </c>
    </row>
    <row r="1239" spans="8:9" x14ac:dyDescent="0.25">
      <c r="H1239" t="s">
        <v>276</v>
      </c>
      <c r="I1239" t="s">
        <v>277</v>
      </c>
    </row>
    <row r="1240" spans="8:9" x14ac:dyDescent="0.25">
      <c r="H1240" t="s">
        <v>276</v>
      </c>
      <c r="I1240" t="s">
        <v>277</v>
      </c>
    </row>
    <row r="1241" spans="8:9" x14ac:dyDescent="0.25">
      <c r="H1241" t="s">
        <v>276</v>
      </c>
      <c r="I1241" t="s">
        <v>277</v>
      </c>
    </row>
    <row r="1242" spans="8:9" x14ac:dyDescent="0.25">
      <c r="H1242" t="s">
        <v>276</v>
      </c>
      <c r="I1242" t="s">
        <v>277</v>
      </c>
    </row>
    <row r="1243" spans="8:9" x14ac:dyDescent="0.25">
      <c r="H1243" t="s">
        <v>276</v>
      </c>
      <c r="I1243" t="s">
        <v>277</v>
      </c>
    </row>
    <row r="1244" spans="8:9" x14ac:dyDescent="0.25">
      <c r="H1244" t="s">
        <v>276</v>
      </c>
      <c r="I1244" t="s">
        <v>277</v>
      </c>
    </row>
    <row r="1245" spans="8:9" x14ac:dyDescent="0.25">
      <c r="H1245" t="s">
        <v>276</v>
      </c>
      <c r="I1245" t="s">
        <v>277</v>
      </c>
    </row>
    <row r="1246" spans="8:9" x14ac:dyDescent="0.25">
      <c r="H1246" t="s">
        <v>5503</v>
      </c>
      <c r="I1246" t="s">
        <v>277</v>
      </c>
    </row>
    <row r="1247" spans="8:9" x14ac:dyDescent="0.25">
      <c r="H1247" t="s">
        <v>276</v>
      </c>
      <c r="I1247" t="s">
        <v>277</v>
      </c>
    </row>
    <row r="1248" spans="8:9" x14ac:dyDescent="0.25">
      <c r="H1248" t="s">
        <v>276</v>
      </c>
      <c r="I1248" t="s">
        <v>277</v>
      </c>
    </row>
    <row r="1249" spans="8:9" x14ac:dyDescent="0.25">
      <c r="H1249" t="s">
        <v>276</v>
      </c>
      <c r="I1249" t="s">
        <v>277</v>
      </c>
    </row>
    <row r="1250" spans="8:9" x14ac:dyDescent="0.25">
      <c r="H1250" t="s">
        <v>6790</v>
      </c>
      <c r="I1250" t="s">
        <v>279</v>
      </c>
    </row>
    <row r="1251" spans="8:9" x14ac:dyDescent="0.25">
      <c r="H1251" t="s">
        <v>6734</v>
      </c>
      <c r="I1251" t="s">
        <v>279</v>
      </c>
    </row>
    <row r="1252" spans="8:9" x14ac:dyDescent="0.25">
      <c r="H1252" t="s">
        <v>278</v>
      </c>
      <c r="I1252" t="s">
        <v>279</v>
      </c>
    </row>
    <row r="1253" spans="8:9" x14ac:dyDescent="0.25">
      <c r="H1253" t="s">
        <v>278</v>
      </c>
      <c r="I1253" t="s">
        <v>279</v>
      </c>
    </row>
    <row r="1254" spans="8:9" x14ac:dyDescent="0.25">
      <c r="H1254" t="s">
        <v>278</v>
      </c>
      <c r="I1254" t="s">
        <v>279</v>
      </c>
    </row>
    <row r="1255" spans="8:9" x14ac:dyDescent="0.25">
      <c r="H1255" t="s">
        <v>278</v>
      </c>
      <c r="I1255" t="s">
        <v>279</v>
      </c>
    </row>
    <row r="1256" spans="8:9" x14ac:dyDescent="0.25">
      <c r="H1256" t="s">
        <v>278</v>
      </c>
      <c r="I1256" t="s">
        <v>279</v>
      </c>
    </row>
    <row r="1257" spans="8:9" x14ac:dyDescent="0.25">
      <c r="H1257" t="s">
        <v>278</v>
      </c>
      <c r="I1257" t="s">
        <v>279</v>
      </c>
    </row>
    <row r="1258" spans="8:9" x14ac:dyDescent="0.25">
      <c r="H1258" t="s">
        <v>278</v>
      </c>
      <c r="I1258" t="s">
        <v>279</v>
      </c>
    </row>
    <row r="1259" spans="8:9" x14ac:dyDescent="0.25">
      <c r="H1259" t="s">
        <v>5753</v>
      </c>
      <c r="I1259" t="s">
        <v>279</v>
      </c>
    </row>
    <row r="1260" spans="8:9" x14ac:dyDescent="0.25">
      <c r="H1260" t="s">
        <v>6300</v>
      </c>
      <c r="I1260" t="s">
        <v>279</v>
      </c>
    </row>
    <row r="1261" spans="8:9" x14ac:dyDescent="0.25">
      <c r="H1261" t="s">
        <v>278</v>
      </c>
      <c r="I1261" t="s">
        <v>279</v>
      </c>
    </row>
    <row r="1262" spans="8:9" x14ac:dyDescent="0.25">
      <c r="H1262" t="s">
        <v>6200</v>
      </c>
      <c r="I1262" t="s">
        <v>279</v>
      </c>
    </row>
    <row r="1263" spans="8:9" x14ac:dyDescent="0.25">
      <c r="H1263" t="s">
        <v>273</v>
      </c>
      <c r="I1263" t="s">
        <v>279</v>
      </c>
    </row>
    <row r="1264" spans="8:9" x14ac:dyDescent="0.25">
      <c r="H1264" t="s">
        <v>6031</v>
      </c>
      <c r="I1264" t="s">
        <v>279</v>
      </c>
    </row>
    <row r="1265" spans="8:9" x14ac:dyDescent="0.25">
      <c r="H1265" t="s">
        <v>6014</v>
      </c>
      <c r="I1265" t="s">
        <v>279</v>
      </c>
    </row>
    <row r="1266" spans="8:9" x14ac:dyDescent="0.25">
      <c r="H1266" t="s">
        <v>278</v>
      </c>
      <c r="I1266" t="s">
        <v>279</v>
      </c>
    </row>
    <row r="1267" spans="8:9" x14ac:dyDescent="0.25">
      <c r="H1267" t="s">
        <v>5795</v>
      </c>
      <c r="I1267" t="s">
        <v>279</v>
      </c>
    </row>
    <row r="1268" spans="8:9" x14ac:dyDescent="0.25">
      <c r="H1268" t="s">
        <v>278</v>
      </c>
      <c r="I1268" t="s">
        <v>279</v>
      </c>
    </row>
    <row r="1269" spans="8:9" x14ac:dyDescent="0.25">
      <c r="H1269" t="s">
        <v>5762</v>
      </c>
      <c r="I1269" t="s">
        <v>279</v>
      </c>
    </row>
    <row r="1270" spans="8:9" x14ac:dyDescent="0.25">
      <c r="H1270" t="s">
        <v>5753</v>
      </c>
      <c r="I1270" t="s">
        <v>279</v>
      </c>
    </row>
    <row r="1271" spans="8:9" x14ac:dyDescent="0.25">
      <c r="H1271" t="s">
        <v>5752</v>
      </c>
      <c r="I1271" t="s">
        <v>279</v>
      </c>
    </row>
    <row r="1272" spans="8:9" x14ac:dyDescent="0.25">
      <c r="H1272" t="s">
        <v>278</v>
      </c>
      <c r="I1272" t="s">
        <v>279</v>
      </c>
    </row>
    <row r="1273" spans="8:9" x14ac:dyDescent="0.25">
      <c r="H1273" t="s">
        <v>278</v>
      </c>
      <c r="I1273" t="s">
        <v>279</v>
      </c>
    </row>
    <row r="1274" spans="8:9" x14ac:dyDescent="0.25">
      <c r="H1274" t="s">
        <v>5680</v>
      </c>
      <c r="I1274" t="s">
        <v>279</v>
      </c>
    </row>
    <row r="1275" spans="8:9" x14ac:dyDescent="0.25">
      <c r="H1275" t="s">
        <v>5643</v>
      </c>
      <c r="I1275" t="s">
        <v>279</v>
      </c>
    </row>
    <row r="1276" spans="8:9" x14ac:dyDescent="0.25">
      <c r="H1276" t="s">
        <v>278</v>
      </c>
      <c r="I1276" t="s">
        <v>279</v>
      </c>
    </row>
    <row r="1277" spans="8:9" x14ac:dyDescent="0.25">
      <c r="H1277" t="s">
        <v>5612</v>
      </c>
      <c r="I1277" t="s">
        <v>279</v>
      </c>
    </row>
    <row r="1278" spans="8:9" x14ac:dyDescent="0.25">
      <c r="H1278" t="s">
        <v>5588</v>
      </c>
      <c r="I1278" t="s">
        <v>279</v>
      </c>
    </row>
    <row r="1279" spans="8:9" x14ac:dyDescent="0.25">
      <c r="H1279" t="s">
        <v>278</v>
      </c>
      <c r="I1279" t="s">
        <v>279</v>
      </c>
    </row>
    <row r="1280" spans="8:9" x14ac:dyDescent="0.25">
      <c r="H1280" t="s">
        <v>5306</v>
      </c>
      <c r="I1280" t="s">
        <v>279</v>
      </c>
    </row>
    <row r="1281" spans="8:9" x14ac:dyDescent="0.25">
      <c r="H1281" t="s">
        <v>278</v>
      </c>
      <c r="I1281" t="s">
        <v>279</v>
      </c>
    </row>
    <row r="1282" spans="8:9" x14ac:dyDescent="0.25">
      <c r="H1282" t="s">
        <v>280</v>
      </c>
      <c r="I1282" t="s">
        <v>281</v>
      </c>
    </row>
    <row r="1283" spans="8:9" x14ac:dyDescent="0.25">
      <c r="H1283" t="s">
        <v>280</v>
      </c>
      <c r="I1283" t="s">
        <v>281</v>
      </c>
    </row>
    <row r="1284" spans="8:9" x14ac:dyDescent="0.25">
      <c r="H1284" t="s">
        <v>280</v>
      </c>
      <c r="I1284" t="s">
        <v>281</v>
      </c>
    </row>
    <row r="1285" spans="8:9" x14ac:dyDescent="0.25">
      <c r="H1285" t="s">
        <v>280</v>
      </c>
      <c r="I1285" t="s">
        <v>281</v>
      </c>
    </row>
    <row r="1286" spans="8:9" x14ac:dyDescent="0.25">
      <c r="H1286" t="s">
        <v>280</v>
      </c>
      <c r="I1286" t="s">
        <v>281</v>
      </c>
    </row>
    <row r="1287" spans="8:9" x14ac:dyDescent="0.25">
      <c r="H1287" t="s">
        <v>280</v>
      </c>
      <c r="I1287" t="s">
        <v>281</v>
      </c>
    </row>
    <row r="1288" spans="8:9" x14ac:dyDescent="0.25">
      <c r="H1288" t="s">
        <v>280</v>
      </c>
      <c r="I1288" t="s">
        <v>281</v>
      </c>
    </row>
    <row r="1289" spans="8:9" x14ac:dyDescent="0.25">
      <c r="H1289" t="s">
        <v>280</v>
      </c>
      <c r="I1289" t="s">
        <v>281</v>
      </c>
    </row>
    <row r="1290" spans="8:9" x14ac:dyDescent="0.25">
      <c r="H1290" t="s">
        <v>280</v>
      </c>
      <c r="I1290" t="s">
        <v>281</v>
      </c>
    </row>
    <row r="1291" spans="8:9" x14ac:dyDescent="0.25">
      <c r="H1291" t="s">
        <v>280</v>
      </c>
      <c r="I1291" t="s">
        <v>281</v>
      </c>
    </row>
    <row r="1292" spans="8:9" x14ac:dyDescent="0.25">
      <c r="H1292" t="s">
        <v>280</v>
      </c>
      <c r="I1292" t="s">
        <v>281</v>
      </c>
    </row>
    <row r="1293" spans="8:9" x14ac:dyDescent="0.25">
      <c r="H1293" t="s">
        <v>280</v>
      </c>
      <c r="I1293" t="s">
        <v>281</v>
      </c>
    </row>
    <row r="1294" spans="8:9" x14ac:dyDescent="0.25">
      <c r="H1294" t="s">
        <v>280</v>
      </c>
      <c r="I1294" t="s">
        <v>281</v>
      </c>
    </row>
    <row r="1295" spans="8:9" x14ac:dyDescent="0.25">
      <c r="H1295" t="s">
        <v>280</v>
      </c>
      <c r="I1295" t="s">
        <v>281</v>
      </c>
    </row>
    <row r="1296" spans="8:9" x14ac:dyDescent="0.25">
      <c r="H1296" t="s">
        <v>280</v>
      </c>
      <c r="I1296" t="s">
        <v>281</v>
      </c>
    </row>
    <row r="1297" spans="8:9" x14ac:dyDescent="0.25">
      <c r="H1297" t="s">
        <v>280</v>
      </c>
      <c r="I1297" t="s">
        <v>281</v>
      </c>
    </row>
    <row r="1298" spans="8:9" x14ac:dyDescent="0.25">
      <c r="H1298" t="s">
        <v>280</v>
      </c>
      <c r="I1298" t="s">
        <v>281</v>
      </c>
    </row>
    <row r="1299" spans="8:9" x14ac:dyDescent="0.25">
      <c r="H1299" t="s">
        <v>280</v>
      </c>
      <c r="I1299" t="s">
        <v>281</v>
      </c>
    </row>
    <row r="1300" spans="8:9" x14ac:dyDescent="0.25">
      <c r="H1300" t="s">
        <v>280</v>
      </c>
      <c r="I1300" t="s">
        <v>281</v>
      </c>
    </row>
    <row r="1301" spans="8:9" x14ac:dyDescent="0.25">
      <c r="H1301" t="s">
        <v>280</v>
      </c>
      <c r="I1301" t="s">
        <v>281</v>
      </c>
    </row>
    <row r="1302" spans="8:9" x14ac:dyDescent="0.25">
      <c r="H1302" t="s">
        <v>280</v>
      </c>
      <c r="I1302" t="s">
        <v>281</v>
      </c>
    </row>
    <row r="1303" spans="8:9" x14ac:dyDescent="0.25">
      <c r="H1303" t="s">
        <v>280</v>
      </c>
      <c r="I1303" t="s">
        <v>281</v>
      </c>
    </row>
    <row r="1304" spans="8:9" x14ac:dyDescent="0.25">
      <c r="H1304" t="s">
        <v>280</v>
      </c>
      <c r="I1304" t="s">
        <v>281</v>
      </c>
    </row>
    <row r="1305" spans="8:9" x14ac:dyDescent="0.25">
      <c r="H1305" t="s">
        <v>280</v>
      </c>
      <c r="I1305" t="s">
        <v>281</v>
      </c>
    </row>
    <row r="1306" spans="8:9" x14ac:dyDescent="0.25">
      <c r="H1306" t="s">
        <v>280</v>
      </c>
      <c r="I1306" t="s">
        <v>281</v>
      </c>
    </row>
    <row r="1307" spans="8:9" x14ac:dyDescent="0.25">
      <c r="H1307" t="s">
        <v>280</v>
      </c>
      <c r="I1307" t="s">
        <v>281</v>
      </c>
    </row>
    <row r="1308" spans="8:9" x14ac:dyDescent="0.25">
      <c r="H1308" t="s">
        <v>280</v>
      </c>
      <c r="I1308" t="s">
        <v>281</v>
      </c>
    </row>
    <row r="1309" spans="8:9" x14ac:dyDescent="0.25">
      <c r="H1309" t="s">
        <v>280</v>
      </c>
      <c r="I1309" t="s">
        <v>281</v>
      </c>
    </row>
    <row r="1310" spans="8:9" x14ac:dyDescent="0.25">
      <c r="H1310" t="s">
        <v>280</v>
      </c>
      <c r="I1310" t="s">
        <v>281</v>
      </c>
    </row>
    <row r="1311" spans="8:9" x14ac:dyDescent="0.25">
      <c r="H1311" t="s">
        <v>280</v>
      </c>
      <c r="I1311" t="s">
        <v>281</v>
      </c>
    </row>
    <row r="1312" spans="8:9" x14ac:dyDescent="0.25">
      <c r="H1312" t="s">
        <v>280</v>
      </c>
      <c r="I1312" t="s">
        <v>281</v>
      </c>
    </row>
    <row r="1313" spans="8:9" x14ac:dyDescent="0.25">
      <c r="H1313" t="s">
        <v>280</v>
      </c>
      <c r="I1313" t="s">
        <v>281</v>
      </c>
    </row>
    <row r="1314" spans="8:9" x14ac:dyDescent="0.25">
      <c r="H1314" t="s">
        <v>6830</v>
      </c>
      <c r="I1314" t="s">
        <v>284</v>
      </c>
    </row>
    <row r="1315" spans="8:9" x14ac:dyDescent="0.25">
      <c r="H1315" t="s">
        <v>283</v>
      </c>
      <c r="I1315" t="s">
        <v>284</v>
      </c>
    </row>
    <row r="1316" spans="8:9" x14ac:dyDescent="0.25">
      <c r="H1316" t="s">
        <v>283</v>
      </c>
      <c r="I1316" t="s">
        <v>284</v>
      </c>
    </row>
    <row r="1317" spans="8:9" x14ac:dyDescent="0.25">
      <c r="H1317" t="s">
        <v>6459</v>
      </c>
      <c r="I1317" t="s">
        <v>284</v>
      </c>
    </row>
    <row r="1318" spans="8:9" x14ac:dyDescent="0.25">
      <c r="H1318" t="s">
        <v>283</v>
      </c>
      <c r="I1318" t="s">
        <v>284</v>
      </c>
    </row>
    <row r="1319" spans="8:9" x14ac:dyDescent="0.25">
      <c r="H1319" t="s">
        <v>6469</v>
      </c>
      <c r="I1319" t="s">
        <v>284</v>
      </c>
    </row>
    <row r="1320" spans="8:9" x14ac:dyDescent="0.25">
      <c r="H1320" t="s">
        <v>6459</v>
      </c>
      <c r="I1320" t="s">
        <v>284</v>
      </c>
    </row>
    <row r="1321" spans="8:9" x14ac:dyDescent="0.25">
      <c r="H1321" t="s">
        <v>283</v>
      </c>
      <c r="I1321" t="s">
        <v>284</v>
      </c>
    </row>
    <row r="1322" spans="8:9" x14ac:dyDescent="0.25">
      <c r="H1322" t="s">
        <v>6156</v>
      </c>
      <c r="I1322" t="s">
        <v>284</v>
      </c>
    </row>
    <row r="1323" spans="8:9" x14ac:dyDescent="0.25">
      <c r="H1323" t="s">
        <v>283</v>
      </c>
      <c r="I1323" t="s">
        <v>284</v>
      </c>
    </row>
    <row r="1324" spans="8:9" x14ac:dyDescent="0.25">
      <c r="H1324" t="s">
        <v>6002</v>
      </c>
      <c r="I1324" t="s">
        <v>284</v>
      </c>
    </row>
    <row r="1325" spans="8:9" x14ac:dyDescent="0.25">
      <c r="H1325" t="s">
        <v>6002</v>
      </c>
      <c r="I1325" t="s">
        <v>284</v>
      </c>
    </row>
    <row r="1326" spans="8:9" x14ac:dyDescent="0.25">
      <c r="H1326" t="s">
        <v>5644</v>
      </c>
      <c r="I1326" t="s">
        <v>284</v>
      </c>
    </row>
    <row r="1327" spans="8:9" x14ac:dyDescent="0.25">
      <c r="H1327" t="s">
        <v>283</v>
      </c>
      <c r="I1327" t="s">
        <v>284</v>
      </c>
    </row>
    <row r="1328" spans="8:9" x14ac:dyDescent="0.25">
      <c r="H1328" t="s">
        <v>283</v>
      </c>
      <c r="I1328" t="s">
        <v>284</v>
      </c>
    </row>
    <row r="1329" spans="8:9" x14ac:dyDescent="0.25">
      <c r="H1329" t="s">
        <v>283</v>
      </c>
      <c r="I1329" t="s">
        <v>284</v>
      </c>
    </row>
    <row r="1330" spans="8:9" x14ac:dyDescent="0.25">
      <c r="H1330" t="s">
        <v>5401</v>
      </c>
      <c r="I1330" t="s">
        <v>284</v>
      </c>
    </row>
    <row r="1331" spans="8:9" x14ac:dyDescent="0.25">
      <c r="H1331" t="s">
        <v>5396</v>
      </c>
      <c r="I1331" t="s">
        <v>284</v>
      </c>
    </row>
    <row r="1332" spans="8:9" x14ac:dyDescent="0.25">
      <c r="H1332" t="s">
        <v>286</v>
      </c>
      <c r="I1332" t="s">
        <v>287</v>
      </c>
    </row>
    <row r="1333" spans="8:9" x14ac:dyDescent="0.25">
      <c r="H1333" t="s">
        <v>286</v>
      </c>
      <c r="I1333" t="s">
        <v>287</v>
      </c>
    </row>
    <row r="1334" spans="8:9" x14ac:dyDescent="0.25">
      <c r="H1334" t="s">
        <v>286</v>
      </c>
      <c r="I1334" t="s">
        <v>287</v>
      </c>
    </row>
    <row r="1335" spans="8:9" x14ac:dyDescent="0.25">
      <c r="H1335" t="s">
        <v>286</v>
      </c>
      <c r="I1335" t="s">
        <v>287</v>
      </c>
    </row>
    <row r="1336" spans="8:9" x14ac:dyDescent="0.25">
      <c r="H1336" t="s">
        <v>286</v>
      </c>
      <c r="I1336" t="s">
        <v>287</v>
      </c>
    </row>
    <row r="1337" spans="8:9" x14ac:dyDescent="0.25">
      <c r="H1337" t="s">
        <v>286</v>
      </c>
      <c r="I1337" t="s">
        <v>287</v>
      </c>
    </row>
    <row r="1338" spans="8:9" x14ac:dyDescent="0.25">
      <c r="H1338" t="s">
        <v>286</v>
      </c>
      <c r="I1338" t="s">
        <v>287</v>
      </c>
    </row>
    <row r="1339" spans="8:9" x14ac:dyDescent="0.25">
      <c r="H1339" t="s">
        <v>6383</v>
      </c>
      <c r="I1339" t="s">
        <v>287</v>
      </c>
    </row>
    <row r="1340" spans="8:9" x14ac:dyDescent="0.25">
      <c r="H1340" t="s">
        <v>286</v>
      </c>
      <c r="I1340" t="s">
        <v>287</v>
      </c>
    </row>
    <row r="1341" spans="8:9" x14ac:dyDescent="0.25">
      <c r="H1341" t="s">
        <v>8005</v>
      </c>
      <c r="I1341" t="s">
        <v>287</v>
      </c>
    </row>
    <row r="1342" spans="8:9" x14ac:dyDescent="0.25">
      <c r="H1342" t="s">
        <v>6189</v>
      </c>
      <c r="I1342" t="s">
        <v>287</v>
      </c>
    </row>
    <row r="1343" spans="8:9" x14ac:dyDescent="0.25">
      <c r="H1343" t="s">
        <v>6153</v>
      </c>
      <c r="I1343" t="s">
        <v>287</v>
      </c>
    </row>
    <row r="1344" spans="8:9" x14ac:dyDescent="0.25">
      <c r="H1344" t="s">
        <v>8002</v>
      </c>
      <c r="I1344" t="s">
        <v>287</v>
      </c>
    </row>
    <row r="1345" spans="8:9" x14ac:dyDescent="0.25">
      <c r="H1345" t="s">
        <v>286</v>
      </c>
      <c r="I1345" t="s">
        <v>287</v>
      </c>
    </row>
    <row r="1346" spans="8:9" x14ac:dyDescent="0.25">
      <c r="H1346" t="s">
        <v>286</v>
      </c>
      <c r="I1346" t="s">
        <v>287</v>
      </c>
    </row>
    <row r="1347" spans="8:9" x14ac:dyDescent="0.25">
      <c r="H1347" t="s">
        <v>286</v>
      </c>
      <c r="I1347" t="s">
        <v>287</v>
      </c>
    </row>
    <row r="1348" spans="8:9" x14ac:dyDescent="0.25">
      <c r="H1348" t="s">
        <v>286</v>
      </c>
      <c r="I1348" t="s">
        <v>287</v>
      </c>
    </row>
    <row r="1349" spans="8:9" x14ac:dyDescent="0.25">
      <c r="H1349" t="s">
        <v>286</v>
      </c>
      <c r="I1349" t="s">
        <v>287</v>
      </c>
    </row>
    <row r="1350" spans="8:9" x14ac:dyDescent="0.25">
      <c r="H1350" t="s">
        <v>286</v>
      </c>
      <c r="I1350" t="s">
        <v>287</v>
      </c>
    </row>
    <row r="1351" spans="8:9" x14ac:dyDescent="0.25">
      <c r="H1351" t="s">
        <v>286</v>
      </c>
      <c r="I1351" t="s">
        <v>287</v>
      </c>
    </row>
    <row r="1352" spans="8:9" x14ac:dyDescent="0.25">
      <c r="H1352" t="s">
        <v>286</v>
      </c>
      <c r="I1352" t="s">
        <v>287</v>
      </c>
    </row>
    <row r="1353" spans="8:9" x14ac:dyDescent="0.25">
      <c r="H1353" t="s">
        <v>5761</v>
      </c>
      <c r="I1353" t="s">
        <v>287</v>
      </c>
    </row>
    <row r="1354" spans="8:9" x14ac:dyDescent="0.25">
      <c r="H1354" t="s">
        <v>286</v>
      </c>
      <c r="I1354" t="s">
        <v>287</v>
      </c>
    </row>
    <row r="1355" spans="8:9" x14ac:dyDescent="0.25">
      <c r="H1355" t="s">
        <v>286</v>
      </c>
      <c r="I1355" t="s">
        <v>287</v>
      </c>
    </row>
    <row r="1356" spans="8:9" x14ac:dyDescent="0.25">
      <c r="H1356" t="s">
        <v>286</v>
      </c>
      <c r="I1356" t="s">
        <v>287</v>
      </c>
    </row>
    <row r="1357" spans="8:9" x14ac:dyDescent="0.25">
      <c r="H1357" t="s">
        <v>5581</v>
      </c>
      <c r="I1357" t="s">
        <v>287</v>
      </c>
    </row>
    <row r="1358" spans="8:9" x14ac:dyDescent="0.25">
      <c r="H1358" t="s">
        <v>286</v>
      </c>
      <c r="I1358" t="s">
        <v>287</v>
      </c>
    </row>
    <row r="1359" spans="8:9" x14ac:dyDescent="0.25">
      <c r="H1359" t="s">
        <v>5483</v>
      </c>
      <c r="I1359" t="s">
        <v>287</v>
      </c>
    </row>
    <row r="1360" spans="8:9" x14ac:dyDescent="0.25">
      <c r="H1360" t="s">
        <v>5455</v>
      </c>
      <c r="I1360" t="s">
        <v>287</v>
      </c>
    </row>
    <row r="1361" spans="8:10" x14ac:dyDescent="0.25">
      <c r="H1361" t="s">
        <v>286</v>
      </c>
      <c r="I1361" t="s">
        <v>287</v>
      </c>
    </row>
    <row r="1362" spans="8:10" x14ac:dyDescent="0.25">
      <c r="H1362" t="s">
        <v>289</v>
      </c>
      <c r="I1362" t="s">
        <v>290</v>
      </c>
    </row>
    <row r="1363" spans="8:10" x14ac:dyDescent="0.25">
      <c r="H1363" t="s">
        <v>289</v>
      </c>
      <c r="I1363" t="s">
        <v>290</v>
      </c>
    </row>
    <row r="1364" spans="8:10" x14ac:dyDescent="0.25">
      <c r="H1364" t="s">
        <v>289</v>
      </c>
      <c r="I1364" t="s">
        <v>290</v>
      </c>
    </row>
    <row r="1365" spans="8:10" x14ac:dyDescent="0.25">
      <c r="H1365" t="s">
        <v>289</v>
      </c>
      <c r="I1365" t="s">
        <v>290</v>
      </c>
    </row>
    <row r="1366" spans="8:10" x14ac:dyDescent="0.25">
      <c r="H1366" t="s">
        <v>289</v>
      </c>
      <c r="I1366" t="s">
        <v>290</v>
      </c>
    </row>
    <row r="1367" spans="8:10" x14ac:dyDescent="0.25">
      <c r="H1367" t="s">
        <v>289</v>
      </c>
      <c r="I1367" t="s">
        <v>290</v>
      </c>
    </row>
    <row r="1368" spans="8:10" x14ac:dyDescent="0.25">
      <c r="H1368" t="s">
        <v>289</v>
      </c>
      <c r="I1368" t="s">
        <v>290</v>
      </c>
      <c r="J1368" t="s">
        <v>589</v>
      </c>
    </row>
    <row r="1369" spans="8:10" x14ac:dyDescent="0.25">
      <c r="H1369" t="s">
        <v>289</v>
      </c>
      <c r="I1369" t="s">
        <v>290</v>
      </c>
    </row>
    <row r="1370" spans="8:10" x14ac:dyDescent="0.25">
      <c r="H1370" t="s">
        <v>289</v>
      </c>
      <c r="I1370" t="s">
        <v>290</v>
      </c>
    </row>
    <row r="1371" spans="8:10" x14ac:dyDescent="0.25">
      <c r="H1371" t="s">
        <v>289</v>
      </c>
      <c r="I1371" t="s">
        <v>290</v>
      </c>
    </row>
    <row r="1372" spans="8:10" x14ac:dyDescent="0.25">
      <c r="H1372" t="s">
        <v>289</v>
      </c>
      <c r="I1372" t="s">
        <v>290</v>
      </c>
    </row>
    <row r="1373" spans="8:10" x14ac:dyDescent="0.25">
      <c r="H1373" t="s">
        <v>289</v>
      </c>
      <c r="I1373" t="s">
        <v>290</v>
      </c>
      <c r="J1373" t="s">
        <v>589</v>
      </c>
    </row>
    <row r="1374" spans="8:10" x14ac:dyDescent="0.25">
      <c r="H1374" t="s">
        <v>289</v>
      </c>
      <c r="I1374" t="s">
        <v>290</v>
      </c>
    </row>
    <row r="1375" spans="8:10" x14ac:dyDescent="0.25">
      <c r="H1375" t="s">
        <v>289</v>
      </c>
      <c r="I1375" t="s">
        <v>290</v>
      </c>
    </row>
    <row r="1376" spans="8:10" x14ac:dyDescent="0.25">
      <c r="H1376" t="s">
        <v>289</v>
      </c>
      <c r="I1376" t="s">
        <v>290</v>
      </c>
    </row>
    <row r="1377" spans="8:10" x14ac:dyDescent="0.25">
      <c r="H1377" t="s">
        <v>289</v>
      </c>
      <c r="I1377" t="s">
        <v>290</v>
      </c>
    </row>
    <row r="1378" spans="8:10" x14ac:dyDescent="0.25">
      <c r="H1378" t="s">
        <v>5309</v>
      </c>
      <c r="I1378" t="s">
        <v>290</v>
      </c>
      <c r="J1378" t="s">
        <v>589</v>
      </c>
    </row>
    <row r="1379" spans="8:10" x14ac:dyDescent="0.25">
      <c r="H1379" t="s">
        <v>289</v>
      </c>
      <c r="I1379" t="s">
        <v>290</v>
      </c>
      <c r="J1379" t="s">
        <v>589</v>
      </c>
    </row>
    <row r="1380" spans="8:10" x14ac:dyDescent="0.25">
      <c r="H1380" t="s">
        <v>289</v>
      </c>
      <c r="I1380" t="s">
        <v>290</v>
      </c>
    </row>
    <row r="1381" spans="8:10" x14ac:dyDescent="0.25">
      <c r="H1381" t="s">
        <v>5309</v>
      </c>
      <c r="I1381" t="s">
        <v>290</v>
      </c>
    </row>
    <row r="1382" spans="8:10" x14ac:dyDescent="0.25">
      <c r="H1382" t="s">
        <v>289</v>
      </c>
      <c r="I1382" t="s">
        <v>290</v>
      </c>
      <c r="J1382" t="s">
        <v>589</v>
      </c>
    </row>
    <row r="1383" spans="8:10" x14ac:dyDescent="0.25">
      <c r="H1383" t="s">
        <v>289</v>
      </c>
      <c r="I1383" t="s">
        <v>290</v>
      </c>
    </row>
    <row r="1384" spans="8:10" x14ac:dyDescent="0.25">
      <c r="H1384" t="s">
        <v>289</v>
      </c>
      <c r="I1384" t="s">
        <v>290</v>
      </c>
      <c r="J1384" t="s">
        <v>589</v>
      </c>
    </row>
    <row r="1385" spans="8:10" x14ac:dyDescent="0.25">
      <c r="H1385" t="s">
        <v>5918</v>
      </c>
      <c r="I1385" t="s">
        <v>290</v>
      </c>
    </row>
    <row r="1386" spans="8:10" x14ac:dyDescent="0.25">
      <c r="H1386" t="s">
        <v>5309</v>
      </c>
      <c r="I1386" t="s">
        <v>290</v>
      </c>
    </row>
    <row r="1387" spans="8:10" x14ac:dyDescent="0.25">
      <c r="H1387" t="s">
        <v>5309</v>
      </c>
      <c r="I1387" t="s">
        <v>290</v>
      </c>
    </row>
    <row r="1388" spans="8:10" x14ac:dyDescent="0.25">
      <c r="H1388" t="s">
        <v>289</v>
      </c>
      <c r="I1388" t="s">
        <v>290</v>
      </c>
    </row>
    <row r="1389" spans="8:10" x14ac:dyDescent="0.25">
      <c r="H1389" t="s">
        <v>289</v>
      </c>
      <c r="I1389" t="s">
        <v>290</v>
      </c>
    </row>
    <row r="1390" spans="8:10" x14ac:dyDescent="0.25">
      <c r="H1390" t="s">
        <v>289</v>
      </c>
      <c r="I1390" t="s">
        <v>290</v>
      </c>
    </row>
    <row r="1391" spans="8:10" x14ac:dyDescent="0.25">
      <c r="H1391" t="s">
        <v>5309</v>
      </c>
      <c r="I1391" t="s">
        <v>290</v>
      </c>
    </row>
    <row r="1392" spans="8:10" x14ac:dyDescent="0.25">
      <c r="H1392" t="s">
        <v>5309</v>
      </c>
      <c r="I1392" t="s">
        <v>290</v>
      </c>
    </row>
    <row r="1393" spans="8:10" x14ac:dyDescent="0.25">
      <c r="H1393" t="s">
        <v>5481</v>
      </c>
      <c r="I1393" t="s">
        <v>290</v>
      </c>
      <c r="J1393" t="s">
        <v>589</v>
      </c>
    </row>
    <row r="1394" spans="8:10" x14ac:dyDescent="0.25">
      <c r="H1394" t="s">
        <v>5479</v>
      </c>
      <c r="I1394" t="s">
        <v>290</v>
      </c>
    </row>
    <row r="1395" spans="8:10" x14ac:dyDescent="0.25">
      <c r="H1395" t="s">
        <v>289</v>
      </c>
      <c r="I1395" t="s">
        <v>290</v>
      </c>
    </row>
    <row r="1396" spans="8:10" x14ac:dyDescent="0.25">
      <c r="H1396" t="s">
        <v>5309</v>
      </c>
      <c r="I1396" t="s">
        <v>290</v>
      </c>
      <c r="J1396" t="s">
        <v>589</v>
      </c>
    </row>
    <row r="1397" spans="8:10" x14ac:dyDescent="0.25">
      <c r="H1397" t="s">
        <v>289</v>
      </c>
      <c r="I1397" t="s">
        <v>290</v>
      </c>
    </row>
    <row r="1398" spans="8:10" x14ac:dyDescent="0.25">
      <c r="H1398" t="s">
        <v>289</v>
      </c>
      <c r="I1398" t="s">
        <v>589</v>
      </c>
    </row>
    <row r="1399" spans="8:10" x14ac:dyDescent="0.25">
      <c r="H1399" t="s">
        <v>289</v>
      </c>
      <c r="I1399" t="s">
        <v>589</v>
      </c>
    </row>
    <row r="1400" spans="8:10" x14ac:dyDescent="0.25">
      <c r="H1400" t="s">
        <v>289</v>
      </c>
      <c r="I1400" t="s">
        <v>589</v>
      </c>
    </row>
    <row r="1401" spans="8:10" x14ac:dyDescent="0.25">
      <c r="H1401" t="s">
        <v>289</v>
      </c>
      <c r="I1401" t="s">
        <v>589</v>
      </c>
    </row>
    <row r="1402" spans="8:10" x14ac:dyDescent="0.25">
      <c r="H1402" t="s">
        <v>289</v>
      </c>
      <c r="I1402" t="s">
        <v>589</v>
      </c>
    </row>
    <row r="1403" spans="8:10" x14ac:dyDescent="0.25">
      <c r="H1403" t="s">
        <v>289</v>
      </c>
      <c r="I1403" t="s">
        <v>589</v>
      </c>
    </row>
    <row r="1404" spans="8:10" x14ac:dyDescent="0.25">
      <c r="H1404" t="s">
        <v>289</v>
      </c>
      <c r="I1404" t="s">
        <v>589</v>
      </c>
    </row>
    <row r="1405" spans="8:10" x14ac:dyDescent="0.25">
      <c r="H1405" t="s">
        <v>5582</v>
      </c>
      <c r="I1405" t="s">
        <v>589</v>
      </c>
      <c r="J1405" t="s">
        <v>290</v>
      </c>
    </row>
    <row r="1406" spans="8:10" x14ac:dyDescent="0.25">
      <c r="H1406" t="s">
        <v>289</v>
      </c>
      <c r="I1406" t="s">
        <v>589</v>
      </c>
    </row>
    <row r="1407" spans="8:10" x14ac:dyDescent="0.25">
      <c r="H1407" t="s">
        <v>289</v>
      </c>
      <c r="I1407" t="s">
        <v>589</v>
      </c>
      <c r="J1407" t="s">
        <v>290</v>
      </c>
    </row>
    <row r="1408" spans="8:10" x14ac:dyDescent="0.25">
      <c r="H1408" t="s">
        <v>289</v>
      </c>
      <c r="I1408" t="s">
        <v>589</v>
      </c>
    </row>
    <row r="1409" spans="8:9" x14ac:dyDescent="0.25">
      <c r="H1409" t="s">
        <v>518</v>
      </c>
      <c r="I1409" t="s">
        <v>519</v>
      </c>
    </row>
    <row r="1410" spans="8:9" x14ac:dyDescent="0.25">
      <c r="H1410" t="s">
        <v>518</v>
      </c>
      <c r="I1410" t="s">
        <v>519</v>
      </c>
    </row>
    <row r="1411" spans="8:9" x14ac:dyDescent="0.25">
      <c r="H1411" t="s">
        <v>289</v>
      </c>
      <c r="I1411" t="s">
        <v>519</v>
      </c>
    </row>
    <row r="1412" spans="8:9" x14ac:dyDescent="0.25">
      <c r="H1412" t="s">
        <v>518</v>
      </c>
      <c r="I1412" t="s">
        <v>519</v>
      </c>
    </row>
    <row r="1413" spans="8:9" x14ac:dyDescent="0.25">
      <c r="H1413" t="s">
        <v>289</v>
      </c>
      <c r="I1413" t="s">
        <v>519</v>
      </c>
    </row>
    <row r="1414" spans="8:9" x14ac:dyDescent="0.25">
      <c r="H1414" t="s">
        <v>419</v>
      </c>
      <c r="I1414" t="s">
        <v>420</v>
      </c>
    </row>
    <row r="1415" spans="8:9" x14ac:dyDescent="0.25">
      <c r="H1415" t="s">
        <v>419</v>
      </c>
      <c r="I1415" t="s">
        <v>420</v>
      </c>
    </row>
    <row r="1416" spans="8:9" x14ac:dyDescent="0.25">
      <c r="H1416" t="s">
        <v>419</v>
      </c>
      <c r="I1416" t="s">
        <v>420</v>
      </c>
    </row>
    <row r="1417" spans="8:9" x14ac:dyDescent="0.25">
      <c r="H1417" t="s">
        <v>419</v>
      </c>
      <c r="I1417" t="s">
        <v>420</v>
      </c>
    </row>
    <row r="1418" spans="8:9" x14ac:dyDescent="0.25">
      <c r="H1418" t="s">
        <v>419</v>
      </c>
      <c r="I1418" t="s">
        <v>420</v>
      </c>
    </row>
    <row r="1419" spans="8:9" x14ac:dyDescent="0.25">
      <c r="H1419" t="s">
        <v>419</v>
      </c>
      <c r="I1419" t="s">
        <v>420</v>
      </c>
    </row>
    <row r="1420" spans="8:9" x14ac:dyDescent="0.25">
      <c r="H1420" t="s">
        <v>419</v>
      </c>
      <c r="I1420" t="s">
        <v>420</v>
      </c>
    </row>
    <row r="1421" spans="8:9" x14ac:dyDescent="0.25">
      <c r="H1421" t="s">
        <v>419</v>
      </c>
      <c r="I1421" t="s">
        <v>420</v>
      </c>
    </row>
    <row r="1422" spans="8:9" x14ac:dyDescent="0.25">
      <c r="H1422" t="s">
        <v>419</v>
      </c>
      <c r="I1422" t="s">
        <v>420</v>
      </c>
    </row>
    <row r="1423" spans="8:9" x14ac:dyDescent="0.25">
      <c r="H1423" t="s">
        <v>419</v>
      </c>
      <c r="I1423" t="s">
        <v>420</v>
      </c>
    </row>
    <row r="1424" spans="8:9" x14ac:dyDescent="0.25">
      <c r="H1424" t="s">
        <v>419</v>
      </c>
      <c r="I1424" t="s">
        <v>420</v>
      </c>
    </row>
    <row r="1425" spans="8:10" x14ac:dyDescent="0.25">
      <c r="H1425" t="s">
        <v>419</v>
      </c>
      <c r="I1425" t="s">
        <v>420</v>
      </c>
    </row>
    <row r="1426" spans="8:10" x14ac:dyDescent="0.25">
      <c r="H1426" t="s">
        <v>2450</v>
      </c>
      <c r="I1426" t="s">
        <v>2452</v>
      </c>
    </row>
    <row r="1427" spans="8:10" x14ac:dyDescent="0.25">
      <c r="H1427" t="s">
        <v>2450</v>
      </c>
      <c r="I1427" t="s">
        <v>2452</v>
      </c>
    </row>
    <row r="1428" spans="8:10" x14ac:dyDescent="0.25">
      <c r="H1428" t="s">
        <v>2450</v>
      </c>
      <c r="I1428" t="s">
        <v>2452</v>
      </c>
    </row>
    <row r="1429" spans="8:10" x14ac:dyDescent="0.25">
      <c r="H1429" t="s">
        <v>2450</v>
      </c>
      <c r="I1429" t="s">
        <v>2452</v>
      </c>
    </row>
    <row r="1430" spans="8:10" x14ac:dyDescent="0.25">
      <c r="H1430" t="s">
        <v>2450</v>
      </c>
      <c r="I1430" t="s">
        <v>2452</v>
      </c>
    </row>
    <row r="1431" spans="8:10" x14ac:dyDescent="0.25">
      <c r="H1431" t="s">
        <v>2450</v>
      </c>
      <c r="I1431" t="s">
        <v>2452</v>
      </c>
    </row>
    <row r="1432" spans="8:10" x14ac:dyDescent="0.25">
      <c r="H1432" t="s">
        <v>2736</v>
      </c>
      <c r="I1432" t="s">
        <v>2738</v>
      </c>
      <c r="J1432" t="s">
        <v>8029</v>
      </c>
    </row>
    <row r="1433" spans="8:10" x14ac:dyDescent="0.25">
      <c r="H1433" t="s">
        <v>2736</v>
      </c>
      <c r="I1433" t="s">
        <v>2738</v>
      </c>
      <c r="J1433" t="s">
        <v>8029</v>
      </c>
    </row>
    <row r="1434" spans="8:10" x14ac:dyDescent="0.25">
      <c r="H1434" t="s">
        <v>2736</v>
      </c>
      <c r="I1434" t="s">
        <v>2738</v>
      </c>
      <c r="J1434" t="s">
        <v>8029</v>
      </c>
    </row>
    <row r="1435" spans="8:10" x14ac:dyDescent="0.25">
      <c r="H1435" t="s">
        <v>2739</v>
      </c>
      <c r="I1435" t="s">
        <v>2740</v>
      </c>
      <c r="J1435" t="s">
        <v>8028</v>
      </c>
    </row>
    <row r="1436" spans="8:10" x14ac:dyDescent="0.25">
      <c r="H1436" t="s">
        <v>2739</v>
      </c>
      <c r="I1436" t="s">
        <v>2740</v>
      </c>
      <c r="J1436" t="s">
        <v>8028</v>
      </c>
    </row>
    <row r="1437" spans="8:10" x14ac:dyDescent="0.25">
      <c r="H1437" t="s">
        <v>2739</v>
      </c>
      <c r="I1437" t="s">
        <v>2740</v>
      </c>
      <c r="J1437" t="s">
        <v>8028</v>
      </c>
    </row>
    <row r="1438" spans="8:10" x14ac:dyDescent="0.25">
      <c r="H1438" t="s">
        <v>2739</v>
      </c>
      <c r="I1438" t="s">
        <v>2740</v>
      </c>
      <c r="J1438" t="s">
        <v>8028</v>
      </c>
    </row>
    <row r="1439" spans="8:10" x14ac:dyDescent="0.25">
      <c r="H1439" t="s">
        <v>2739</v>
      </c>
      <c r="I1439" t="s">
        <v>2740</v>
      </c>
      <c r="J1439" t="s">
        <v>8028</v>
      </c>
    </row>
    <row r="1440" spans="8:10" x14ac:dyDescent="0.25">
      <c r="H1440" t="s">
        <v>2739</v>
      </c>
      <c r="I1440" t="s">
        <v>2740</v>
      </c>
      <c r="J1440" t="s">
        <v>8028</v>
      </c>
    </row>
    <row r="1441" spans="8:10" x14ac:dyDescent="0.25">
      <c r="H1441" t="s">
        <v>2739</v>
      </c>
      <c r="I1441" t="s">
        <v>2740</v>
      </c>
      <c r="J1441" t="s">
        <v>8028</v>
      </c>
    </row>
    <row r="1442" spans="8:10" x14ac:dyDescent="0.25">
      <c r="H1442" t="s">
        <v>2739</v>
      </c>
      <c r="I1442" t="s">
        <v>2740</v>
      </c>
      <c r="J1442" t="s">
        <v>8028</v>
      </c>
    </row>
    <row r="1443" spans="8:10" x14ac:dyDescent="0.25">
      <c r="H1443" t="s">
        <v>2739</v>
      </c>
      <c r="I1443" t="s">
        <v>2740</v>
      </c>
      <c r="J1443" t="s">
        <v>8028</v>
      </c>
    </row>
    <row r="1444" spans="8:10" x14ac:dyDescent="0.25">
      <c r="H1444" t="s">
        <v>2739</v>
      </c>
      <c r="I1444" t="s">
        <v>2740</v>
      </c>
      <c r="J1444" t="s">
        <v>8028</v>
      </c>
    </row>
    <row r="1445" spans="8:10" x14ac:dyDescent="0.25">
      <c r="H1445" t="s">
        <v>2739</v>
      </c>
      <c r="I1445" t="s">
        <v>2740</v>
      </c>
      <c r="J1445" t="s">
        <v>8028</v>
      </c>
    </row>
    <row r="1446" spans="8:10" x14ac:dyDescent="0.25">
      <c r="H1446" t="s">
        <v>2739</v>
      </c>
      <c r="I1446" t="s">
        <v>2740</v>
      </c>
      <c r="J1446" t="s">
        <v>8028</v>
      </c>
    </row>
    <row r="1447" spans="8:10" x14ac:dyDescent="0.25">
      <c r="H1447" t="s">
        <v>2739</v>
      </c>
      <c r="I1447" t="s">
        <v>2740</v>
      </c>
      <c r="J1447" t="s">
        <v>8028</v>
      </c>
    </row>
    <row r="1448" spans="8:10" x14ac:dyDescent="0.25">
      <c r="H1448" t="s">
        <v>2739</v>
      </c>
      <c r="I1448" t="s">
        <v>2740</v>
      </c>
      <c r="J1448" t="s">
        <v>8028</v>
      </c>
    </row>
    <row r="1449" spans="8:10" x14ac:dyDescent="0.25">
      <c r="H1449" t="s">
        <v>2739</v>
      </c>
      <c r="I1449" t="s">
        <v>2740</v>
      </c>
      <c r="J1449" t="s">
        <v>8028</v>
      </c>
    </row>
    <row r="1450" spans="8:10" x14ac:dyDescent="0.25">
      <c r="H1450" t="s">
        <v>2739</v>
      </c>
      <c r="I1450" t="s">
        <v>2740</v>
      </c>
      <c r="J1450" t="s">
        <v>8028</v>
      </c>
    </row>
    <row r="1451" spans="8:10" x14ac:dyDescent="0.25">
      <c r="H1451" t="s">
        <v>2739</v>
      </c>
      <c r="I1451" t="s">
        <v>2740</v>
      </c>
      <c r="J1451" t="s">
        <v>8028</v>
      </c>
    </row>
    <row r="1452" spans="8:10" x14ac:dyDescent="0.25">
      <c r="H1452" t="s">
        <v>2739</v>
      </c>
      <c r="I1452" t="s">
        <v>2740</v>
      </c>
      <c r="J1452" t="s">
        <v>8028</v>
      </c>
    </row>
    <row r="1453" spans="8:10" x14ac:dyDescent="0.25">
      <c r="H1453" t="s">
        <v>2739</v>
      </c>
      <c r="I1453" t="s">
        <v>2740</v>
      </c>
      <c r="J1453" t="s">
        <v>8028</v>
      </c>
    </row>
    <row r="1454" spans="8:10" x14ac:dyDescent="0.25">
      <c r="H1454" t="s">
        <v>2739</v>
      </c>
      <c r="I1454" t="s">
        <v>2740</v>
      </c>
      <c r="J1454" t="s">
        <v>8028</v>
      </c>
    </row>
    <row r="1455" spans="8:10" x14ac:dyDescent="0.25">
      <c r="H1455" t="s">
        <v>2741</v>
      </c>
      <c r="I1455" t="s">
        <v>2742</v>
      </c>
      <c r="J1455" t="s">
        <v>8030</v>
      </c>
    </row>
    <row r="1456" spans="8:10" x14ac:dyDescent="0.25">
      <c r="H1456" t="s">
        <v>2741</v>
      </c>
      <c r="I1456" t="s">
        <v>2742</v>
      </c>
      <c r="J1456" t="s">
        <v>8030</v>
      </c>
    </row>
    <row r="1457" spans="8:10" x14ac:dyDescent="0.25">
      <c r="H1457" t="s">
        <v>2741</v>
      </c>
      <c r="I1457" t="s">
        <v>2742</v>
      </c>
      <c r="J1457" t="s">
        <v>8030</v>
      </c>
    </row>
    <row r="1458" spans="8:10" x14ac:dyDescent="0.25">
      <c r="H1458" t="s">
        <v>2741</v>
      </c>
      <c r="I1458" t="s">
        <v>2742</v>
      </c>
      <c r="J1458" t="s">
        <v>8030</v>
      </c>
    </row>
    <row r="1459" spans="8:10" x14ac:dyDescent="0.25">
      <c r="H1459" t="s">
        <v>2741</v>
      </c>
      <c r="I1459" t="s">
        <v>2742</v>
      </c>
      <c r="J1459" t="s">
        <v>8030</v>
      </c>
    </row>
    <row r="1460" spans="8:10" x14ac:dyDescent="0.25">
      <c r="H1460" t="s">
        <v>2743</v>
      </c>
      <c r="I1460" t="s">
        <v>2744</v>
      </c>
      <c r="J1460" t="s">
        <v>8027</v>
      </c>
    </row>
    <row r="1461" spans="8:10" x14ac:dyDescent="0.25">
      <c r="H1461" t="s">
        <v>2743</v>
      </c>
      <c r="I1461" t="s">
        <v>2744</v>
      </c>
      <c r="J1461" t="s">
        <v>8027</v>
      </c>
    </row>
    <row r="1462" spans="8:10" x14ac:dyDescent="0.25">
      <c r="H1462" t="s">
        <v>2743</v>
      </c>
      <c r="I1462" t="s">
        <v>2744</v>
      </c>
      <c r="J1462" t="s">
        <v>8027</v>
      </c>
    </row>
    <row r="1463" spans="8:10" x14ac:dyDescent="0.25">
      <c r="H1463" t="s">
        <v>2743</v>
      </c>
      <c r="I1463" t="s">
        <v>2744</v>
      </c>
      <c r="J1463" t="s">
        <v>8027</v>
      </c>
    </row>
    <row r="1464" spans="8:10" x14ac:dyDescent="0.25">
      <c r="H1464" t="s">
        <v>2743</v>
      </c>
      <c r="I1464" t="s">
        <v>2744</v>
      </c>
      <c r="J1464" t="s">
        <v>8027</v>
      </c>
    </row>
    <row r="1465" spans="8:10" x14ac:dyDescent="0.25">
      <c r="H1465" t="s">
        <v>2743</v>
      </c>
      <c r="I1465" t="s">
        <v>2744</v>
      </c>
      <c r="J1465" t="s">
        <v>8027</v>
      </c>
    </row>
    <row r="1466" spans="8:10" x14ac:dyDescent="0.25">
      <c r="H1466" t="s">
        <v>2743</v>
      </c>
      <c r="I1466" t="s">
        <v>2744</v>
      </c>
      <c r="J1466" t="s">
        <v>8027</v>
      </c>
    </row>
    <row r="1467" spans="8:10" x14ac:dyDescent="0.25">
      <c r="H1467" t="s">
        <v>2743</v>
      </c>
      <c r="I1467" t="s">
        <v>2744</v>
      </c>
      <c r="J1467" t="s">
        <v>8027</v>
      </c>
    </row>
    <row r="1468" spans="8:10" x14ac:dyDescent="0.25">
      <c r="H1468" t="s">
        <v>2743</v>
      </c>
      <c r="I1468" t="s">
        <v>2744</v>
      </c>
      <c r="J1468" t="s">
        <v>8027</v>
      </c>
    </row>
    <row r="1469" spans="8:10" x14ac:dyDescent="0.25">
      <c r="H1469" t="s">
        <v>333</v>
      </c>
      <c r="I1469" t="s">
        <v>334</v>
      </c>
    </row>
    <row r="1470" spans="8:10" x14ac:dyDescent="0.25">
      <c r="H1470" t="s">
        <v>333</v>
      </c>
      <c r="I1470" t="s">
        <v>334</v>
      </c>
    </row>
    <row r="1471" spans="8:10" x14ac:dyDescent="0.25">
      <c r="H1471" t="s">
        <v>6876</v>
      </c>
      <c r="I1471" t="s">
        <v>296</v>
      </c>
    </row>
    <row r="1472" spans="8:10" x14ac:dyDescent="0.25">
      <c r="H1472" t="s">
        <v>295</v>
      </c>
      <c r="I1472" t="s">
        <v>296</v>
      </c>
    </row>
    <row r="1473" spans="8:10" x14ac:dyDescent="0.25">
      <c r="H1473" t="s">
        <v>5377</v>
      </c>
      <c r="I1473" t="s">
        <v>296</v>
      </c>
    </row>
    <row r="1474" spans="8:10" x14ac:dyDescent="0.25">
      <c r="H1474" t="s">
        <v>6827</v>
      </c>
      <c r="I1474" t="s">
        <v>296</v>
      </c>
      <c r="J1474" t="s">
        <v>298</v>
      </c>
    </row>
    <row r="1475" spans="8:10" x14ac:dyDescent="0.25">
      <c r="H1475" t="s">
        <v>5943</v>
      </c>
      <c r="I1475" t="s">
        <v>296</v>
      </c>
      <c r="J1475" t="s">
        <v>298</v>
      </c>
    </row>
    <row r="1476" spans="8:10" x14ac:dyDescent="0.25">
      <c r="H1476" t="s">
        <v>6717</v>
      </c>
      <c r="I1476" t="s">
        <v>296</v>
      </c>
    </row>
    <row r="1477" spans="8:10" x14ac:dyDescent="0.25">
      <c r="H1477" t="s">
        <v>295</v>
      </c>
      <c r="I1477" t="s">
        <v>296</v>
      </c>
    </row>
    <row r="1478" spans="8:10" x14ac:dyDescent="0.25">
      <c r="H1478" t="s">
        <v>6639</v>
      </c>
      <c r="I1478" t="s">
        <v>296</v>
      </c>
    </row>
    <row r="1479" spans="8:10" x14ac:dyDescent="0.25">
      <c r="H1479" t="s">
        <v>295</v>
      </c>
      <c r="I1479" t="s">
        <v>296</v>
      </c>
      <c r="J1479" t="s">
        <v>298</v>
      </c>
    </row>
    <row r="1480" spans="8:10" x14ac:dyDescent="0.25">
      <c r="H1480" t="s">
        <v>6545</v>
      </c>
      <c r="I1480" t="s">
        <v>296</v>
      </c>
      <c r="J1480" t="s">
        <v>298</v>
      </c>
    </row>
    <row r="1481" spans="8:10" x14ac:dyDescent="0.25">
      <c r="H1481" t="s">
        <v>295</v>
      </c>
      <c r="I1481" t="s">
        <v>296</v>
      </c>
    </row>
    <row r="1482" spans="8:10" x14ac:dyDescent="0.25">
      <c r="H1482" t="s">
        <v>5943</v>
      </c>
      <c r="I1482" t="s">
        <v>296</v>
      </c>
      <c r="J1482" t="s">
        <v>298</v>
      </c>
    </row>
    <row r="1483" spans="8:10" x14ac:dyDescent="0.25">
      <c r="H1483" t="s">
        <v>295</v>
      </c>
      <c r="I1483" t="s">
        <v>296</v>
      </c>
    </row>
    <row r="1484" spans="8:10" x14ac:dyDescent="0.25">
      <c r="H1484" t="s">
        <v>295</v>
      </c>
      <c r="I1484" t="s">
        <v>296</v>
      </c>
    </row>
    <row r="1485" spans="8:10" x14ac:dyDescent="0.25">
      <c r="H1485" t="s">
        <v>5409</v>
      </c>
      <c r="I1485" t="s">
        <v>296</v>
      </c>
      <c r="J1485" t="s">
        <v>298</v>
      </c>
    </row>
    <row r="1486" spans="8:10" x14ac:dyDescent="0.25">
      <c r="H1486" t="s">
        <v>6250</v>
      </c>
      <c r="I1486" t="s">
        <v>296</v>
      </c>
    </row>
    <row r="1487" spans="8:10" x14ac:dyDescent="0.25">
      <c r="H1487" t="s">
        <v>295</v>
      </c>
      <c r="I1487" t="s">
        <v>296</v>
      </c>
    </row>
    <row r="1488" spans="8:10" x14ac:dyDescent="0.25">
      <c r="H1488" t="s">
        <v>295</v>
      </c>
      <c r="I1488" t="s">
        <v>296</v>
      </c>
    </row>
    <row r="1489" spans="8:10" x14ac:dyDescent="0.25">
      <c r="H1489" t="s">
        <v>7995</v>
      </c>
      <c r="I1489" t="s">
        <v>296</v>
      </c>
    </row>
    <row r="1490" spans="8:10" x14ac:dyDescent="0.25">
      <c r="H1490" t="s">
        <v>5943</v>
      </c>
      <c r="I1490" t="s">
        <v>296</v>
      </c>
      <c r="J1490" t="s">
        <v>298</v>
      </c>
    </row>
    <row r="1491" spans="8:10" x14ac:dyDescent="0.25">
      <c r="H1491" t="s">
        <v>5377</v>
      </c>
      <c r="I1491" t="s">
        <v>296</v>
      </c>
    </row>
    <row r="1492" spans="8:10" x14ac:dyDescent="0.25">
      <c r="H1492" t="s">
        <v>295</v>
      </c>
      <c r="I1492" t="s">
        <v>296</v>
      </c>
    </row>
    <row r="1493" spans="8:10" x14ac:dyDescent="0.25">
      <c r="H1493" t="s">
        <v>295</v>
      </c>
      <c r="I1493" t="s">
        <v>296</v>
      </c>
    </row>
    <row r="1494" spans="8:10" x14ac:dyDescent="0.25">
      <c r="H1494" t="s">
        <v>5868</v>
      </c>
      <c r="I1494" t="s">
        <v>296</v>
      </c>
    </row>
    <row r="1495" spans="8:10" x14ac:dyDescent="0.25">
      <c r="H1495" t="s">
        <v>5837</v>
      </c>
      <c r="I1495" t="s">
        <v>296</v>
      </c>
    </row>
    <row r="1496" spans="8:10" x14ac:dyDescent="0.25">
      <c r="H1496" t="s">
        <v>295</v>
      </c>
      <c r="I1496" t="s">
        <v>296</v>
      </c>
    </row>
    <row r="1497" spans="8:10" x14ac:dyDescent="0.25">
      <c r="H1497" t="s">
        <v>7995</v>
      </c>
      <c r="I1497" t="s">
        <v>296</v>
      </c>
    </row>
    <row r="1498" spans="8:10" x14ac:dyDescent="0.25">
      <c r="H1498" t="s">
        <v>5409</v>
      </c>
      <c r="I1498" t="s">
        <v>296</v>
      </c>
    </row>
    <row r="1499" spans="8:10" x14ac:dyDescent="0.25">
      <c r="H1499" t="s">
        <v>5614</v>
      </c>
      <c r="I1499" t="s">
        <v>296</v>
      </c>
    </row>
    <row r="1500" spans="8:10" x14ac:dyDescent="0.25">
      <c r="H1500" t="s">
        <v>5377</v>
      </c>
      <c r="I1500" t="s">
        <v>296</v>
      </c>
      <c r="J1500" t="s">
        <v>298</v>
      </c>
    </row>
    <row r="1501" spans="8:10" x14ac:dyDescent="0.25">
      <c r="H1501" t="s">
        <v>5409</v>
      </c>
      <c r="I1501" t="s">
        <v>296</v>
      </c>
    </row>
    <row r="1502" spans="8:10" x14ac:dyDescent="0.25">
      <c r="H1502" t="s">
        <v>5536</v>
      </c>
      <c r="I1502" t="s">
        <v>296</v>
      </c>
      <c r="J1502" t="s">
        <v>298</v>
      </c>
    </row>
    <row r="1503" spans="8:10" x14ac:dyDescent="0.25">
      <c r="H1503" t="s">
        <v>295</v>
      </c>
      <c r="I1503" t="s">
        <v>296</v>
      </c>
    </row>
    <row r="1504" spans="8:10" x14ac:dyDescent="0.25">
      <c r="H1504" t="s">
        <v>5448</v>
      </c>
      <c r="I1504" t="s">
        <v>296</v>
      </c>
    </row>
    <row r="1505" spans="8:11" x14ac:dyDescent="0.25">
      <c r="H1505" t="s">
        <v>5433</v>
      </c>
      <c r="I1505" t="s">
        <v>296</v>
      </c>
    </row>
    <row r="1506" spans="8:11" x14ac:dyDescent="0.25">
      <c r="H1506" t="s">
        <v>5409</v>
      </c>
      <c r="I1506" t="s">
        <v>296</v>
      </c>
    </row>
    <row r="1507" spans="8:11" x14ac:dyDescent="0.25">
      <c r="H1507" t="s">
        <v>5377</v>
      </c>
      <c r="I1507" t="s">
        <v>296</v>
      </c>
    </row>
    <row r="1508" spans="8:11" x14ac:dyDescent="0.25">
      <c r="H1508" t="s">
        <v>295</v>
      </c>
      <c r="I1508" t="s">
        <v>296</v>
      </c>
    </row>
    <row r="1509" spans="8:11" x14ac:dyDescent="0.25">
      <c r="H1509" t="s">
        <v>5305</v>
      </c>
      <c r="I1509" t="s">
        <v>296</v>
      </c>
      <c r="J1509" t="s">
        <v>298</v>
      </c>
      <c r="K1509" t="s">
        <v>259</v>
      </c>
    </row>
    <row r="1510" spans="8:11" x14ac:dyDescent="0.25">
      <c r="H1510" t="s">
        <v>5266</v>
      </c>
      <c r="I1510" t="s">
        <v>296</v>
      </c>
    </row>
    <row r="1511" spans="8:11" x14ac:dyDescent="0.25">
      <c r="H1511" t="s">
        <v>295</v>
      </c>
      <c r="I1511" t="s">
        <v>296</v>
      </c>
    </row>
    <row r="1512" spans="8:11" x14ac:dyDescent="0.25">
      <c r="H1512" t="s">
        <v>6291</v>
      </c>
      <c r="I1512" t="s">
        <v>298</v>
      </c>
      <c r="J1512" t="s">
        <v>296</v>
      </c>
    </row>
    <row r="1513" spans="8:11" x14ac:dyDescent="0.25">
      <c r="H1513" t="s">
        <v>295</v>
      </c>
      <c r="I1513" t="s">
        <v>298</v>
      </c>
      <c r="J1513" t="s">
        <v>296</v>
      </c>
    </row>
    <row r="1514" spans="8:11" x14ac:dyDescent="0.25">
      <c r="H1514" t="s">
        <v>297</v>
      </c>
      <c r="I1514" t="s">
        <v>298</v>
      </c>
    </row>
    <row r="1515" spans="8:11" x14ac:dyDescent="0.25">
      <c r="H1515" t="s">
        <v>295</v>
      </c>
      <c r="I1515" t="s">
        <v>298</v>
      </c>
      <c r="J1515" t="s">
        <v>296</v>
      </c>
    </row>
    <row r="1516" spans="8:11" x14ac:dyDescent="0.25">
      <c r="H1516" t="s">
        <v>306</v>
      </c>
      <c r="I1516" t="s">
        <v>307</v>
      </c>
    </row>
    <row r="1517" spans="8:11" x14ac:dyDescent="0.25">
      <c r="H1517" t="s">
        <v>306</v>
      </c>
      <c r="I1517" t="s">
        <v>307</v>
      </c>
    </row>
    <row r="1518" spans="8:11" x14ac:dyDescent="0.25">
      <c r="H1518" t="s">
        <v>306</v>
      </c>
      <c r="I1518" t="s">
        <v>307</v>
      </c>
    </row>
    <row r="1519" spans="8:11" x14ac:dyDescent="0.25">
      <c r="H1519" t="s">
        <v>306</v>
      </c>
      <c r="I1519" t="s">
        <v>307</v>
      </c>
    </row>
    <row r="1520" spans="8:11" x14ac:dyDescent="0.25">
      <c r="H1520" t="s">
        <v>306</v>
      </c>
      <c r="I1520" t="s">
        <v>307</v>
      </c>
    </row>
    <row r="1521" spans="8:9" x14ac:dyDescent="0.25">
      <c r="H1521" t="s">
        <v>306</v>
      </c>
      <c r="I1521" t="s">
        <v>307</v>
      </c>
    </row>
    <row r="1522" spans="8:9" x14ac:dyDescent="0.25">
      <c r="H1522" t="s">
        <v>306</v>
      </c>
      <c r="I1522" t="s">
        <v>307</v>
      </c>
    </row>
    <row r="1523" spans="8:9" x14ac:dyDescent="0.25">
      <c r="H1523" t="s">
        <v>306</v>
      </c>
      <c r="I1523" t="s">
        <v>307</v>
      </c>
    </row>
    <row r="1524" spans="8:9" x14ac:dyDescent="0.25">
      <c r="H1524" t="s">
        <v>306</v>
      </c>
      <c r="I1524" t="s">
        <v>307</v>
      </c>
    </row>
    <row r="1525" spans="8:9" x14ac:dyDescent="0.25">
      <c r="H1525" t="s">
        <v>306</v>
      </c>
      <c r="I1525" t="s">
        <v>307</v>
      </c>
    </row>
    <row r="1526" spans="8:9" x14ac:dyDescent="0.25">
      <c r="H1526" t="s">
        <v>306</v>
      </c>
      <c r="I1526" t="s">
        <v>307</v>
      </c>
    </row>
    <row r="1527" spans="8:9" x14ac:dyDescent="0.25">
      <c r="H1527" t="s">
        <v>306</v>
      </c>
      <c r="I1527" t="s">
        <v>307</v>
      </c>
    </row>
    <row r="1528" spans="8:9" x14ac:dyDescent="0.25">
      <c r="H1528" t="s">
        <v>5545</v>
      </c>
      <c r="I1528" t="s">
        <v>307</v>
      </c>
    </row>
    <row r="1529" spans="8:9" x14ac:dyDescent="0.25">
      <c r="H1529" t="s">
        <v>306</v>
      </c>
      <c r="I1529" t="s">
        <v>307</v>
      </c>
    </row>
    <row r="1530" spans="8:9" x14ac:dyDescent="0.25">
      <c r="H1530" t="s">
        <v>309</v>
      </c>
      <c r="I1530" t="s">
        <v>310</v>
      </c>
    </row>
    <row r="1531" spans="8:9" x14ac:dyDescent="0.25">
      <c r="H1531" t="s">
        <v>6708</v>
      </c>
      <c r="I1531" t="s">
        <v>310</v>
      </c>
    </row>
    <row r="1532" spans="8:9" x14ac:dyDescent="0.25">
      <c r="H1532" t="s">
        <v>6674</v>
      </c>
      <c r="I1532" t="s">
        <v>310</v>
      </c>
    </row>
    <row r="1533" spans="8:9" x14ac:dyDescent="0.25">
      <c r="H1533" t="s">
        <v>6474</v>
      </c>
      <c r="I1533" t="s">
        <v>310</v>
      </c>
    </row>
    <row r="1534" spans="8:9" x14ac:dyDescent="0.25">
      <c r="H1534" t="s">
        <v>309</v>
      </c>
      <c r="I1534" t="s">
        <v>310</v>
      </c>
    </row>
    <row r="1535" spans="8:9" x14ac:dyDescent="0.25">
      <c r="H1535" t="s">
        <v>5996</v>
      </c>
      <c r="I1535" t="s">
        <v>310</v>
      </c>
    </row>
    <row r="1536" spans="8:9" x14ac:dyDescent="0.25">
      <c r="H1536" t="s">
        <v>309</v>
      </c>
      <c r="I1536" t="s">
        <v>310</v>
      </c>
    </row>
    <row r="1537" spans="8:9" x14ac:dyDescent="0.25">
      <c r="H1537" t="s">
        <v>309</v>
      </c>
      <c r="I1537" t="s">
        <v>310</v>
      </c>
    </row>
    <row r="1538" spans="8:9" x14ac:dyDescent="0.25">
      <c r="H1538" t="s">
        <v>5638</v>
      </c>
      <c r="I1538" t="s">
        <v>310</v>
      </c>
    </row>
    <row r="1539" spans="8:9" x14ac:dyDescent="0.25">
      <c r="H1539" t="s">
        <v>309</v>
      </c>
      <c r="I1539" t="s">
        <v>310</v>
      </c>
    </row>
    <row r="1540" spans="8:9" x14ac:dyDescent="0.25">
      <c r="H1540" t="s">
        <v>311</v>
      </c>
      <c r="I1540" t="s">
        <v>312</v>
      </c>
    </row>
    <row r="1541" spans="8:9" x14ac:dyDescent="0.25">
      <c r="H1541" t="s">
        <v>6520</v>
      </c>
      <c r="I1541" t="s">
        <v>312</v>
      </c>
    </row>
    <row r="1542" spans="8:9" x14ac:dyDescent="0.25">
      <c r="H1542" t="s">
        <v>311</v>
      </c>
      <c r="I1542" t="s">
        <v>312</v>
      </c>
    </row>
    <row r="1543" spans="8:9" x14ac:dyDescent="0.25">
      <c r="H1543" t="s">
        <v>311</v>
      </c>
      <c r="I1543" t="s">
        <v>312</v>
      </c>
    </row>
    <row r="1544" spans="8:9" x14ac:dyDescent="0.25">
      <c r="H1544" t="s">
        <v>311</v>
      </c>
      <c r="I1544" t="s">
        <v>312</v>
      </c>
    </row>
    <row r="1545" spans="8:9" x14ac:dyDescent="0.25">
      <c r="H1545" t="s">
        <v>6401</v>
      </c>
      <c r="I1545" t="s">
        <v>312</v>
      </c>
    </row>
    <row r="1546" spans="8:9" x14ac:dyDescent="0.25">
      <c r="H1546" t="s">
        <v>311</v>
      </c>
      <c r="I1546" t="s">
        <v>312</v>
      </c>
    </row>
    <row r="1547" spans="8:9" x14ac:dyDescent="0.25">
      <c r="H1547" t="s">
        <v>311</v>
      </c>
      <c r="I1547" t="s">
        <v>312</v>
      </c>
    </row>
    <row r="1548" spans="8:9" x14ac:dyDescent="0.25">
      <c r="H1548" t="s">
        <v>311</v>
      </c>
      <c r="I1548" t="s">
        <v>312</v>
      </c>
    </row>
    <row r="1549" spans="8:9" x14ac:dyDescent="0.25">
      <c r="H1549" t="s">
        <v>6413</v>
      </c>
      <c r="I1549" t="s">
        <v>312</v>
      </c>
    </row>
    <row r="1550" spans="8:9" x14ac:dyDescent="0.25">
      <c r="H1550" t="s">
        <v>311</v>
      </c>
      <c r="I1550" t="s">
        <v>312</v>
      </c>
    </row>
    <row r="1551" spans="8:9" x14ac:dyDescent="0.25">
      <c r="H1551" t="s">
        <v>311</v>
      </c>
      <c r="I1551" t="s">
        <v>312</v>
      </c>
    </row>
    <row r="1552" spans="8:9" x14ac:dyDescent="0.25">
      <c r="H1552" t="s">
        <v>5767</v>
      </c>
      <c r="I1552" t="s">
        <v>312</v>
      </c>
    </row>
    <row r="1553" spans="8:9" x14ac:dyDescent="0.25">
      <c r="H1553" t="s">
        <v>311</v>
      </c>
      <c r="I1553" t="s">
        <v>312</v>
      </c>
    </row>
    <row r="1554" spans="8:9" x14ac:dyDescent="0.25">
      <c r="H1554" t="s">
        <v>311</v>
      </c>
      <c r="I1554" t="s">
        <v>312</v>
      </c>
    </row>
    <row r="1555" spans="8:9" x14ac:dyDescent="0.25">
      <c r="H1555" t="s">
        <v>311</v>
      </c>
      <c r="I1555" t="s">
        <v>312</v>
      </c>
    </row>
    <row r="1556" spans="8:9" x14ac:dyDescent="0.25">
      <c r="H1556" t="s">
        <v>311</v>
      </c>
      <c r="I1556" t="s">
        <v>312</v>
      </c>
    </row>
    <row r="1557" spans="8:9" x14ac:dyDescent="0.25">
      <c r="H1557" t="s">
        <v>6520</v>
      </c>
      <c r="I1557" t="s">
        <v>312</v>
      </c>
    </row>
    <row r="1558" spans="8:9" x14ac:dyDescent="0.25">
      <c r="H1558" t="s">
        <v>311</v>
      </c>
      <c r="I1558" t="s">
        <v>312</v>
      </c>
    </row>
    <row r="1559" spans="8:9" x14ac:dyDescent="0.25">
      <c r="H1559" t="s">
        <v>311</v>
      </c>
      <c r="I1559" t="s">
        <v>312</v>
      </c>
    </row>
    <row r="1560" spans="8:9" x14ac:dyDescent="0.25">
      <c r="H1560" t="s">
        <v>311</v>
      </c>
      <c r="I1560" t="s">
        <v>312</v>
      </c>
    </row>
    <row r="1561" spans="8:9" x14ac:dyDescent="0.25">
      <c r="H1561" t="s">
        <v>311</v>
      </c>
      <c r="I1561" t="s">
        <v>312</v>
      </c>
    </row>
    <row r="1562" spans="8:9" x14ac:dyDescent="0.25">
      <c r="H1562" t="s">
        <v>6413</v>
      </c>
      <c r="I1562" t="s">
        <v>312</v>
      </c>
    </row>
    <row r="1563" spans="8:9" x14ac:dyDescent="0.25">
      <c r="H1563" t="s">
        <v>6401</v>
      </c>
      <c r="I1563" t="s">
        <v>312</v>
      </c>
    </row>
    <row r="1564" spans="8:9" x14ac:dyDescent="0.25">
      <c r="H1564" t="s">
        <v>311</v>
      </c>
      <c r="I1564" t="s">
        <v>312</v>
      </c>
    </row>
    <row r="1565" spans="8:9" x14ac:dyDescent="0.25">
      <c r="H1565" t="s">
        <v>311</v>
      </c>
      <c r="I1565" t="s">
        <v>312</v>
      </c>
    </row>
    <row r="1566" spans="8:9" x14ac:dyDescent="0.25">
      <c r="H1566" t="s">
        <v>311</v>
      </c>
      <c r="I1566" t="s">
        <v>312</v>
      </c>
    </row>
    <row r="1567" spans="8:9" x14ac:dyDescent="0.25">
      <c r="H1567" t="s">
        <v>311</v>
      </c>
      <c r="I1567" t="s">
        <v>312</v>
      </c>
    </row>
    <row r="1568" spans="8:9" x14ac:dyDescent="0.25">
      <c r="H1568" t="s">
        <v>311</v>
      </c>
      <c r="I1568" t="s">
        <v>312</v>
      </c>
    </row>
    <row r="1569" spans="8:9" x14ac:dyDescent="0.25">
      <c r="H1569" t="s">
        <v>5767</v>
      </c>
      <c r="I1569" t="s">
        <v>312</v>
      </c>
    </row>
    <row r="1570" spans="8:9" x14ac:dyDescent="0.25">
      <c r="H1570" t="s">
        <v>311</v>
      </c>
      <c r="I1570" t="s">
        <v>312</v>
      </c>
    </row>
    <row r="1571" spans="8:9" x14ac:dyDescent="0.25">
      <c r="H1571" t="s">
        <v>311</v>
      </c>
      <c r="I1571" t="s">
        <v>312</v>
      </c>
    </row>
    <row r="1572" spans="8:9" x14ac:dyDescent="0.25">
      <c r="H1572" t="s">
        <v>311</v>
      </c>
      <c r="I1572" t="s">
        <v>312</v>
      </c>
    </row>
    <row r="1573" spans="8:9" x14ac:dyDescent="0.25">
      <c r="H1573" t="s">
        <v>311</v>
      </c>
      <c r="I1573" t="s">
        <v>312</v>
      </c>
    </row>
    <row r="1574" spans="8:9" x14ac:dyDescent="0.25">
      <c r="H1574" t="s">
        <v>311</v>
      </c>
      <c r="I1574" t="s">
        <v>312</v>
      </c>
    </row>
    <row r="1575" spans="8:9" x14ac:dyDescent="0.25">
      <c r="H1575" t="s">
        <v>311</v>
      </c>
      <c r="I1575" t="s">
        <v>312</v>
      </c>
    </row>
    <row r="1576" spans="8:9" x14ac:dyDescent="0.25">
      <c r="H1576" t="s">
        <v>5336</v>
      </c>
      <c r="I1576" t="s">
        <v>312</v>
      </c>
    </row>
    <row r="1577" spans="8:9" x14ac:dyDescent="0.25">
      <c r="H1577" t="s">
        <v>311</v>
      </c>
      <c r="I1577" t="s">
        <v>312</v>
      </c>
    </row>
    <row r="1578" spans="8:9" x14ac:dyDescent="0.25">
      <c r="H1578" t="s">
        <v>311</v>
      </c>
      <c r="I1578" t="s">
        <v>312</v>
      </c>
    </row>
    <row r="1579" spans="8:9" x14ac:dyDescent="0.25">
      <c r="H1579" t="s">
        <v>311</v>
      </c>
      <c r="I1579" t="s">
        <v>312</v>
      </c>
    </row>
    <row r="1580" spans="8:9" x14ac:dyDescent="0.25">
      <c r="H1580" t="s">
        <v>311</v>
      </c>
      <c r="I1580" t="s">
        <v>312</v>
      </c>
    </row>
    <row r="1581" spans="8:9" x14ac:dyDescent="0.25">
      <c r="H1581" t="s">
        <v>311</v>
      </c>
      <c r="I1581" t="s">
        <v>312</v>
      </c>
    </row>
    <row r="1582" spans="8:9" x14ac:dyDescent="0.25">
      <c r="H1582" t="s">
        <v>311</v>
      </c>
      <c r="I1582" t="s">
        <v>312</v>
      </c>
    </row>
    <row r="1583" spans="8:9" x14ac:dyDescent="0.25">
      <c r="H1583" t="s">
        <v>311</v>
      </c>
      <c r="I1583" t="s">
        <v>312</v>
      </c>
    </row>
    <row r="1584" spans="8:9" x14ac:dyDescent="0.25">
      <c r="H1584" t="s">
        <v>5932</v>
      </c>
      <c r="I1584" t="s">
        <v>312</v>
      </c>
    </row>
    <row r="1585" spans="8:9" x14ac:dyDescent="0.25">
      <c r="H1585" t="s">
        <v>311</v>
      </c>
      <c r="I1585" t="s">
        <v>312</v>
      </c>
    </row>
    <row r="1586" spans="8:9" x14ac:dyDescent="0.25">
      <c r="H1586" t="s">
        <v>5875</v>
      </c>
      <c r="I1586" t="s">
        <v>312</v>
      </c>
    </row>
    <row r="1587" spans="8:9" x14ac:dyDescent="0.25">
      <c r="H1587" t="s">
        <v>311</v>
      </c>
      <c r="I1587" t="s">
        <v>312</v>
      </c>
    </row>
    <row r="1588" spans="8:9" x14ac:dyDescent="0.25">
      <c r="H1588" t="s">
        <v>5803</v>
      </c>
      <c r="I1588" t="s">
        <v>312</v>
      </c>
    </row>
    <row r="1589" spans="8:9" x14ac:dyDescent="0.25">
      <c r="H1589" t="s">
        <v>5767</v>
      </c>
      <c r="I1589" t="s">
        <v>312</v>
      </c>
    </row>
    <row r="1590" spans="8:9" x14ac:dyDescent="0.25">
      <c r="H1590" t="s">
        <v>5736</v>
      </c>
      <c r="I1590" t="s">
        <v>312</v>
      </c>
    </row>
    <row r="1591" spans="8:9" x14ac:dyDescent="0.25">
      <c r="H1591" t="s">
        <v>311</v>
      </c>
      <c r="I1591" t="s">
        <v>312</v>
      </c>
    </row>
    <row r="1592" spans="8:9" x14ac:dyDescent="0.25">
      <c r="H1592" t="s">
        <v>311</v>
      </c>
      <c r="I1592" t="s">
        <v>312</v>
      </c>
    </row>
    <row r="1593" spans="8:9" x14ac:dyDescent="0.25">
      <c r="H1593" t="s">
        <v>311</v>
      </c>
      <c r="I1593" t="s">
        <v>312</v>
      </c>
    </row>
    <row r="1594" spans="8:9" x14ac:dyDescent="0.25">
      <c r="H1594" t="s">
        <v>5489</v>
      </c>
      <c r="I1594" t="s">
        <v>312</v>
      </c>
    </row>
    <row r="1595" spans="8:9" x14ac:dyDescent="0.25">
      <c r="H1595" t="s">
        <v>311</v>
      </c>
      <c r="I1595" t="s">
        <v>312</v>
      </c>
    </row>
    <row r="1596" spans="8:9" x14ac:dyDescent="0.25">
      <c r="H1596" t="s">
        <v>311</v>
      </c>
      <c r="I1596" t="s">
        <v>312</v>
      </c>
    </row>
    <row r="1597" spans="8:9" x14ac:dyDescent="0.25">
      <c r="H1597" t="s">
        <v>311</v>
      </c>
      <c r="I1597" t="s">
        <v>312</v>
      </c>
    </row>
    <row r="1598" spans="8:9" x14ac:dyDescent="0.25">
      <c r="H1598" t="s">
        <v>311</v>
      </c>
      <c r="I1598" t="s">
        <v>312</v>
      </c>
    </row>
    <row r="1599" spans="8:9" x14ac:dyDescent="0.25">
      <c r="H1599" t="s">
        <v>311</v>
      </c>
      <c r="I1599" t="s">
        <v>312</v>
      </c>
    </row>
    <row r="1600" spans="8:9" x14ac:dyDescent="0.25">
      <c r="H1600" t="s">
        <v>311</v>
      </c>
      <c r="I1600" t="s">
        <v>312</v>
      </c>
    </row>
    <row r="1601" spans="8:9" x14ac:dyDescent="0.25">
      <c r="H1601" t="s">
        <v>5349</v>
      </c>
      <c r="I1601" t="s">
        <v>312</v>
      </c>
    </row>
    <row r="1602" spans="8:9" x14ac:dyDescent="0.25">
      <c r="H1602" t="s">
        <v>311</v>
      </c>
      <c r="I1602" t="s">
        <v>312</v>
      </c>
    </row>
    <row r="1603" spans="8:9" x14ac:dyDescent="0.25">
      <c r="H1603" t="s">
        <v>5336</v>
      </c>
      <c r="I1603" t="s">
        <v>312</v>
      </c>
    </row>
    <row r="1604" spans="8:9" x14ac:dyDescent="0.25">
      <c r="H1604" t="s">
        <v>311</v>
      </c>
      <c r="I1604" t="s">
        <v>312</v>
      </c>
    </row>
    <row r="1605" spans="8:9" x14ac:dyDescent="0.25">
      <c r="H1605" t="s">
        <v>311</v>
      </c>
      <c r="I1605" t="s">
        <v>312</v>
      </c>
    </row>
    <row r="1606" spans="8:9" x14ac:dyDescent="0.25">
      <c r="H1606" t="s">
        <v>313</v>
      </c>
      <c r="I1606" t="s">
        <v>314</v>
      </c>
    </row>
    <row r="1607" spans="8:9" x14ac:dyDescent="0.25">
      <c r="H1607" t="s">
        <v>6221</v>
      </c>
      <c r="I1607" t="s">
        <v>314</v>
      </c>
    </row>
    <row r="1608" spans="8:9" x14ac:dyDescent="0.25">
      <c r="H1608" t="s">
        <v>5454</v>
      </c>
      <c r="I1608" t="s">
        <v>314</v>
      </c>
    </row>
    <row r="1609" spans="8:9" x14ac:dyDescent="0.25">
      <c r="H1609" t="s">
        <v>313</v>
      </c>
      <c r="I1609" t="s">
        <v>314</v>
      </c>
    </row>
    <row r="1610" spans="8:9" x14ac:dyDescent="0.25">
      <c r="H1610" t="s">
        <v>5689</v>
      </c>
      <c r="I1610" t="s">
        <v>314</v>
      </c>
    </row>
    <row r="1611" spans="8:9" x14ac:dyDescent="0.25">
      <c r="H1611" t="s">
        <v>313</v>
      </c>
      <c r="I1611" t="s">
        <v>314</v>
      </c>
    </row>
    <row r="1612" spans="8:9" x14ac:dyDescent="0.25">
      <c r="H1612" t="s">
        <v>313</v>
      </c>
      <c r="I1612" t="s">
        <v>314</v>
      </c>
    </row>
    <row r="1613" spans="8:9" x14ac:dyDescent="0.25">
      <c r="H1613" t="s">
        <v>313</v>
      </c>
      <c r="I1613" t="s">
        <v>314</v>
      </c>
    </row>
    <row r="1614" spans="8:9" x14ac:dyDescent="0.25">
      <c r="H1614" t="s">
        <v>313</v>
      </c>
      <c r="I1614" t="s">
        <v>314</v>
      </c>
    </row>
    <row r="1615" spans="8:9" x14ac:dyDescent="0.25">
      <c r="H1615" t="s">
        <v>313</v>
      </c>
      <c r="I1615" t="s">
        <v>314</v>
      </c>
    </row>
    <row r="1616" spans="8:9" x14ac:dyDescent="0.25">
      <c r="H1616" t="s">
        <v>313</v>
      </c>
      <c r="I1616" t="s">
        <v>314</v>
      </c>
    </row>
    <row r="1617" spans="8:9" x14ac:dyDescent="0.25">
      <c r="H1617" t="s">
        <v>313</v>
      </c>
      <c r="I1617" t="s">
        <v>314</v>
      </c>
    </row>
    <row r="1618" spans="8:9" x14ac:dyDescent="0.25">
      <c r="H1618" t="s">
        <v>313</v>
      </c>
      <c r="I1618" t="s">
        <v>314</v>
      </c>
    </row>
    <row r="1619" spans="8:9" x14ac:dyDescent="0.25">
      <c r="H1619" t="s">
        <v>313</v>
      </c>
      <c r="I1619" t="s">
        <v>314</v>
      </c>
    </row>
    <row r="1620" spans="8:9" x14ac:dyDescent="0.25">
      <c r="H1620" t="s">
        <v>313</v>
      </c>
      <c r="I1620" t="s">
        <v>314</v>
      </c>
    </row>
    <row r="1621" spans="8:9" x14ac:dyDescent="0.25">
      <c r="H1621" t="s">
        <v>6755</v>
      </c>
      <c r="I1621" t="s">
        <v>314</v>
      </c>
    </row>
    <row r="1622" spans="8:9" x14ac:dyDescent="0.25">
      <c r="H1622" t="s">
        <v>313</v>
      </c>
      <c r="I1622" t="s">
        <v>314</v>
      </c>
    </row>
    <row r="1623" spans="8:9" x14ac:dyDescent="0.25">
      <c r="H1623" t="s">
        <v>5664</v>
      </c>
      <c r="I1623" t="s">
        <v>314</v>
      </c>
    </row>
    <row r="1624" spans="8:9" x14ac:dyDescent="0.25">
      <c r="H1624" t="s">
        <v>5338</v>
      </c>
      <c r="I1624" t="s">
        <v>314</v>
      </c>
    </row>
    <row r="1625" spans="8:9" x14ac:dyDescent="0.25">
      <c r="H1625" t="s">
        <v>313</v>
      </c>
      <c r="I1625" t="s">
        <v>314</v>
      </c>
    </row>
    <row r="1626" spans="8:9" x14ac:dyDescent="0.25">
      <c r="H1626" t="s">
        <v>313</v>
      </c>
      <c r="I1626" t="s">
        <v>314</v>
      </c>
    </row>
    <row r="1627" spans="8:9" x14ac:dyDescent="0.25">
      <c r="H1627" t="s">
        <v>313</v>
      </c>
      <c r="I1627" t="s">
        <v>314</v>
      </c>
    </row>
    <row r="1628" spans="8:9" x14ac:dyDescent="0.25">
      <c r="H1628" t="s">
        <v>5977</v>
      </c>
      <c r="I1628" t="s">
        <v>314</v>
      </c>
    </row>
    <row r="1629" spans="8:9" x14ac:dyDescent="0.25">
      <c r="H1629" t="s">
        <v>313</v>
      </c>
      <c r="I1629" t="s">
        <v>314</v>
      </c>
    </row>
    <row r="1630" spans="8:9" x14ac:dyDescent="0.25">
      <c r="H1630" t="s">
        <v>6214</v>
      </c>
      <c r="I1630" t="s">
        <v>314</v>
      </c>
    </row>
    <row r="1631" spans="8:9" x14ac:dyDescent="0.25">
      <c r="H1631" t="s">
        <v>5664</v>
      </c>
      <c r="I1631" t="s">
        <v>314</v>
      </c>
    </row>
    <row r="1632" spans="8:9" x14ac:dyDescent="0.25">
      <c r="H1632" t="s">
        <v>6681</v>
      </c>
      <c r="I1632" t="s">
        <v>314</v>
      </c>
    </row>
    <row r="1633" spans="8:9" x14ac:dyDescent="0.25">
      <c r="H1633" t="s">
        <v>313</v>
      </c>
      <c r="I1633" t="s">
        <v>314</v>
      </c>
    </row>
    <row r="1634" spans="8:9" x14ac:dyDescent="0.25">
      <c r="H1634" t="s">
        <v>313</v>
      </c>
      <c r="I1634" t="s">
        <v>314</v>
      </c>
    </row>
    <row r="1635" spans="8:9" x14ac:dyDescent="0.25">
      <c r="H1635" t="s">
        <v>313</v>
      </c>
      <c r="I1635" t="s">
        <v>314</v>
      </c>
    </row>
    <row r="1636" spans="8:9" x14ac:dyDescent="0.25">
      <c r="H1636" t="s">
        <v>313</v>
      </c>
      <c r="I1636" t="s">
        <v>314</v>
      </c>
    </row>
    <row r="1637" spans="8:9" x14ac:dyDescent="0.25">
      <c r="H1637" t="s">
        <v>313</v>
      </c>
      <c r="I1637" t="s">
        <v>314</v>
      </c>
    </row>
    <row r="1638" spans="8:9" x14ac:dyDescent="0.25">
      <c r="H1638" t="s">
        <v>313</v>
      </c>
      <c r="I1638" t="s">
        <v>314</v>
      </c>
    </row>
    <row r="1639" spans="8:9" x14ac:dyDescent="0.25">
      <c r="H1639" t="s">
        <v>5664</v>
      </c>
      <c r="I1639" t="s">
        <v>314</v>
      </c>
    </row>
    <row r="1640" spans="8:9" x14ac:dyDescent="0.25">
      <c r="H1640" t="s">
        <v>313</v>
      </c>
      <c r="I1640" t="s">
        <v>314</v>
      </c>
    </row>
    <row r="1641" spans="8:9" x14ac:dyDescent="0.25">
      <c r="H1641" t="s">
        <v>313</v>
      </c>
      <c r="I1641" t="s">
        <v>314</v>
      </c>
    </row>
    <row r="1642" spans="8:9" x14ac:dyDescent="0.25">
      <c r="H1642" t="s">
        <v>313</v>
      </c>
      <c r="I1642" t="s">
        <v>314</v>
      </c>
    </row>
    <row r="1643" spans="8:9" x14ac:dyDescent="0.25">
      <c r="H1643" t="s">
        <v>313</v>
      </c>
      <c r="I1643" t="s">
        <v>314</v>
      </c>
    </row>
    <row r="1644" spans="8:9" x14ac:dyDescent="0.25">
      <c r="H1644" t="s">
        <v>313</v>
      </c>
      <c r="I1644" t="s">
        <v>314</v>
      </c>
    </row>
    <row r="1645" spans="8:9" x14ac:dyDescent="0.25">
      <c r="H1645" t="s">
        <v>313</v>
      </c>
      <c r="I1645" t="s">
        <v>314</v>
      </c>
    </row>
    <row r="1646" spans="8:9" x14ac:dyDescent="0.25">
      <c r="H1646" t="s">
        <v>313</v>
      </c>
      <c r="I1646" t="s">
        <v>314</v>
      </c>
    </row>
    <row r="1647" spans="8:9" x14ac:dyDescent="0.25">
      <c r="H1647" t="s">
        <v>313</v>
      </c>
      <c r="I1647" t="s">
        <v>314</v>
      </c>
    </row>
    <row r="1648" spans="8:9" x14ac:dyDescent="0.25">
      <c r="H1648" t="s">
        <v>313</v>
      </c>
      <c r="I1648" t="s">
        <v>314</v>
      </c>
    </row>
    <row r="1649" spans="8:9" x14ac:dyDescent="0.25">
      <c r="H1649" t="s">
        <v>5315</v>
      </c>
      <c r="I1649" t="s">
        <v>314</v>
      </c>
    </row>
    <row r="1650" spans="8:9" x14ac:dyDescent="0.25">
      <c r="H1650" t="s">
        <v>6575</v>
      </c>
      <c r="I1650" t="s">
        <v>314</v>
      </c>
    </row>
    <row r="1651" spans="8:9" x14ac:dyDescent="0.25">
      <c r="H1651" t="s">
        <v>313</v>
      </c>
      <c r="I1651" t="s">
        <v>314</v>
      </c>
    </row>
    <row r="1652" spans="8:9" x14ac:dyDescent="0.25">
      <c r="H1652" t="s">
        <v>6080</v>
      </c>
      <c r="I1652" t="s">
        <v>314</v>
      </c>
    </row>
    <row r="1653" spans="8:9" x14ac:dyDescent="0.25">
      <c r="H1653" t="s">
        <v>313</v>
      </c>
      <c r="I1653" t="s">
        <v>314</v>
      </c>
    </row>
    <row r="1654" spans="8:9" x14ac:dyDescent="0.25">
      <c r="H1654" t="s">
        <v>313</v>
      </c>
      <c r="I1654" t="s">
        <v>314</v>
      </c>
    </row>
    <row r="1655" spans="8:9" x14ac:dyDescent="0.25">
      <c r="H1655" t="s">
        <v>313</v>
      </c>
      <c r="I1655" t="s">
        <v>314</v>
      </c>
    </row>
    <row r="1656" spans="8:9" x14ac:dyDescent="0.25">
      <c r="H1656" t="s">
        <v>5315</v>
      </c>
      <c r="I1656" t="s">
        <v>314</v>
      </c>
    </row>
    <row r="1657" spans="8:9" x14ac:dyDescent="0.25">
      <c r="H1657" t="s">
        <v>5856</v>
      </c>
      <c r="I1657" t="s">
        <v>314</v>
      </c>
    </row>
    <row r="1658" spans="8:9" x14ac:dyDescent="0.25">
      <c r="H1658" t="s">
        <v>313</v>
      </c>
      <c r="I1658" t="s">
        <v>314</v>
      </c>
    </row>
    <row r="1659" spans="8:9" x14ac:dyDescent="0.25">
      <c r="H1659" t="s">
        <v>313</v>
      </c>
      <c r="I1659" t="s">
        <v>314</v>
      </c>
    </row>
    <row r="1660" spans="8:9" x14ac:dyDescent="0.25">
      <c r="H1660" t="s">
        <v>313</v>
      </c>
      <c r="I1660" t="s">
        <v>314</v>
      </c>
    </row>
    <row r="1661" spans="8:9" x14ac:dyDescent="0.25">
      <c r="H1661" t="s">
        <v>313</v>
      </c>
      <c r="I1661" t="s">
        <v>314</v>
      </c>
    </row>
    <row r="1662" spans="8:9" x14ac:dyDescent="0.25">
      <c r="H1662" t="s">
        <v>313</v>
      </c>
      <c r="I1662" t="s">
        <v>314</v>
      </c>
    </row>
    <row r="1663" spans="8:9" x14ac:dyDescent="0.25">
      <c r="H1663" t="s">
        <v>313</v>
      </c>
      <c r="I1663" t="s">
        <v>314</v>
      </c>
    </row>
    <row r="1664" spans="8:9" x14ac:dyDescent="0.25">
      <c r="H1664" t="s">
        <v>5856</v>
      </c>
      <c r="I1664" t="s">
        <v>314</v>
      </c>
    </row>
    <row r="1665" spans="8:9" x14ac:dyDescent="0.25">
      <c r="H1665" t="s">
        <v>5681</v>
      </c>
      <c r="I1665" t="s">
        <v>314</v>
      </c>
    </row>
    <row r="1666" spans="8:9" x14ac:dyDescent="0.25">
      <c r="H1666" t="s">
        <v>5977</v>
      </c>
      <c r="I1666" t="s">
        <v>314</v>
      </c>
    </row>
    <row r="1667" spans="8:9" x14ac:dyDescent="0.25">
      <c r="H1667" t="s">
        <v>313</v>
      </c>
      <c r="I1667" t="s">
        <v>314</v>
      </c>
    </row>
    <row r="1668" spans="8:9" x14ac:dyDescent="0.25">
      <c r="H1668" t="s">
        <v>313</v>
      </c>
      <c r="I1668" t="s">
        <v>314</v>
      </c>
    </row>
    <row r="1669" spans="8:9" x14ac:dyDescent="0.25">
      <c r="H1669" t="s">
        <v>313</v>
      </c>
      <c r="I1669" t="s">
        <v>314</v>
      </c>
    </row>
    <row r="1670" spans="8:9" x14ac:dyDescent="0.25">
      <c r="H1670" t="s">
        <v>313</v>
      </c>
      <c r="I1670" t="s">
        <v>314</v>
      </c>
    </row>
    <row r="1671" spans="8:9" x14ac:dyDescent="0.25">
      <c r="H1671" t="s">
        <v>313</v>
      </c>
      <c r="I1671" t="s">
        <v>314</v>
      </c>
    </row>
    <row r="1672" spans="8:9" x14ac:dyDescent="0.25">
      <c r="H1672" t="s">
        <v>313</v>
      </c>
      <c r="I1672" t="s">
        <v>314</v>
      </c>
    </row>
    <row r="1673" spans="8:9" x14ac:dyDescent="0.25">
      <c r="H1673" t="s">
        <v>5315</v>
      </c>
      <c r="I1673" t="s">
        <v>314</v>
      </c>
    </row>
    <row r="1674" spans="8:9" x14ac:dyDescent="0.25">
      <c r="H1674" t="s">
        <v>6465</v>
      </c>
      <c r="I1674" t="s">
        <v>314</v>
      </c>
    </row>
    <row r="1675" spans="8:9" x14ac:dyDescent="0.25">
      <c r="H1675" t="s">
        <v>313</v>
      </c>
      <c r="I1675" t="s">
        <v>314</v>
      </c>
    </row>
    <row r="1676" spans="8:9" x14ac:dyDescent="0.25">
      <c r="H1676" t="s">
        <v>313</v>
      </c>
      <c r="I1676" t="s">
        <v>314</v>
      </c>
    </row>
    <row r="1677" spans="8:9" x14ac:dyDescent="0.25">
      <c r="H1677" t="s">
        <v>313</v>
      </c>
      <c r="I1677" t="s">
        <v>314</v>
      </c>
    </row>
    <row r="1678" spans="8:9" x14ac:dyDescent="0.25">
      <c r="H1678" t="s">
        <v>313</v>
      </c>
      <c r="I1678" t="s">
        <v>314</v>
      </c>
    </row>
    <row r="1679" spans="8:9" x14ac:dyDescent="0.25">
      <c r="H1679" t="s">
        <v>313</v>
      </c>
      <c r="I1679" t="s">
        <v>314</v>
      </c>
    </row>
    <row r="1680" spans="8:9" x14ac:dyDescent="0.25">
      <c r="H1680" t="s">
        <v>313</v>
      </c>
      <c r="I1680" t="s">
        <v>314</v>
      </c>
    </row>
    <row r="1681" spans="8:9" x14ac:dyDescent="0.25">
      <c r="H1681" t="s">
        <v>313</v>
      </c>
      <c r="I1681" t="s">
        <v>314</v>
      </c>
    </row>
    <row r="1682" spans="8:9" x14ac:dyDescent="0.25">
      <c r="H1682" t="s">
        <v>313</v>
      </c>
      <c r="I1682" t="s">
        <v>314</v>
      </c>
    </row>
    <row r="1683" spans="8:9" x14ac:dyDescent="0.25">
      <c r="H1683" t="s">
        <v>5567</v>
      </c>
      <c r="I1683" t="s">
        <v>314</v>
      </c>
    </row>
    <row r="1684" spans="8:9" x14ac:dyDescent="0.25">
      <c r="H1684" t="s">
        <v>5496</v>
      </c>
      <c r="I1684" t="s">
        <v>314</v>
      </c>
    </row>
    <row r="1685" spans="8:9" x14ac:dyDescent="0.25">
      <c r="H1685" t="s">
        <v>313</v>
      </c>
      <c r="I1685" t="s">
        <v>314</v>
      </c>
    </row>
    <row r="1686" spans="8:9" x14ac:dyDescent="0.25">
      <c r="H1686" t="s">
        <v>313</v>
      </c>
      <c r="I1686" t="s">
        <v>314</v>
      </c>
    </row>
    <row r="1687" spans="8:9" x14ac:dyDescent="0.25">
      <c r="H1687" t="s">
        <v>313</v>
      </c>
      <c r="I1687" t="s">
        <v>314</v>
      </c>
    </row>
    <row r="1688" spans="8:9" x14ac:dyDescent="0.25">
      <c r="H1688" t="s">
        <v>313</v>
      </c>
      <c r="I1688" t="s">
        <v>314</v>
      </c>
    </row>
    <row r="1689" spans="8:9" x14ac:dyDescent="0.25">
      <c r="H1689" t="s">
        <v>6362</v>
      </c>
      <c r="I1689" t="s">
        <v>314</v>
      </c>
    </row>
    <row r="1690" spans="8:9" x14ac:dyDescent="0.25">
      <c r="H1690" t="s">
        <v>313</v>
      </c>
      <c r="I1690" t="s">
        <v>314</v>
      </c>
    </row>
    <row r="1691" spans="8:9" x14ac:dyDescent="0.25">
      <c r="H1691" t="s">
        <v>5315</v>
      </c>
      <c r="I1691" t="s">
        <v>314</v>
      </c>
    </row>
    <row r="1692" spans="8:9" x14ac:dyDescent="0.25">
      <c r="H1692" t="s">
        <v>313</v>
      </c>
      <c r="I1692" t="s">
        <v>314</v>
      </c>
    </row>
    <row r="1693" spans="8:9" x14ac:dyDescent="0.25">
      <c r="H1693" t="s">
        <v>313</v>
      </c>
      <c r="I1693" t="s">
        <v>314</v>
      </c>
    </row>
    <row r="1694" spans="8:9" x14ac:dyDescent="0.25">
      <c r="H1694" t="s">
        <v>313</v>
      </c>
      <c r="I1694" t="s">
        <v>314</v>
      </c>
    </row>
    <row r="1695" spans="8:9" x14ac:dyDescent="0.25">
      <c r="H1695" t="s">
        <v>313</v>
      </c>
      <c r="I1695" t="s">
        <v>314</v>
      </c>
    </row>
    <row r="1696" spans="8:9" x14ac:dyDescent="0.25">
      <c r="H1696" t="s">
        <v>313</v>
      </c>
      <c r="I1696" t="s">
        <v>314</v>
      </c>
    </row>
    <row r="1697" spans="8:9" x14ac:dyDescent="0.25">
      <c r="H1697" t="s">
        <v>313</v>
      </c>
      <c r="I1697" t="s">
        <v>314</v>
      </c>
    </row>
    <row r="1698" spans="8:9" x14ac:dyDescent="0.25">
      <c r="H1698" t="s">
        <v>313</v>
      </c>
      <c r="I1698" t="s">
        <v>314</v>
      </c>
    </row>
    <row r="1699" spans="8:9" x14ac:dyDescent="0.25">
      <c r="H1699" t="s">
        <v>313</v>
      </c>
      <c r="I1699" t="s">
        <v>314</v>
      </c>
    </row>
    <row r="1700" spans="8:9" x14ac:dyDescent="0.25">
      <c r="H1700" t="s">
        <v>5454</v>
      </c>
      <c r="I1700" t="s">
        <v>314</v>
      </c>
    </row>
    <row r="1701" spans="8:9" x14ac:dyDescent="0.25">
      <c r="H1701" t="s">
        <v>4943</v>
      </c>
      <c r="I1701" t="s">
        <v>314</v>
      </c>
    </row>
    <row r="1702" spans="8:9" x14ac:dyDescent="0.25">
      <c r="H1702" t="s">
        <v>5532</v>
      </c>
      <c r="I1702" t="s">
        <v>314</v>
      </c>
    </row>
    <row r="1703" spans="8:9" x14ac:dyDescent="0.25">
      <c r="H1703" t="s">
        <v>4943</v>
      </c>
      <c r="I1703" t="s">
        <v>314</v>
      </c>
    </row>
    <row r="1704" spans="8:9" x14ac:dyDescent="0.25">
      <c r="H1704" t="s">
        <v>6285</v>
      </c>
      <c r="I1704" t="s">
        <v>314</v>
      </c>
    </row>
    <row r="1705" spans="8:9" x14ac:dyDescent="0.25">
      <c r="H1705" t="s">
        <v>313</v>
      </c>
      <c r="I1705" t="s">
        <v>314</v>
      </c>
    </row>
    <row r="1706" spans="8:9" x14ac:dyDescent="0.25">
      <c r="H1706" t="s">
        <v>313</v>
      </c>
      <c r="I1706" t="s">
        <v>314</v>
      </c>
    </row>
    <row r="1707" spans="8:9" x14ac:dyDescent="0.25">
      <c r="H1707" t="s">
        <v>313</v>
      </c>
      <c r="I1707" t="s">
        <v>314</v>
      </c>
    </row>
    <row r="1708" spans="8:9" x14ac:dyDescent="0.25">
      <c r="H1708" t="s">
        <v>313</v>
      </c>
      <c r="I1708" t="s">
        <v>314</v>
      </c>
    </row>
    <row r="1709" spans="8:9" x14ac:dyDescent="0.25">
      <c r="H1709" t="s">
        <v>313</v>
      </c>
      <c r="I1709" t="s">
        <v>314</v>
      </c>
    </row>
    <row r="1710" spans="8:9" x14ac:dyDescent="0.25">
      <c r="H1710" t="s">
        <v>313</v>
      </c>
      <c r="I1710" t="s">
        <v>314</v>
      </c>
    </row>
    <row r="1711" spans="8:9" x14ac:dyDescent="0.25">
      <c r="H1711" t="s">
        <v>313</v>
      </c>
      <c r="I1711" t="s">
        <v>314</v>
      </c>
    </row>
    <row r="1712" spans="8:9" x14ac:dyDescent="0.25">
      <c r="H1712" t="s">
        <v>313</v>
      </c>
      <c r="I1712" t="s">
        <v>314</v>
      </c>
    </row>
    <row r="1713" spans="8:9" x14ac:dyDescent="0.25">
      <c r="H1713" t="s">
        <v>313</v>
      </c>
      <c r="I1713" t="s">
        <v>314</v>
      </c>
    </row>
    <row r="1714" spans="8:9" x14ac:dyDescent="0.25">
      <c r="H1714" t="s">
        <v>6214</v>
      </c>
      <c r="I1714" t="s">
        <v>314</v>
      </c>
    </row>
    <row r="1715" spans="8:9" x14ac:dyDescent="0.25">
      <c r="H1715" t="s">
        <v>6221</v>
      </c>
      <c r="I1715" t="s">
        <v>314</v>
      </c>
    </row>
    <row r="1716" spans="8:9" x14ac:dyDescent="0.25">
      <c r="H1716" t="s">
        <v>313</v>
      </c>
      <c r="I1716" t="s">
        <v>314</v>
      </c>
    </row>
    <row r="1717" spans="8:9" x14ac:dyDescent="0.25">
      <c r="H1717" t="s">
        <v>313</v>
      </c>
      <c r="I1717" t="s">
        <v>314</v>
      </c>
    </row>
    <row r="1718" spans="8:9" x14ac:dyDescent="0.25">
      <c r="H1718" t="s">
        <v>313</v>
      </c>
      <c r="I1718" t="s">
        <v>314</v>
      </c>
    </row>
    <row r="1719" spans="8:9" x14ac:dyDescent="0.25">
      <c r="H1719" t="s">
        <v>6214</v>
      </c>
      <c r="I1719" t="s">
        <v>314</v>
      </c>
    </row>
    <row r="1720" spans="8:9" x14ac:dyDescent="0.25">
      <c r="H1720" t="s">
        <v>313</v>
      </c>
      <c r="I1720" t="s">
        <v>314</v>
      </c>
    </row>
    <row r="1721" spans="8:9" x14ac:dyDescent="0.25">
      <c r="H1721" t="s">
        <v>5338</v>
      </c>
      <c r="I1721" t="s">
        <v>314</v>
      </c>
    </row>
    <row r="1722" spans="8:9" x14ac:dyDescent="0.25">
      <c r="H1722" t="s">
        <v>313</v>
      </c>
      <c r="I1722" t="s">
        <v>314</v>
      </c>
    </row>
    <row r="1723" spans="8:9" x14ac:dyDescent="0.25">
      <c r="H1723" t="s">
        <v>313</v>
      </c>
      <c r="I1723" t="s">
        <v>314</v>
      </c>
    </row>
    <row r="1724" spans="8:9" x14ac:dyDescent="0.25">
      <c r="H1724" t="s">
        <v>313</v>
      </c>
      <c r="I1724" t="s">
        <v>314</v>
      </c>
    </row>
    <row r="1725" spans="8:9" x14ac:dyDescent="0.25">
      <c r="H1725" t="s">
        <v>313</v>
      </c>
      <c r="I1725" t="s">
        <v>314</v>
      </c>
    </row>
    <row r="1726" spans="8:9" x14ac:dyDescent="0.25">
      <c r="H1726" t="s">
        <v>313</v>
      </c>
      <c r="I1726" t="s">
        <v>314</v>
      </c>
    </row>
    <row r="1727" spans="8:9" x14ac:dyDescent="0.25">
      <c r="H1727" t="s">
        <v>5567</v>
      </c>
      <c r="I1727" t="s">
        <v>314</v>
      </c>
    </row>
    <row r="1728" spans="8:9" x14ac:dyDescent="0.25">
      <c r="H1728" t="s">
        <v>313</v>
      </c>
      <c r="I1728" t="s">
        <v>314</v>
      </c>
    </row>
    <row r="1729" spans="8:9" x14ac:dyDescent="0.25">
      <c r="H1729" t="s">
        <v>6177</v>
      </c>
      <c r="I1729" t="s">
        <v>314</v>
      </c>
    </row>
    <row r="1730" spans="8:9" x14ac:dyDescent="0.25">
      <c r="H1730" t="s">
        <v>313</v>
      </c>
      <c r="I1730" t="s">
        <v>314</v>
      </c>
    </row>
    <row r="1731" spans="8:9" x14ac:dyDescent="0.25">
      <c r="H1731" t="s">
        <v>313</v>
      </c>
      <c r="I1731" t="s">
        <v>314</v>
      </c>
    </row>
    <row r="1732" spans="8:9" x14ac:dyDescent="0.25">
      <c r="H1732" t="s">
        <v>5683</v>
      </c>
      <c r="I1732" t="s">
        <v>314</v>
      </c>
    </row>
    <row r="1733" spans="8:9" x14ac:dyDescent="0.25">
      <c r="H1733" t="s">
        <v>5315</v>
      </c>
      <c r="I1733" t="s">
        <v>314</v>
      </c>
    </row>
    <row r="1734" spans="8:9" x14ac:dyDescent="0.25">
      <c r="H1734" t="s">
        <v>313</v>
      </c>
      <c r="I1734" t="s">
        <v>314</v>
      </c>
    </row>
    <row r="1735" spans="8:9" x14ac:dyDescent="0.25">
      <c r="H1735" t="s">
        <v>313</v>
      </c>
      <c r="I1735" t="s">
        <v>314</v>
      </c>
    </row>
    <row r="1736" spans="8:9" x14ac:dyDescent="0.25">
      <c r="H1736" t="s">
        <v>313</v>
      </c>
      <c r="I1736" t="s">
        <v>314</v>
      </c>
    </row>
    <row r="1737" spans="8:9" x14ac:dyDescent="0.25">
      <c r="H1737" t="s">
        <v>313</v>
      </c>
      <c r="I1737" t="s">
        <v>314</v>
      </c>
    </row>
    <row r="1738" spans="8:9" x14ac:dyDescent="0.25">
      <c r="H1738" t="s">
        <v>313</v>
      </c>
      <c r="I1738" t="s">
        <v>314</v>
      </c>
    </row>
    <row r="1739" spans="8:9" x14ac:dyDescent="0.25">
      <c r="H1739" t="s">
        <v>313</v>
      </c>
      <c r="I1739" t="s">
        <v>314</v>
      </c>
    </row>
    <row r="1740" spans="8:9" x14ac:dyDescent="0.25">
      <c r="H1740" t="s">
        <v>313</v>
      </c>
      <c r="I1740" t="s">
        <v>314</v>
      </c>
    </row>
    <row r="1741" spans="8:9" x14ac:dyDescent="0.25">
      <c r="H1741" t="s">
        <v>313</v>
      </c>
      <c r="I1741" t="s">
        <v>314</v>
      </c>
    </row>
    <row r="1742" spans="8:9" x14ac:dyDescent="0.25">
      <c r="H1742" t="s">
        <v>313</v>
      </c>
      <c r="I1742" t="s">
        <v>314</v>
      </c>
    </row>
    <row r="1743" spans="8:9" x14ac:dyDescent="0.25">
      <c r="H1743" t="s">
        <v>6080</v>
      </c>
      <c r="I1743" t="s">
        <v>314</v>
      </c>
    </row>
    <row r="1744" spans="8:9" x14ac:dyDescent="0.25">
      <c r="H1744" t="s">
        <v>6078</v>
      </c>
      <c r="I1744" t="s">
        <v>314</v>
      </c>
    </row>
    <row r="1745" spans="8:9" x14ac:dyDescent="0.25">
      <c r="H1745" t="s">
        <v>313</v>
      </c>
      <c r="I1745" t="s">
        <v>314</v>
      </c>
    </row>
    <row r="1746" spans="8:9" x14ac:dyDescent="0.25">
      <c r="H1746" t="s">
        <v>4943</v>
      </c>
      <c r="I1746" t="s">
        <v>314</v>
      </c>
    </row>
    <row r="1747" spans="8:9" x14ac:dyDescent="0.25">
      <c r="H1747" t="s">
        <v>5454</v>
      </c>
      <c r="I1747" t="s">
        <v>314</v>
      </c>
    </row>
    <row r="1748" spans="8:9" x14ac:dyDescent="0.25">
      <c r="H1748" t="s">
        <v>313</v>
      </c>
      <c r="I1748" t="s">
        <v>314</v>
      </c>
    </row>
    <row r="1749" spans="8:9" x14ac:dyDescent="0.25">
      <c r="H1749" t="s">
        <v>313</v>
      </c>
      <c r="I1749" t="s">
        <v>314</v>
      </c>
    </row>
    <row r="1750" spans="8:9" x14ac:dyDescent="0.25">
      <c r="H1750" t="s">
        <v>6036</v>
      </c>
      <c r="I1750" t="s">
        <v>314</v>
      </c>
    </row>
    <row r="1751" spans="8:9" x14ac:dyDescent="0.25">
      <c r="H1751" t="s">
        <v>313</v>
      </c>
      <c r="I1751" t="s">
        <v>314</v>
      </c>
    </row>
    <row r="1752" spans="8:9" x14ac:dyDescent="0.25">
      <c r="H1752" t="s">
        <v>313</v>
      </c>
      <c r="I1752" t="s">
        <v>314</v>
      </c>
    </row>
    <row r="1753" spans="8:9" x14ac:dyDescent="0.25">
      <c r="H1753" t="s">
        <v>313</v>
      </c>
      <c r="I1753" t="s">
        <v>314</v>
      </c>
    </row>
    <row r="1754" spans="8:9" x14ac:dyDescent="0.25">
      <c r="H1754" t="s">
        <v>313</v>
      </c>
      <c r="I1754" t="s">
        <v>314</v>
      </c>
    </row>
    <row r="1755" spans="8:9" x14ac:dyDescent="0.25">
      <c r="H1755" t="s">
        <v>313</v>
      </c>
      <c r="I1755" t="s">
        <v>314</v>
      </c>
    </row>
    <row r="1756" spans="8:9" x14ac:dyDescent="0.25">
      <c r="H1756" t="s">
        <v>313</v>
      </c>
      <c r="I1756" t="s">
        <v>314</v>
      </c>
    </row>
    <row r="1757" spans="8:9" x14ac:dyDescent="0.25">
      <c r="H1757" t="s">
        <v>313</v>
      </c>
      <c r="I1757" t="s">
        <v>314</v>
      </c>
    </row>
    <row r="1758" spans="8:9" x14ac:dyDescent="0.25">
      <c r="H1758" t="s">
        <v>313</v>
      </c>
      <c r="I1758" t="s">
        <v>314</v>
      </c>
    </row>
    <row r="1759" spans="8:9" x14ac:dyDescent="0.25">
      <c r="H1759" t="s">
        <v>5977</v>
      </c>
      <c r="I1759" t="s">
        <v>314</v>
      </c>
    </row>
    <row r="1760" spans="8:9" x14ac:dyDescent="0.25">
      <c r="H1760" t="s">
        <v>313</v>
      </c>
      <c r="I1760" t="s">
        <v>314</v>
      </c>
    </row>
    <row r="1761" spans="8:9" x14ac:dyDescent="0.25">
      <c r="H1761" t="s">
        <v>313</v>
      </c>
      <c r="I1761" t="s">
        <v>314</v>
      </c>
    </row>
    <row r="1762" spans="8:9" x14ac:dyDescent="0.25">
      <c r="H1762" t="s">
        <v>313</v>
      </c>
      <c r="I1762" t="s">
        <v>314</v>
      </c>
    </row>
    <row r="1763" spans="8:9" x14ac:dyDescent="0.25">
      <c r="H1763" t="s">
        <v>5608</v>
      </c>
      <c r="I1763" t="s">
        <v>314</v>
      </c>
    </row>
    <row r="1764" spans="8:9" x14ac:dyDescent="0.25">
      <c r="H1764" t="s">
        <v>313</v>
      </c>
      <c r="I1764" t="s">
        <v>314</v>
      </c>
    </row>
    <row r="1765" spans="8:9" x14ac:dyDescent="0.25">
      <c r="H1765" t="s">
        <v>313</v>
      </c>
      <c r="I1765" t="s">
        <v>314</v>
      </c>
    </row>
    <row r="1766" spans="8:9" x14ac:dyDescent="0.25">
      <c r="H1766" t="s">
        <v>313</v>
      </c>
      <c r="I1766" t="s">
        <v>314</v>
      </c>
    </row>
    <row r="1767" spans="8:9" x14ac:dyDescent="0.25">
      <c r="H1767" t="s">
        <v>5911</v>
      </c>
      <c r="I1767" t="s">
        <v>314</v>
      </c>
    </row>
    <row r="1768" spans="8:9" x14ac:dyDescent="0.25">
      <c r="H1768" t="s">
        <v>313</v>
      </c>
      <c r="I1768" t="s">
        <v>314</v>
      </c>
    </row>
    <row r="1769" spans="8:9" x14ac:dyDescent="0.25">
      <c r="H1769" t="s">
        <v>313</v>
      </c>
      <c r="I1769" t="s">
        <v>314</v>
      </c>
    </row>
    <row r="1770" spans="8:9" x14ac:dyDescent="0.25">
      <c r="H1770" t="s">
        <v>313</v>
      </c>
      <c r="I1770" t="s">
        <v>314</v>
      </c>
    </row>
    <row r="1771" spans="8:9" x14ac:dyDescent="0.25">
      <c r="H1771" t="s">
        <v>313</v>
      </c>
      <c r="I1771" t="s">
        <v>314</v>
      </c>
    </row>
    <row r="1772" spans="8:9" x14ac:dyDescent="0.25">
      <c r="H1772" t="s">
        <v>313</v>
      </c>
      <c r="I1772" t="s">
        <v>314</v>
      </c>
    </row>
    <row r="1773" spans="8:9" x14ac:dyDescent="0.25">
      <c r="H1773" t="s">
        <v>313</v>
      </c>
      <c r="I1773" t="s">
        <v>314</v>
      </c>
    </row>
    <row r="1774" spans="8:9" x14ac:dyDescent="0.25">
      <c r="H1774" t="s">
        <v>313</v>
      </c>
      <c r="I1774" t="s">
        <v>314</v>
      </c>
    </row>
    <row r="1775" spans="8:9" x14ac:dyDescent="0.25">
      <c r="H1775" t="s">
        <v>5856</v>
      </c>
      <c r="I1775" t="s">
        <v>314</v>
      </c>
    </row>
    <row r="1776" spans="8:9" x14ac:dyDescent="0.25">
      <c r="H1776" t="s">
        <v>313</v>
      </c>
      <c r="I1776" t="s">
        <v>314</v>
      </c>
    </row>
    <row r="1777" spans="8:9" x14ac:dyDescent="0.25">
      <c r="H1777" t="s">
        <v>5845</v>
      </c>
      <c r="I1777" t="s">
        <v>314</v>
      </c>
    </row>
    <row r="1778" spans="8:9" x14ac:dyDescent="0.25">
      <c r="H1778" t="s">
        <v>4943</v>
      </c>
      <c r="I1778" t="s">
        <v>314</v>
      </c>
    </row>
    <row r="1779" spans="8:9" x14ac:dyDescent="0.25">
      <c r="H1779" t="s">
        <v>313</v>
      </c>
      <c r="I1779" t="s">
        <v>314</v>
      </c>
    </row>
    <row r="1780" spans="8:9" x14ac:dyDescent="0.25">
      <c r="H1780" t="s">
        <v>5799</v>
      </c>
      <c r="I1780" t="s">
        <v>314</v>
      </c>
    </row>
    <row r="1781" spans="8:9" x14ac:dyDescent="0.25">
      <c r="H1781" t="s">
        <v>5315</v>
      </c>
      <c r="I1781" t="s">
        <v>314</v>
      </c>
    </row>
    <row r="1782" spans="8:9" x14ac:dyDescent="0.25">
      <c r="H1782" t="s">
        <v>313</v>
      </c>
      <c r="I1782" t="s">
        <v>314</v>
      </c>
    </row>
    <row r="1783" spans="8:9" x14ac:dyDescent="0.25">
      <c r="H1783" t="s">
        <v>4943</v>
      </c>
      <c r="I1783" t="s">
        <v>314</v>
      </c>
    </row>
    <row r="1784" spans="8:9" x14ac:dyDescent="0.25">
      <c r="H1784" t="s">
        <v>313</v>
      </c>
      <c r="I1784" t="s">
        <v>314</v>
      </c>
    </row>
    <row r="1785" spans="8:9" x14ac:dyDescent="0.25">
      <c r="H1785" t="s">
        <v>313</v>
      </c>
      <c r="I1785" t="s">
        <v>314</v>
      </c>
    </row>
    <row r="1786" spans="8:9" x14ac:dyDescent="0.25">
      <c r="H1786" t="s">
        <v>5743</v>
      </c>
      <c r="I1786" t="s">
        <v>314</v>
      </c>
    </row>
    <row r="1787" spans="8:9" x14ac:dyDescent="0.25">
      <c r="H1787" t="s">
        <v>313</v>
      </c>
      <c r="I1787" t="s">
        <v>314</v>
      </c>
    </row>
    <row r="1788" spans="8:9" x14ac:dyDescent="0.25">
      <c r="H1788" t="s">
        <v>313</v>
      </c>
      <c r="I1788" t="s">
        <v>314</v>
      </c>
    </row>
    <row r="1789" spans="8:9" x14ac:dyDescent="0.25">
      <c r="H1789" t="s">
        <v>313</v>
      </c>
      <c r="I1789" t="s">
        <v>314</v>
      </c>
    </row>
    <row r="1790" spans="8:9" x14ac:dyDescent="0.25">
      <c r="H1790" t="s">
        <v>313</v>
      </c>
      <c r="I1790" t="s">
        <v>314</v>
      </c>
    </row>
    <row r="1791" spans="8:9" x14ac:dyDescent="0.25">
      <c r="H1791" t="s">
        <v>5659</v>
      </c>
      <c r="I1791" t="s">
        <v>314</v>
      </c>
    </row>
    <row r="1792" spans="8:9" x14ac:dyDescent="0.25">
      <c r="H1792" t="s">
        <v>313</v>
      </c>
      <c r="I1792" t="s">
        <v>314</v>
      </c>
    </row>
    <row r="1793" spans="8:9" x14ac:dyDescent="0.25">
      <c r="H1793" t="s">
        <v>5689</v>
      </c>
      <c r="I1793" t="s">
        <v>314</v>
      </c>
    </row>
    <row r="1794" spans="8:9" x14ac:dyDescent="0.25">
      <c r="H1794" t="s">
        <v>5683</v>
      </c>
      <c r="I1794" t="s">
        <v>314</v>
      </c>
    </row>
    <row r="1795" spans="8:9" x14ac:dyDescent="0.25">
      <c r="H1795" t="s">
        <v>5681</v>
      </c>
      <c r="I1795" t="s">
        <v>314</v>
      </c>
    </row>
    <row r="1796" spans="8:9" x14ac:dyDescent="0.25">
      <c r="H1796" t="s">
        <v>313</v>
      </c>
      <c r="I1796" t="s">
        <v>314</v>
      </c>
    </row>
    <row r="1797" spans="8:9" x14ac:dyDescent="0.25">
      <c r="H1797" t="s">
        <v>5664</v>
      </c>
      <c r="I1797" t="s">
        <v>314</v>
      </c>
    </row>
    <row r="1798" spans="8:9" x14ac:dyDescent="0.25">
      <c r="H1798" t="s">
        <v>313</v>
      </c>
      <c r="I1798" t="s">
        <v>314</v>
      </c>
    </row>
    <row r="1799" spans="8:9" x14ac:dyDescent="0.25">
      <c r="H1799" t="s">
        <v>313</v>
      </c>
      <c r="I1799" t="s">
        <v>314</v>
      </c>
    </row>
    <row r="1800" spans="8:9" x14ac:dyDescent="0.25">
      <c r="H1800" t="s">
        <v>313</v>
      </c>
      <c r="I1800" t="s">
        <v>314</v>
      </c>
    </row>
    <row r="1801" spans="8:9" x14ac:dyDescent="0.25">
      <c r="H1801" t="s">
        <v>5659</v>
      </c>
      <c r="I1801" t="s">
        <v>314</v>
      </c>
    </row>
    <row r="1802" spans="8:9" x14ac:dyDescent="0.25">
      <c r="H1802" t="s">
        <v>313</v>
      </c>
      <c r="I1802" t="s">
        <v>314</v>
      </c>
    </row>
    <row r="1803" spans="8:9" x14ac:dyDescent="0.25">
      <c r="H1803" t="s">
        <v>313</v>
      </c>
      <c r="I1803" t="s">
        <v>314</v>
      </c>
    </row>
    <row r="1804" spans="8:9" x14ac:dyDescent="0.25">
      <c r="H1804" t="s">
        <v>313</v>
      </c>
      <c r="I1804" t="s">
        <v>314</v>
      </c>
    </row>
    <row r="1805" spans="8:9" x14ac:dyDescent="0.25">
      <c r="H1805" t="s">
        <v>5454</v>
      </c>
      <c r="I1805" t="s">
        <v>314</v>
      </c>
    </row>
    <row r="1806" spans="8:9" x14ac:dyDescent="0.25">
      <c r="H1806" t="s">
        <v>5608</v>
      </c>
      <c r="I1806" t="s">
        <v>314</v>
      </c>
    </row>
    <row r="1807" spans="8:9" x14ac:dyDescent="0.25">
      <c r="H1807" t="s">
        <v>4943</v>
      </c>
      <c r="I1807" t="s">
        <v>314</v>
      </c>
    </row>
    <row r="1808" spans="8:9" x14ac:dyDescent="0.25">
      <c r="H1808" t="s">
        <v>313</v>
      </c>
      <c r="I1808" t="s">
        <v>314</v>
      </c>
    </row>
    <row r="1809" spans="8:9" x14ac:dyDescent="0.25">
      <c r="H1809" t="s">
        <v>313</v>
      </c>
      <c r="I1809" t="s">
        <v>314</v>
      </c>
    </row>
    <row r="1810" spans="8:9" x14ac:dyDescent="0.25">
      <c r="H1810" t="s">
        <v>313</v>
      </c>
      <c r="I1810" t="s">
        <v>314</v>
      </c>
    </row>
    <row r="1811" spans="8:9" x14ac:dyDescent="0.25">
      <c r="H1811" t="s">
        <v>313</v>
      </c>
      <c r="I1811" t="s">
        <v>314</v>
      </c>
    </row>
    <row r="1812" spans="8:9" x14ac:dyDescent="0.25">
      <c r="H1812" t="s">
        <v>5567</v>
      </c>
      <c r="I1812" t="s">
        <v>314</v>
      </c>
    </row>
    <row r="1813" spans="8:9" x14ac:dyDescent="0.25">
      <c r="H1813" t="s">
        <v>4864</v>
      </c>
      <c r="I1813" t="s">
        <v>314</v>
      </c>
    </row>
    <row r="1814" spans="8:9" x14ac:dyDescent="0.25">
      <c r="H1814" t="s">
        <v>313</v>
      </c>
      <c r="I1814" t="s">
        <v>314</v>
      </c>
    </row>
    <row r="1815" spans="8:9" x14ac:dyDescent="0.25">
      <c r="H1815" t="s">
        <v>313</v>
      </c>
      <c r="I1815" t="s">
        <v>314</v>
      </c>
    </row>
    <row r="1816" spans="8:9" x14ac:dyDescent="0.25">
      <c r="H1816" t="s">
        <v>313</v>
      </c>
      <c r="I1816" t="s">
        <v>314</v>
      </c>
    </row>
    <row r="1817" spans="8:9" x14ac:dyDescent="0.25">
      <c r="H1817" t="s">
        <v>5532</v>
      </c>
      <c r="I1817" t="s">
        <v>314</v>
      </c>
    </row>
    <row r="1818" spans="8:9" x14ac:dyDescent="0.25">
      <c r="H1818" t="s">
        <v>313</v>
      </c>
      <c r="I1818" t="s">
        <v>314</v>
      </c>
    </row>
    <row r="1819" spans="8:9" x14ac:dyDescent="0.25">
      <c r="H1819" t="s">
        <v>313</v>
      </c>
      <c r="I1819" t="s">
        <v>314</v>
      </c>
    </row>
    <row r="1820" spans="8:9" x14ac:dyDescent="0.25">
      <c r="H1820" t="s">
        <v>313</v>
      </c>
      <c r="I1820" t="s">
        <v>314</v>
      </c>
    </row>
    <row r="1821" spans="8:9" x14ac:dyDescent="0.25">
      <c r="H1821" t="s">
        <v>313</v>
      </c>
      <c r="I1821" t="s">
        <v>314</v>
      </c>
    </row>
    <row r="1822" spans="8:9" x14ac:dyDescent="0.25">
      <c r="H1822" t="s">
        <v>5496</v>
      </c>
      <c r="I1822" t="s">
        <v>314</v>
      </c>
    </row>
    <row r="1823" spans="8:9" x14ac:dyDescent="0.25">
      <c r="H1823" t="s">
        <v>313</v>
      </c>
      <c r="I1823" t="s">
        <v>314</v>
      </c>
    </row>
    <row r="1824" spans="8:9" x14ac:dyDescent="0.25">
      <c r="H1824" t="s">
        <v>313</v>
      </c>
      <c r="I1824" t="s">
        <v>314</v>
      </c>
    </row>
    <row r="1825" spans="8:9" x14ac:dyDescent="0.25">
      <c r="H1825" t="s">
        <v>4864</v>
      </c>
      <c r="I1825" t="s">
        <v>314</v>
      </c>
    </row>
    <row r="1826" spans="8:9" x14ac:dyDescent="0.25">
      <c r="H1826" t="s">
        <v>313</v>
      </c>
      <c r="I1826" t="s">
        <v>314</v>
      </c>
    </row>
    <row r="1827" spans="8:9" x14ac:dyDescent="0.25">
      <c r="H1827" t="s">
        <v>313</v>
      </c>
      <c r="I1827" t="s">
        <v>314</v>
      </c>
    </row>
    <row r="1828" spans="8:9" x14ac:dyDescent="0.25">
      <c r="H1828" t="s">
        <v>5454</v>
      </c>
      <c r="I1828" t="s">
        <v>314</v>
      </c>
    </row>
    <row r="1829" spans="8:9" x14ac:dyDescent="0.25">
      <c r="H1829" t="s">
        <v>313</v>
      </c>
      <c r="I1829" t="s">
        <v>314</v>
      </c>
    </row>
    <row r="1830" spans="8:9" x14ac:dyDescent="0.25">
      <c r="H1830" t="s">
        <v>313</v>
      </c>
      <c r="I1830" t="s">
        <v>314</v>
      </c>
    </row>
    <row r="1831" spans="8:9" x14ac:dyDescent="0.25">
      <c r="H1831" t="s">
        <v>313</v>
      </c>
      <c r="I1831" t="s">
        <v>314</v>
      </c>
    </row>
    <row r="1832" spans="8:9" x14ac:dyDescent="0.25">
      <c r="H1832" t="s">
        <v>313</v>
      </c>
      <c r="I1832" t="s">
        <v>314</v>
      </c>
    </row>
    <row r="1833" spans="8:9" x14ac:dyDescent="0.25">
      <c r="H1833" t="s">
        <v>313</v>
      </c>
      <c r="I1833" t="s">
        <v>314</v>
      </c>
    </row>
    <row r="1834" spans="8:9" x14ac:dyDescent="0.25">
      <c r="H1834" t="s">
        <v>313</v>
      </c>
      <c r="I1834" t="s">
        <v>314</v>
      </c>
    </row>
    <row r="1835" spans="8:9" x14ac:dyDescent="0.25">
      <c r="H1835" t="s">
        <v>5407</v>
      </c>
      <c r="I1835" t="s">
        <v>314</v>
      </c>
    </row>
    <row r="1836" spans="8:9" x14ac:dyDescent="0.25">
      <c r="H1836" t="s">
        <v>5338</v>
      </c>
      <c r="I1836" t="s">
        <v>314</v>
      </c>
    </row>
    <row r="1837" spans="8:9" x14ac:dyDescent="0.25">
      <c r="H1837" t="s">
        <v>313</v>
      </c>
      <c r="I1837" t="s">
        <v>314</v>
      </c>
    </row>
    <row r="1838" spans="8:9" x14ac:dyDescent="0.25">
      <c r="H1838" t="s">
        <v>313</v>
      </c>
      <c r="I1838" t="s">
        <v>314</v>
      </c>
    </row>
    <row r="1839" spans="8:9" x14ac:dyDescent="0.25">
      <c r="H1839" t="s">
        <v>5315</v>
      </c>
      <c r="I1839" t="s">
        <v>314</v>
      </c>
    </row>
    <row r="1840" spans="8:9" x14ac:dyDescent="0.25">
      <c r="H1840" t="s">
        <v>313</v>
      </c>
      <c r="I1840" t="s">
        <v>314</v>
      </c>
    </row>
    <row r="1841" spans="8:9" x14ac:dyDescent="0.25">
      <c r="H1841" t="s">
        <v>313</v>
      </c>
      <c r="I1841" t="s">
        <v>314</v>
      </c>
    </row>
    <row r="1842" spans="8:9" x14ac:dyDescent="0.25">
      <c r="H1842" t="s">
        <v>313</v>
      </c>
      <c r="I1842" t="s">
        <v>314</v>
      </c>
    </row>
    <row r="1843" spans="8:9" x14ac:dyDescent="0.25">
      <c r="H1843" t="s">
        <v>313</v>
      </c>
      <c r="I1843" t="s">
        <v>314</v>
      </c>
    </row>
    <row r="1844" spans="8:9" x14ac:dyDescent="0.25">
      <c r="H1844" t="s">
        <v>313</v>
      </c>
      <c r="I1844" t="s">
        <v>314</v>
      </c>
    </row>
    <row r="1845" spans="8:9" x14ac:dyDescent="0.25">
      <c r="H1845" t="s">
        <v>313</v>
      </c>
      <c r="I1845" t="s">
        <v>314</v>
      </c>
    </row>
    <row r="1846" spans="8:9" x14ac:dyDescent="0.25">
      <c r="H1846" t="s">
        <v>5338</v>
      </c>
      <c r="I1846" t="s">
        <v>314</v>
      </c>
    </row>
    <row r="1847" spans="8:9" x14ac:dyDescent="0.25">
      <c r="H1847" t="s">
        <v>313</v>
      </c>
      <c r="I1847" t="s">
        <v>314</v>
      </c>
    </row>
    <row r="1848" spans="8:9" x14ac:dyDescent="0.25">
      <c r="H1848" t="s">
        <v>313</v>
      </c>
      <c r="I1848" t="s">
        <v>314</v>
      </c>
    </row>
    <row r="1849" spans="8:9" x14ac:dyDescent="0.25">
      <c r="H1849" t="s">
        <v>5315</v>
      </c>
      <c r="I1849" t="s">
        <v>314</v>
      </c>
    </row>
    <row r="1850" spans="8:9" x14ac:dyDescent="0.25">
      <c r="H1850" t="s">
        <v>313</v>
      </c>
      <c r="I1850" t="s">
        <v>314</v>
      </c>
    </row>
    <row r="1851" spans="8:9" x14ac:dyDescent="0.25">
      <c r="H1851" t="s">
        <v>313</v>
      </c>
      <c r="I1851" t="s">
        <v>314</v>
      </c>
    </row>
    <row r="1852" spans="8:9" x14ac:dyDescent="0.25">
      <c r="H1852" t="s">
        <v>313</v>
      </c>
      <c r="I1852" t="s">
        <v>314</v>
      </c>
    </row>
    <row r="1853" spans="8:9" x14ac:dyDescent="0.25">
      <c r="H1853" t="s">
        <v>313</v>
      </c>
      <c r="I1853" t="s">
        <v>314</v>
      </c>
    </row>
    <row r="1854" spans="8:9" x14ac:dyDescent="0.25">
      <c r="H1854" t="s">
        <v>313</v>
      </c>
      <c r="I1854" t="s">
        <v>314</v>
      </c>
    </row>
    <row r="1855" spans="8:9" x14ac:dyDescent="0.25">
      <c r="H1855" t="s">
        <v>313</v>
      </c>
      <c r="I1855" t="s">
        <v>314</v>
      </c>
    </row>
    <row r="1856" spans="8:9" x14ac:dyDescent="0.25">
      <c r="H1856" t="s">
        <v>313</v>
      </c>
      <c r="I1856" t="s">
        <v>314</v>
      </c>
    </row>
    <row r="1857" spans="8:9" x14ac:dyDescent="0.25">
      <c r="H1857" t="s">
        <v>313</v>
      </c>
      <c r="I1857" t="s">
        <v>314</v>
      </c>
    </row>
    <row r="1858" spans="8:9" x14ac:dyDescent="0.25">
      <c r="H1858" t="s">
        <v>4943</v>
      </c>
      <c r="I1858" t="s">
        <v>314</v>
      </c>
    </row>
    <row r="1859" spans="8:9" x14ac:dyDescent="0.25">
      <c r="H1859" t="s">
        <v>313</v>
      </c>
      <c r="I1859" t="s">
        <v>314</v>
      </c>
    </row>
    <row r="1860" spans="8:9" x14ac:dyDescent="0.25">
      <c r="H1860" t="s">
        <v>315</v>
      </c>
      <c r="I1860" t="s">
        <v>316</v>
      </c>
    </row>
    <row r="1861" spans="8:9" x14ac:dyDescent="0.25">
      <c r="H1861" t="s">
        <v>315</v>
      </c>
      <c r="I1861" t="s">
        <v>316</v>
      </c>
    </row>
    <row r="1862" spans="8:9" x14ac:dyDescent="0.25">
      <c r="H1862" t="s">
        <v>315</v>
      </c>
      <c r="I1862" t="s">
        <v>316</v>
      </c>
    </row>
    <row r="1863" spans="8:9" x14ac:dyDescent="0.25">
      <c r="H1863" t="s">
        <v>315</v>
      </c>
      <c r="I1863" t="s">
        <v>316</v>
      </c>
    </row>
    <row r="1864" spans="8:9" x14ac:dyDescent="0.25">
      <c r="H1864" t="s">
        <v>315</v>
      </c>
      <c r="I1864" t="s">
        <v>316</v>
      </c>
    </row>
    <row r="1865" spans="8:9" x14ac:dyDescent="0.25">
      <c r="H1865" t="s">
        <v>6647</v>
      </c>
      <c r="I1865" t="s">
        <v>316</v>
      </c>
    </row>
    <row r="1866" spans="8:9" x14ac:dyDescent="0.25">
      <c r="H1866" t="s">
        <v>315</v>
      </c>
      <c r="I1866" t="s">
        <v>316</v>
      </c>
    </row>
    <row r="1867" spans="8:9" x14ac:dyDescent="0.25">
      <c r="H1867" t="s">
        <v>315</v>
      </c>
      <c r="I1867" t="s">
        <v>316</v>
      </c>
    </row>
    <row r="1868" spans="8:9" x14ac:dyDescent="0.25">
      <c r="H1868" t="s">
        <v>315</v>
      </c>
      <c r="I1868" t="s">
        <v>316</v>
      </c>
    </row>
    <row r="1869" spans="8:9" x14ac:dyDescent="0.25">
      <c r="H1869" t="s">
        <v>315</v>
      </c>
      <c r="I1869" t="s">
        <v>316</v>
      </c>
    </row>
    <row r="1870" spans="8:9" x14ac:dyDescent="0.25">
      <c r="H1870" t="s">
        <v>6569</v>
      </c>
      <c r="I1870" t="s">
        <v>316</v>
      </c>
    </row>
    <row r="1871" spans="8:9" x14ac:dyDescent="0.25">
      <c r="H1871" t="s">
        <v>315</v>
      </c>
      <c r="I1871" t="s">
        <v>316</v>
      </c>
    </row>
    <row r="1872" spans="8:9" x14ac:dyDescent="0.25">
      <c r="H1872" t="s">
        <v>315</v>
      </c>
      <c r="I1872" t="s">
        <v>316</v>
      </c>
    </row>
    <row r="1873" spans="8:9" x14ac:dyDescent="0.25">
      <c r="H1873" t="s">
        <v>315</v>
      </c>
      <c r="I1873" t="s">
        <v>316</v>
      </c>
    </row>
    <row r="1874" spans="8:9" x14ac:dyDescent="0.25">
      <c r="H1874" t="s">
        <v>315</v>
      </c>
      <c r="I1874" t="s">
        <v>316</v>
      </c>
    </row>
    <row r="1875" spans="8:9" x14ac:dyDescent="0.25">
      <c r="H1875" t="s">
        <v>315</v>
      </c>
      <c r="I1875" t="s">
        <v>316</v>
      </c>
    </row>
    <row r="1876" spans="8:9" x14ac:dyDescent="0.25">
      <c r="H1876" t="s">
        <v>315</v>
      </c>
      <c r="I1876" t="s">
        <v>316</v>
      </c>
    </row>
    <row r="1877" spans="8:9" x14ac:dyDescent="0.25">
      <c r="H1877" t="s">
        <v>315</v>
      </c>
      <c r="I1877" t="s">
        <v>316</v>
      </c>
    </row>
    <row r="1878" spans="8:9" x14ac:dyDescent="0.25">
      <c r="H1878" t="s">
        <v>315</v>
      </c>
      <c r="I1878" t="s">
        <v>316</v>
      </c>
    </row>
    <row r="1879" spans="8:9" x14ac:dyDescent="0.25">
      <c r="H1879" t="s">
        <v>315</v>
      </c>
      <c r="I1879" t="s">
        <v>316</v>
      </c>
    </row>
    <row r="1880" spans="8:9" x14ac:dyDescent="0.25">
      <c r="H1880" t="s">
        <v>6167</v>
      </c>
      <c r="I1880" t="s">
        <v>316</v>
      </c>
    </row>
    <row r="1881" spans="8:9" x14ac:dyDescent="0.25">
      <c r="H1881" t="s">
        <v>315</v>
      </c>
      <c r="I1881" t="s">
        <v>316</v>
      </c>
    </row>
    <row r="1882" spans="8:9" x14ac:dyDescent="0.25">
      <c r="H1882" t="s">
        <v>315</v>
      </c>
      <c r="I1882" t="s">
        <v>316</v>
      </c>
    </row>
    <row r="1883" spans="8:9" x14ac:dyDescent="0.25">
      <c r="H1883" t="s">
        <v>315</v>
      </c>
      <c r="I1883" t="s">
        <v>316</v>
      </c>
    </row>
    <row r="1884" spans="8:9" x14ac:dyDescent="0.25">
      <c r="H1884" t="s">
        <v>315</v>
      </c>
      <c r="I1884" t="s">
        <v>316</v>
      </c>
    </row>
    <row r="1885" spans="8:9" x14ac:dyDescent="0.25">
      <c r="H1885" t="s">
        <v>315</v>
      </c>
      <c r="I1885" t="s">
        <v>316</v>
      </c>
    </row>
    <row r="1886" spans="8:9" x14ac:dyDescent="0.25">
      <c r="H1886" t="s">
        <v>315</v>
      </c>
      <c r="I1886" t="s">
        <v>316</v>
      </c>
    </row>
    <row r="1887" spans="8:9" x14ac:dyDescent="0.25">
      <c r="H1887" t="s">
        <v>315</v>
      </c>
      <c r="I1887" t="s">
        <v>316</v>
      </c>
    </row>
    <row r="1888" spans="8:9" x14ac:dyDescent="0.25">
      <c r="H1888" t="s">
        <v>315</v>
      </c>
      <c r="I1888" t="s">
        <v>316</v>
      </c>
    </row>
    <row r="1889" spans="8:9" x14ac:dyDescent="0.25">
      <c r="H1889" t="s">
        <v>5777</v>
      </c>
      <c r="I1889" t="s">
        <v>316</v>
      </c>
    </row>
    <row r="1890" spans="8:9" x14ac:dyDescent="0.25">
      <c r="H1890" t="s">
        <v>5755</v>
      </c>
      <c r="I1890" t="s">
        <v>316</v>
      </c>
    </row>
    <row r="1891" spans="8:9" x14ac:dyDescent="0.25">
      <c r="H1891" t="s">
        <v>315</v>
      </c>
      <c r="I1891" t="s">
        <v>316</v>
      </c>
    </row>
    <row r="1892" spans="8:9" x14ac:dyDescent="0.25">
      <c r="H1892" t="s">
        <v>315</v>
      </c>
      <c r="I1892" t="s">
        <v>316</v>
      </c>
    </row>
    <row r="1893" spans="8:9" x14ac:dyDescent="0.25">
      <c r="H1893" t="s">
        <v>315</v>
      </c>
      <c r="I1893" t="s">
        <v>316</v>
      </c>
    </row>
    <row r="1894" spans="8:9" x14ac:dyDescent="0.25">
      <c r="H1894" t="s">
        <v>315</v>
      </c>
      <c r="I1894" t="s">
        <v>316</v>
      </c>
    </row>
    <row r="1895" spans="8:9" x14ac:dyDescent="0.25">
      <c r="H1895" t="s">
        <v>315</v>
      </c>
      <c r="I1895" t="s">
        <v>316</v>
      </c>
    </row>
    <row r="1896" spans="8:9" x14ac:dyDescent="0.25">
      <c r="H1896" t="s">
        <v>315</v>
      </c>
      <c r="I1896" t="s">
        <v>316</v>
      </c>
    </row>
    <row r="1897" spans="8:9" x14ac:dyDescent="0.25">
      <c r="H1897" t="s">
        <v>315</v>
      </c>
      <c r="I1897" t="s">
        <v>316</v>
      </c>
    </row>
    <row r="1898" spans="8:9" x14ac:dyDescent="0.25">
      <c r="H1898" t="s">
        <v>5005</v>
      </c>
      <c r="I1898" t="s">
        <v>316</v>
      </c>
    </row>
    <row r="1899" spans="8:9" x14ac:dyDescent="0.25">
      <c r="H1899" t="s">
        <v>2748</v>
      </c>
      <c r="I1899" t="s">
        <v>2749</v>
      </c>
    </row>
    <row r="1900" spans="8:9" x14ac:dyDescent="0.25">
      <c r="H1900" t="s">
        <v>2748</v>
      </c>
      <c r="I1900" t="s">
        <v>2749</v>
      </c>
    </row>
    <row r="1901" spans="8:9" x14ac:dyDescent="0.25">
      <c r="H1901" t="s">
        <v>2748</v>
      </c>
      <c r="I1901" t="s">
        <v>2749</v>
      </c>
    </row>
    <row r="1902" spans="8:9" x14ac:dyDescent="0.25">
      <c r="H1902" t="s">
        <v>2748</v>
      </c>
      <c r="I1902" t="s">
        <v>2749</v>
      </c>
    </row>
    <row r="1903" spans="8:9" x14ac:dyDescent="0.25">
      <c r="H1903" t="s">
        <v>2748</v>
      </c>
      <c r="I1903" t="s">
        <v>2749</v>
      </c>
    </row>
    <row r="1904" spans="8:9" x14ac:dyDescent="0.25">
      <c r="H1904" t="s">
        <v>2748</v>
      </c>
      <c r="I1904" t="s">
        <v>2749</v>
      </c>
    </row>
    <row r="1905" spans="8:9" x14ac:dyDescent="0.25">
      <c r="H1905" t="s">
        <v>2748</v>
      </c>
      <c r="I1905" t="s">
        <v>2749</v>
      </c>
    </row>
    <row r="1906" spans="8:9" x14ac:dyDescent="0.25">
      <c r="H1906" t="s">
        <v>2748</v>
      </c>
      <c r="I1906" t="s">
        <v>2749</v>
      </c>
    </row>
    <row r="1907" spans="8:9" x14ac:dyDescent="0.25">
      <c r="H1907" t="s">
        <v>2748</v>
      </c>
      <c r="I1907" t="s">
        <v>2749</v>
      </c>
    </row>
    <row r="1908" spans="8:9" x14ac:dyDescent="0.25">
      <c r="H1908" t="s">
        <v>2748</v>
      </c>
      <c r="I1908" t="s">
        <v>2749</v>
      </c>
    </row>
    <row r="1909" spans="8:9" x14ac:dyDescent="0.25">
      <c r="H1909" t="s">
        <v>2748</v>
      </c>
      <c r="I1909" t="s">
        <v>2749</v>
      </c>
    </row>
    <row r="1910" spans="8:9" x14ac:dyDescent="0.25">
      <c r="H1910" t="s">
        <v>2748</v>
      </c>
      <c r="I1910" t="s">
        <v>2749</v>
      </c>
    </row>
    <row r="1911" spans="8:9" x14ac:dyDescent="0.25">
      <c r="H1911" t="s">
        <v>2748</v>
      </c>
      <c r="I1911" t="s">
        <v>2749</v>
      </c>
    </row>
    <row r="1912" spans="8:9" x14ac:dyDescent="0.25">
      <c r="H1912" t="s">
        <v>2748</v>
      </c>
      <c r="I1912" t="s">
        <v>2749</v>
      </c>
    </row>
    <row r="1913" spans="8:9" x14ac:dyDescent="0.25">
      <c r="H1913" t="s">
        <v>2748</v>
      </c>
      <c r="I1913" t="s">
        <v>2749</v>
      </c>
    </row>
    <row r="1914" spans="8:9" x14ac:dyDescent="0.25">
      <c r="H1914" t="s">
        <v>2748</v>
      </c>
      <c r="I1914" t="s">
        <v>2749</v>
      </c>
    </row>
    <row r="1915" spans="8:9" x14ac:dyDescent="0.25">
      <c r="H1915" t="s">
        <v>2748</v>
      </c>
      <c r="I1915" t="s">
        <v>2749</v>
      </c>
    </row>
    <row r="1916" spans="8:9" x14ac:dyDescent="0.25">
      <c r="H1916" t="s">
        <v>2748</v>
      </c>
      <c r="I1916" t="s">
        <v>2749</v>
      </c>
    </row>
    <row r="1917" spans="8:9" x14ac:dyDescent="0.25">
      <c r="H1917" t="s">
        <v>2748</v>
      </c>
      <c r="I1917" t="s">
        <v>2749</v>
      </c>
    </row>
    <row r="1918" spans="8:9" x14ac:dyDescent="0.25">
      <c r="H1918" t="s">
        <v>2748</v>
      </c>
      <c r="I1918" t="s">
        <v>2749</v>
      </c>
    </row>
    <row r="1919" spans="8:9" x14ac:dyDescent="0.25">
      <c r="H1919" t="s">
        <v>2748</v>
      </c>
      <c r="I1919" t="s">
        <v>2749</v>
      </c>
    </row>
    <row r="1920" spans="8:9" x14ac:dyDescent="0.25">
      <c r="H1920" t="s">
        <v>2748</v>
      </c>
      <c r="I1920" t="s">
        <v>2749</v>
      </c>
    </row>
    <row r="1921" spans="8:9" x14ac:dyDescent="0.25">
      <c r="H1921" t="s">
        <v>2748</v>
      </c>
      <c r="I1921" t="s">
        <v>2749</v>
      </c>
    </row>
    <row r="1922" spans="8:9" x14ac:dyDescent="0.25">
      <c r="H1922" t="s">
        <v>2748</v>
      </c>
      <c r="I1922" t="s">
        <v>2749</v>
      </c>
    </row>
    <row r="1923" spans="8:9" x14ac:dyDescent="0.25">
      <c r="H1923" t="s">
        <v>2748</v>
      </c>
      <c r="I1923" t="s">
        <v>2749</v>
      </c>
    </row>
    <row r="1924" spans="8:9" x14ac:dyDescent="0.25">
      <c r="H1924" t="s">
        <v>2748</v>
      </c>
      <c r="I1924" t="s">
        <v>2749</v>
      </c>
    </row>
    <row r="1925" spans="8:9" x14ac:dyDescent="0.25">
      <c r="H1925" t="s">
        <v>2748</v>
      </c>
      <c r="I1925" t="s">
        <v>2749</v>
      </c>
    </row>
    <row r="1926" spans="8:9" x14ac:dyDescent="0.25">
      <c r="H1926" t="s">
        <v>2748</v>
      </c>
      <c r="I1926" t="s">
        <v>2749</v>
      </c>
    </row>
    <row r="1927" spans="8:9" x14ac:dyDescent="0.25">
      <c r="H1927" t="s">
        <v>2748</v>
      </c>
      <c r="I1927" t="s">
        <v>2749</v>
      </c>
    </row>
    <row r="1928" spans="8:9" x14ac:dyDescent="0.25">
      <c r="H1928" t="s">
        <v>2748</v>
      </c>
      <c r="I1928" t="s">
        <v>2749</v>
      </c>
    </row>
    <row r="1929" spans="8:9" x14ac:dyDescent="0.25">
      <c r="H1929" t="s">
        <v>2748</v>
      </c>
      <c r="I1929" t="s">
        <v>2749</v>
      </c>
    </row>
    <row r="1930" spans="8:9" x14ac:dyDescent="0.25">
      <c r="H1930" t="s">
        <v>2748</v>
      </c>
      <c r="I1930" t="s">
        <v>2749</v>
      </c>
    </row>
    <row r="1931" spans="8:9" x14ac:dyDescent="0.25">
      <c r="H1931" t="s">
        <v>2748</v>
      </c>
      <c r="I1931" t="s">
        <v>2749</v>
      </c>
    </row>
    <row r="1932" spans="8:9" x14ac:dyDescent="0.25">
      <c r="H1932" t="s">
        <v>2748</v>
      </c>
      <c r="I1932" t="s">
        <v>2749</v>
      </c>
    </row>
    <row r="1933" spans="8:9" x14ac:dyDescent="0.25">
      <c r="H1933" t="s">
        <v>2748</v>
      </c>
      <c r="I1933" t="s">
        <v>2749</v>
      </c>
    </row>
    <row r="1934" spans="8:9" x14ac:dyDescent="0.25">
      <c r="H1934" t="s">
        <v>2748</v>
      </c>
      <c r="I1934" t="s">
        <v>2749</v>
      </c>
    </row>
    <row r="1935" spans="8:9" x14ac:dyDescent="0.25">
      <c r="H1935" t="s">
        <v>2748</v>
      </c>
      <c r="I1935" t="s">
        <v>2749</v>
      </c>
    </row>
    <row r="1936" spans="8:9" x14ac:dyDescent="0.25">
      <c r="H1936" t="s">
        <v>2748</v>
      </c>
      <c r="I1936" t="s">
        <v>2749</v>
      </c>
    </row>
    <row r="1937" spans="8:9" x14ac:dyDescent="0.25">
      <c r="H1937" t="s">
        <v>2748</v>
      </c>
      <c r="I1937" t="s">
        <v>2749</v>
      </c>
    </row>
    <row r="1938" spans="8:9" x14ac:dyDescent="0.25">
      <c r="H1938" t="s">
        <v>2748</v>
      </c>
      <c r="I1938" t="s">
        <v>2749</v>
      </c>
    </row>
    <row r="1939" spans="8:9" x14ac:dyDescent="0.25">
      <c r="H1939" t="s">
        <v>2748</v>
      </c>
      <c r="I1939" t="s">
        <v>2749</v>
      </c>
    </row>
    <row r="1940" spans="8:9" x14ac:dyDescent="0.25">
      <c r="H1940" t="s">
        <v>2748</v>
      </c>
      <c r="I1940" t="s">
        <v>2749</v>
      </c>
    </row>
    <row r="1941" spans="8:9" x14ac:dyDescent="0.25">
      <c r="H1941" t="s">
        <v>2748</v>
      </c>
      <c r="I1941" t="s">
        <v>2749</v>
      </c>
    </row>
    <row r="1942" spans="8:9" x14ac:dyDescent="0.25">
      <c r="H1942" t="s">
        <v>2748</v>
      </c>
      <c r="I1942" t="s">
        <v>2749</v>
      </c>
    </row>
    <row r="1943" spans="8:9" x14ac:dyDescent="0.25">
      <c r="H1943" t="s">
        <v>2748</v>
      </c>
      <c r="I1943" t="s">
        <v>2749</v>
      </c>
    </row>
    <row r="1944" spans="8:9" x14ac:dyDescent="0.25">
      <c r="H1944" t="s">
        <v>2748</v>
      </c>
      <c r="I1944" t="s">
        <v>2749</v>
      </c>
    </row>
    <row r="1945" spans="8:9" x14ac:dyDescent="0.25">
      <c r="H1945" t="s">
        <v>2748</v>
      </c>
      <c r="I1945" t="s">
        <v>2749</v>
      </c>
    </row>
    <row r="1946" spans="8:9" x14ac:dyDescent="0.25">
      <c r="H1946" t="s">
        <v>2748</v>
      </c>
      <c r="I1946" t="s">
        <v>2749</v>
      </c>
    </row>
    <row r="1947" spans="8:9" x14ac:dyDescent="0.25">
      <c r="H1947" t="s">
        <v>2748</v>
      </c>
      <c r="I1947" t="s">
        <v>2749</v>
      </c>
    </row>
    <row r="1948" spans="8:9" x14ac:dyDescent="0.25">
      <c r="H1948" t="s">
        <v>2748</v>
      </c>
      <c r="I1948" t="s">
        <v>2749</v>
      </c>
    </row>
    <row r="1949" spans="8:9" x14ac:dyDescent="0.25">
      <c r="H1949" t="s">
        <v>2748</v>
      </c>
      <c r="I1949" t="s">
        <v>2749</v>
      </c>
    </row>
    <row r="1950" spans="8:9" x14ac:dyDescent="0.25">
      <c r="H1950" t="s">
        <v>2748</v>
      </c>
      <c r="I1950" t="s">
        <v>2749</v>
      </c>
    </row>
    <row r="1951" spans="8:9" x14ac:dyDescent="0.25">
      <c r="H1951" t="s">
        <v>2748</v>
      </c>
      <c r="I1951" t="s">
        <v>2749</v>
      </c>
    </row>
    <row r="1952" spans="8:9" x14ac:dyDescent="0.25">
      <c r="H1952" t="s">
        <v>2748</v>
      </c>
      <c r="I1952" t="s">
        <v>2749</v>
      </c>
    </row>
    <row r="1953" spans="8:9" x14ac:dyDescent="0.25">
      <c r="H1953" t="s">
        <v>2748</v>
      </c>
      <c r="I1953" t="s">
        <v>2749</v>
      </c>
    </row>
    <row r="1954" spans="8:9" x14ac:dyDescent="0.25">
      <c r="H1954" t="s">
        <v>2748</v>
      </c>
      <c r="I1954" t="s">
        <v>2749</v>
      </c>
    </row>
    <row r="1955" spans="8:9" x14ac:dyDescent="0.25">
      <c r="H1955" t="s">
        <v>2748</v>
      </c>
      <c r="I1955" t="s">
        <v>2749</v>
      </c>
    </row>
    <row r="1956" spans="8:9" x14ac:dyDescent="0.25">
      <c r="H1956" t="s">
        <v>2748</v>
      </c>
      <c r="I1956" t="s">
        <v>2749</v>
      </c>
    </row>
    <row r="1957" spans="8:9" x14ac:dyDescent="0.25">
      <c r="H1957" t="s">
        <v>2748</v>
      </c>
      <c r="I1957" t="s">
        <v>2749</v>
      </c>
    </row>
    <row r="1958" spans="8:9" x14ac:dyDescent="0.25">
      <c r="H1958" t="s">
        <v>2748</v>
      </c>
      <c r="I1958" t="s">
        <v>2749</v>
      </c>
    </row>
    <row r="1959" spans="8:9" x14ac:dyDescent="0.25">
      <c r="H1959" t="s">
        <v>2748</v>
      </c>
      <c r="I1959" t="s">
        <v>2749</v>
      </c>
    </row>
    <row r="1960" spans="8:9" x14ac:dyDescent="0.25">
      <c r="H1960" t="s">
        <v>2748</v>
      </c>
      <c r="I1960" t="s">
        <v>2749</v>
      </c>
    </row>
    <row r="1961" spans="8:9" x14ac:dyDescent="0.25">
      <c r="H1961" t="s">
        <v>2748</v>
      </c>
      <c r="I1961" t="s">
        <v>2749</v>
      </c>
    </row>
    <row r="1962" spans="8:9" x14ac:dyDescent="0.25">
      <c r="H1962" t="s">
        <v>2748</v>
      </c>
      <c r="I1962" t="s">
        <v>2749</v>
      </c>
    </row>
    <row r="1963" spans="8:9" x14ac:dyDescent="0.25">
      <c r="H1963" t="s">
        <v>2748</v>
      </c>
      <c r="I1963" t="s">
        <v>2749</v>
      </c>
    </row>
    <row r="1964" spans="8:9" x14ac:dyDescent="0.25">
      <c r="H1964" t="s">
        <v>2748</v>
      </c>
      <c r="I1964" t="s">
        <v>2749</v>
      </c>
    </row>
    <row r="1965" spans="8:9" x14ac:dyDescent="0.25">
      <c r="H1965" t="s">
        <v>2748</v>
      </c>
      <c r="I1965" t="s">
        <v>2749</v>
      </c>
    </row>
    <row r="1966" spans="8:9" x14ac:dyDescent="0.25">
      <c r="H1966" t="s">
        <v>2748</v>
      </c>
      <c r="I1966" t="s">
        <v>2749</v>
      </c>
    </row>
    <row r="1967" spans="8:9" x14ac:dyDescent="0.25">
      <c r="H1967" t="s">
        <v>2748</v>
      </c>
      <c r="I1967" t="s">
        <v>2749</v>
      </c>
    </row>
    <row r="1968" spans="8:9" x14ac:dyDescent="0.25">
      <c r="H1968" t="s">
        <v>2748</v>
      </c>
      <c r="I1968" t="s">
        <v>2749</v>
      </c>
    </row>
    <row r="1969" spans="8:9" x14ac:dyDescent="0.25">
      <c r="H1969" t="s">
        <v>2748</v>
      </c>
      <c r="I1969" t="s">
        <v>2749</v>
      </c>
    </row>
    <row r="1970" spans="8:9" x14ac:dyDescent="0.25">
      <c r="H1970" t="s">
        <v>2748</v>
      </c>
      <c r="I1970" t="s">
        <v>2749</v>
      </c>
    </row>
    <row r="1971" spans="8:9" x14ac:dyDescent="0.25">
      <c r="H1971" t="s">
        <v>2748</v>
      </c>
      <c r="I1971" t="s">
        <v>2749</v>
      </c>
    </row>
    <row r="1972" spans="8:9" x14ac:dyDescent="0.25">
      <c r="H1972" t="s">
        <v>2748</v>
      </c>
      <c r="I1972" t="s">
        <v>2749</v>
      </c>
    </row>
    <row r="1973" spans="8:9" x14ac:dyDescent="0.25">
      <c r="H1973" t="s">
        <v>2748</v>
      </c>
      <c r="I1973" t="s">
        <v>2749</v>
      </c>
    </row>
    <row r="1974" spans="8:9" x14ac:dyDescent="0.25">
      <c r="H1974" t="s">
        <v>2748</v>
      </c>
      <c r="I1974" t="s">
        <v>2749</v>
      </c>
    </row>
    <row r="1975" spans="8:9" x14ac:dyDescent="0.25">
      <c r="H1975" t="s">
        <v>2748</v>
      </c>
      <c r="I1975" t="s">
        <v>2749</v>
      </c>
    </row>
    <row r="1976" spans="8:9" x14ac:dyDescent="0.25">
      <c r="H1976" t="s">
        <v>2748</v>
      </c>
      <c r="I1976" t="s">
        <v>2749</v>
      </c>
    </row>
    <row r="1977" spans="8:9" x14ac:dyDescent="0.25">
      <c r="H1977" t="s">
        <v>2748</v>
      </c>
      <c r="I1977" t="s">
        <v>2749</v>
      </c>
    </row>
    <row r="1978" spans="8:9" x14ac:dyDescent="0.25">
      <c r="H1978" t="s">
        <v>2748</v>
      </c>
      <c r="I1978" t="s">
        <v>2749</v>
      </c>
    </row>
    <row r="1979" spans="8:9" x14ac:dyDescent="0.25">
      <c r="H1979" t="s">
        <v>2748</v>
      </c>
      <c r="I1979" t="s">
        <v>2749</v>
      </c>
    </row>
    <row r="1980" spans="8:9" x14ac:dyDescent="0.25">
      <c r="H1980" t="s">
        <v>2748</v>
      </c>
      <c r="I1980" t="s">
        <v>2749</v>
      </c>
    </row>
    <row r="1981" spans="8:9" x14ac:dyDescent="0.25">
      <c r="H1981" t="s">
        <v>2748</v>
      </c>
      <c r="I1981" t="s">
        <v>2749</v>
      </c>
    </row>
    <row r="1982" spans="8:9" x14ac:dyDescent="0.25">
      <c r="H1982" t="s">
        <v>2748</v>
      </c>
      <c r="I1982" t="s">
        <v>2749</v>
      </c>
    </row>
    <row r="1983" spans="8:9" x14ac:dyDescent="0.25">
      <c r="H1983" t="s">
        <v>2748</v>
      </c>
      <c r="I1983" t="s">
        <v>2749</v>
      </c>
    </row>
    <row r="1984" spans="8:9" x14ac:dyDescent="0.25">
      <c r="H1984" t="s">
        <v>2748</v>
      </c>
      <c r="I1984" t="s">
        <v>2749</v>
      </c>
    </row>
    <row r="1985" spans="8:9" x14ac:dyDescent="0.25">
      <c r="H1985" t="s">
        <v>2748</v>
      </c>
      <c r="I1985" t="s">
        <v>2749</v>
      </c>
    </row>
    <row r="1986" spans="8:9" x14ac:dyDescent="0.25">
      <c r="H1986" t="s">
        <v>2748</v>
      </c>
      <c r="I1986" t="s">
        <v>2749</v>
      </c>
    </row>
    <row r="1987" spans="8:9" x14ac:dyDescent="0.25">
      <c r="H1987" t="s">
        <v>2748</v>
      </c>
      <c r="I1987" t="s">
        <v>2749</v>
      </c>
    </row>
    <row r="1988" spans="8:9" x14ac:dyDescent="0.25">
      <c r="H1988" t="s">
        <v>2748</v>
      </c>
      <c r="I1988" t="s">
        <v>2749</v>
      </c>
    </row>
    <row r="1989" spans="8:9" x14ac:dyDescent="0.25">
      <c r="H1989" t="s">
        <v>2748</v>
      </c>
      <c r="I1989" t="s">
        <v>2749</v>
      </c>
    </row>
    <row r="1990" spans="8:9" x14ac:dyDescent="0.25">
      <c r="H1990" t="s">
        <v>2748</v>
      </c>
      <c r="I1990" t="s">
        <v>2749</v>
      </c>
    </row>
    <row r="1991" spans="8:9" x14ac:dyDescent="0.25">
      <c r="H1991" t="s">
        <v>2748</v>
      </c>
      <c r="I1991" t="s">
        <v>2749</v>
      </c>
    </row>
    <row r="1992" spans="8:9" x14ac:dyDescent="0.25">
      <c r="H1992" t="s">
        <v>2748</v>
      </c>
      <c r="I1992" t="s">
        <v>2749</v>
      </c>
    </row>
    <row r="1993" spans="8:9" x14ac:dyDescent="0.25">
      <c r="H1993" t="s">
        <v>2748</v>
      </c>
      <c r="I1993" t="s">
        <v>2749</v>
      </c>
    </row>
    <row r="1994" spans="8:9" x14ac:dyDescent="0.25">
      <c r="H1994" t="s">
        <v>2748</v>
      </c>
      <c r="I1994" t="s">
        <v>2749</v>
      </c>
    </row>
    <row r="1995" spans="8:9" x14ac:dyDescent="0.25">
      <c r="H1995" t="s">
        <v>2748</v>
      </c>
      <c r="I1995" t="s">
        <v>2749</v>
      </c>
    </row>
    <row r="1996" spans="8:9" x14ac:dyDescent="0.25">
      <c r="H1996" t="s">
        <v>2748</v>
      </c>
      <c r="I1996" t="s">
        <v>2749</v>
      </c>
    </row>
    <row r="1997" spans="8:9" x14ac:dyDescent="0.25">
      <c r="H1997" t="s">
        <v>2748</v>
      </c>
      <c r="I1997" t="s">
        <v>2749</v>
      </c>
    </row>
    <row r="1998" spans="8:9" x14ac:dyDescent="0.25">
      <c r="H1998" t="s">
        <v>2748</v>
      </c>
      <c r="I1998" t="s">
        <v>2749</v>
      </c>
    </row>
    <row r="1999" spans="8:9" x14ac:dyDescent="0.25">
      <c r="H1999" t="s">
        <v>2748</v>
      </c>
      <c r="I1999" t="s">
        <v>2749</v>
      </c>
    </row>
    <row r="2000" spans="8:9" x14ac:dyDescent="0.25">
      <c r="H2000" t="s">
        <v>2748</v>
      </c>
      <c r="I2000" t="s">
        <v>2749</v>
      </c>
    </row>
    <row r="2001" spans="8:9" x14ac:dyDescent="0.25">
      <c r="H2001" t="s">
        <v>2748</v>
      </c>
      <c r="I2001" t="s">
        <v>2749</v>
      </c>
    </row>
    <row r="2002" spans="8:9" x14ac:dyDescent="0.25">
      <c r="H2002" t="s">
        <v>2748</v>
      </c>
      <c r="I2002" t="s">
        <v>2749</v>
      </c>
    </row>
    <row r="2003" spans="8:9" x14ac:dyDescent="0.25">
      <c r="H2003" t="s">
        <v>2748</v>
      </c>
      <c r="I2003" t="s">
        <v>2749</v>
      </c>
    </row>
    <row r="2004" spans="8:9" x14ac:dyDescent="0.25">
      <c r="H2004" t="s">
        <v>2748</v>
      </c>
      <c r="I2004" t="s">
        <v>2749</v>
      </c>
    </row>
    <row r="2005" spans="8:9" x14ac:dyDescent="0.25">
      <c r="H2005" t="s">
        <v>2748</v>
      </c>
      <c r="I2005" t="s">
        <v>2749</v>
      </c>
    </row>
    <row r="2006" spans="8:9" x14ac:dyDescent="0.25">
      <c r="H2006" t="s">
        <v>2748</v>
      </c>
      <c r="I2006" t="s">
        <v>2749</v>
      </c>
    </row>
    <row r="2007" spans="8:9" x14ac:dyDescent="0.25">
      <c r="H2007" t="s">
        <v>2748</v>
      </c>
      <c r="I2007" t="s">
        <v>2749</v>
      </c>
    </row>
    <row r="2008" spans="8:9" x14ac:dyDescent="0.25">
      <c r="H2008" t="s">
        <v>2748</v>
      </c>
      <c r="I2008" t="s">
        <v>2749</v>
      </c>
    </row>
    <row r="2009" spans="8:9" x14ac:dyDescent="0.25">
      <c r="H2009" t="s">
        <v>2748</v>
      </c>
      <c r="I2009" t="s">
        <v>2749</v>
      </c>
    </row>
    <row r="2010" spans="8:9" x14ac:dyDescent="0.25">
      <c r="H2010" t="s">
        <v>2748</v>
      </c>
      <c r="I2010" t="s">
        <v>2749</v>
      </c>
    </row>
    <row r="2011" spans="8:9" x14ac:dyDescent="0.25">
      <c r="H2011" t="s">
        <v>2748</v>
      </c>
      <c r="I2011" t="s">
        <v>2749</v>
      </c>
    </row>
    <row r="2012" spans="8:9" x14ac:dyDescent="0.25">
      <c r="H2012" t="s">
        <v>2748</v>
      </c>
      <c r="I2012" t="s">
        <v>2749</v>
      </c>
    </row>
    <row r="2013" spans="8:9" x14ac:dyDescent="0.25">
      <c r="H2013" t="s">
        <v>2748</v>
      </c>
      <c r="I2013" t="s">
        <v>2749</v>
      </c>
    </row>
    <row r="2014" spans="8:9" x14ac:dyDescent="0.25">
      <c r="H2014" t="s">
        <v>2748</v>
      </c>
      <c r="I2014" t="s">
        <v>2749</v>
      </c>
    </row>
    <row r="2015" spans="8:9" x14ac:dyDescent="0.25">
      <c r="H2015" t="s">
        <v>2748</v>
      </c>
      <c r="I2015" t="s">
        <v>2749</v>
      </c>
    </row>
    <row r="2016" spans="8:9" x14ac:dyDescent="0.25">
      <c r="H2016" t="s">
        <v>2748</v>
      </c>
      <c r="I2016" t="s">
        <v>2749</v>
      </c>
    </row>
    <row r="2017" spans="8:9" x14ac:dyDescent="0.25">
      <c r="H2017" t="s">
        <v>2748</v>
      </c>
      <c r="I2017" t="s">
        <v>2749</v>
      </c>
    </row>
    <row r="2018" spans="8:9" x14ac:dyDescent="0.25">
      <c r="H2018" t="s">
        <v>2748</v>
      </c>
      <c r="I2018" t="s">
        <v>2749</v>
      </c>
    </row>
    <row r="2019" spans="8:9" x14ac:dyDescent="0.25">
      <c r="H2019" t="s">
        <v>2748</v>
      </c>
      <c r="I2019" t="s">
        <v>2749</v>
      </c>
    </row>
    <row r="2020" spans="8:9" x14ac:dyDescent="0.25">
      <c r="H2020" t="s">
        <v>2748</v>
      </c>
      <c r="I2020" t="s">
        <v>2749</v>
      </c>
    </row>
    <row r="2021" spans="8:9" x14ac:dyDescent="0.25">
      <c r="H2021" t="s">
        <v>2748</v>
      </c>
      <c r="I2021" t="s">
        <v>2749</v>
      </c>
    </row>
    <row r="2022" spans="8:9" x14ac:dyDescent="0.25">
      <c r="H2022" t="s">
        <v>2748</v>
      </c>
      <c r="I2022" t="s">
        <v>2749</v>
      </c>
    </row>
    <row r="2023" spans="8:9" x14ac:dyDescent="0.25">
      <c r="H2023" t="s">
        <v>2748</v>
      </c>
      <c r="I2023" t="s">
        <v>2749</v>
      </c>
    </row>
    <row r="2024" spans="8:9" x14ac:dyDescent="0.25">
      <c r="H2024" t="s">
        <v>2748</v>
      </c>
      <c r="I2024" t="s">
        <v>2749</v>
      </c>
    </row>
    <row r="2025" spans="8:9" x14ac:dyDescent="0.25">
      <c r="H2025" t="s">
        <v>2748</v>
      </c>
      <c r="I2025" t="s">
        <v>2749</v>
      </c>
    </row>
    <row r="2026" spans="8:9" x14ac:dyDescent="0.25">
      <c r="H2026" t="s">
        <v>2748</v>
      </c>
      <c r="I2026" t="s">
        <v>2749</v>
      </c>
    </row>
    <row r="2027" spans="8:9" x14ac:dyDescent="0.25">
      <c r="H2027" t="s">
        <v>2748</v>
      </c>
      <c r="I2027" t="s">
        <v>2749</v>
      </c>
    </row>
    <row r="2028" spans="8:9" x14ac:dyDescent="0.25">
      <c r="H2028" t="s">
        <v>2748</v>
      </c>
      <c r="I2028" t="s">
        <v>2749</v>
      </c>
    </row>
    <row r="2029" spans="8:9" x14ac:dyDescent="0.25">
      <c r="H2029" t="s">
        <v>2748</v>
      </c>
      <c r="I2029" t="s">
        <v>2749</v>
      </c>
    </row>
    <row r="2030" spans="8:9" x14ac:dyDescent="0.25">
      <c r="H2030" t="s">
        <v>2748</v>
      </c>
      <c r="I2030" t="s">
        <v>2749</v>
      </c>
    </row>
    <row r="2031" spans="8:9" x14ac:dyDescent="0.25">
      <c r="H2031" t="s">
        <v>2748</v>
      </c>
      <c r="I2031" t="s">
        <v>2749</v>
      </c>
    </row>
    <row r="2032" spans="8:9" x14ac:dyDescent="0.25">
      <c r="H2032" t="s">
        <v>2748</v>
      </c>
      <c r="I2032" t="s">
        <v>2749</v>
      </c>
    </row>
    <row r="2033" spans="8:9" x14ac:dyDescent="0.25">
      <c r="H2033" t="s">
        <v>2748</v>
      </c>
      <c r="I2033" t="s">
        <v>2749</v>
      </c>
    </row>
    <row r="2034" spans="8:9" x14ac:dyDescent="0.25">
      <c r="H2034" t="s">
        <v>2748</v>
      </c>
      <c r="I2034" t="s">
        <v>2749</v>
      </c>
    </row>
    <row r="2035" spans="8:9" x14ac:dyDescent="0.25">
      <c r="H2035" t="s">
        <v>2748</v>
      </c>
      <c r="I2035" t="s">
        <v>2749</v>
      </c>
    </row>
    <row r="2036" spans="8:9" x14ac:dyDescent="0.25">
      <c r="H2036" t="s">
        <v>2748</v>
      </c>
      <c r="I2036" t="s">
        <v>2749</v>
      </c>
    </row>
    <row r="2037" spans="8:9" x14ac:dyDescent="0.25">
      <c r="H2037" t="s">
        <v>2748</v>
      </c>
      <c r="I2037" t="s">
        <v>2749</v>
      </c>
    </row>
    <row r="2038" spans="8:9" x14ac:dyDescent="0.25">
      <c r="H2038" t="s">
        <v>2748</v>
      </c>
      <c r="I2038" t="s">
        <v>2749</v>
      </c>
    </row>
    <row r="2039" spans="8:9" x14ac:dyDescent="0.25">
      <c r="H2039" t="s">
        <v>2748</v>
      </c>
      <c r="I2039" t="s">
        <v>2749</v>
      </c>
    </row>
    <row r="2040" spans="8:9" x14ac:dyDescent="0.25">
      <c r="H2040" t="s">
        <v>2748</v>
      </c>
      <c r="I2040" t="s">
        <v>2749</v>
      </c>
    </row>
    <row r="2041" spans="8:9" x14ac:dyDescent="0.25">
      <c r="H2041" t="s">
        <v>2748</v>
      </c>
      <c r="I2041" t="s">
        <v>2749</v>
      </c>
    </row>
    <row r="2042" spans="8:9" x14ac:dyDescent="0.25">
      <c r="H2042" t="s">
        <v>2748</v>
      </c>
      <c r="I2042" t="s">
        <v>2749</v>
      </c>
    </row>
    <row r="2043" spans="8:9" x14ac:dyDescent="0.25">
      <c r="H2043" t="s">
        <v>2748</v>
      </c>
      <c r="I2043" t="s">
        <v>2749</v>
      </c>
    </row>
    <row r="2044" spans="8:9" x14ac:dyDescent="0.25">
      <c r="H2044" t="s">
        <v>2748</v>
      </c>
      <c r="I2044" t="s">
        <v>2749</v>
      </c>
    </row>
    <row r="2045" spans="8:9" x14ac:dyDescent="0.25">
      <c r="H2045" t="s">
        <v>2748</v>
      </c>
      <c r="I2045" t="s">
        <v>2749</v>
      </c>
    </row>
    <row r="2046" spans="8:9" x14ac:dyDescent="0.25">
      <c r="H2046" t="s">
        <v>2748</v>
      </c>
      <c r="I2046" t="s">
        <v>2749</v>
      </c>
    </row>
    <row r="2047" spans="8:9" x14ac:dyDescent="0.25">
      <c r="H2047" t="s">
        <v>2748</v>
      </c>
      <c r="I2047" t="s">
        <v>2749</v>
      </c>
    </row>
    <row r="2048" spans="8:9" x14ac:dyDescent="0.25">
      <c r="H2048" t="s">
        <v>2748</v>
      </c>
      <c r="I2048" t="s">
        <v>2749</v>
      </c>
    </row>
    <row r="2049" spans="8:9" x14ac:dyDescent="0.25">
      <c r="H2049" t="s">
        <v>2748</v>
      </c>
      <c r="I2049" t="s">
        <v>2749</v>
      </c>
    </row>
    <row r="2050" spans="8:9" x14ac:dyDescent="0.25">
      <c r="H2050" t="s">
        <v>2748</v>
      </c>
      <c r="I2050" t="s">
        <v>2749</v>
      </c>
    </row>
    <row r="2051" spans="8:9" x14ac:dyDescent="0.25">
      <c r="H2051" t="s">
        <v>2748</v>
      </c>
      <c r="I2051" t="s">
        <v>2749</v>
      </c>
    </row>
    <row r="2052" spans="8:9" x14ac:dyDescent="0.25">
      <c r="H2052" t="s">
        <v>2748</v>
      </c>
      <c r="I2052" t="s">
        <v>2749</v>
      </c>
    </row>
    <row r="2053" spans="8:9" x14ac:dyDescent="0.25">
      <c r="H2053" t="s">
        <v>2748</v>
      </c>
      <c r="I2053" t="s">
        <v>2749</v>
      </c>
    </row>
    <row r="2054" spans="8:9" x14ac:dyDescent="0.25">
      <c r="H2054" t="s">
        <v>2748</v>
      </c>
      <c r="I2054" t="s">
        <v>2749</v>
      </c>
    </row>
    <row r="2055" spans="8:9" x14ac:dyDescent="0.25">
      <c r="H2055" t="s">
        <v>2748</v>
      </c>
      <c r="I2055" t="s">
        <v>2749</v>
      </c>
    </row>
    <row r="2056" spans="8:9" x14ac:dyDescent="0.25">
      <c r="H2056" t="s">
        <v>2748</v>
      </c>
      <c r="I2056" t="s">
        <v>2749</v>
      </c>
    </row>
    <row r="2057" spans="8:9" x14ac:dyDescent="0.25">
      <c r="H2057" t="s">
        <v>2748</v>
      </c>
      <c r="I2057" t="s">
        <v>2749</v>
      </c>
    </row>
    <row r="2058" spans="8:9" x14ac:dyDescent="0.25">
      <c r="H2058" t="s">
        <v>2748</v>
      </c>
      <c r="I2058" t="s">
        <v>2749</v>
      </c>
    </row>
    <row r="2059" spans="8:9" x14ac:dyDescent="0.25">
      <c r="H2059" t="s">
        <v>2748</v>
      </c>
      <c r="I2059" t="s">
        <v>2749</v>
      </c>
    </row>
    <row r="2060" spans="8:9" x14ac:dyDescent="0.25">
      <c r="H2060" t="s">
        <v>2748</v>
      </c>
      <c r="I2060" t="s">
        <v>2749</v>
      </c>
    </row>
    <row r="2061" spans="8:9" x14ac:dyDescent="0.25">
      <c r="H2061" t="s">
        <v>2748</v>
      </c>
      <c r="I2061" t="s">
        <v>2749</v>
      </c>
    </row>
    <row r="2062" spans="8:9" x14ac:dyDescent="0.25">
      <c r="H2062" t="s">
        <v>2748</v>
      </c>
      <c r="I2062" t="s">
        <v>2749</v>
      </c>
    </row>
    <row r="2063" spans="8:9" x14ac:dyDescent="0.25">
      <c r="H2063" t="s">
        <v>2748</v>
      </c>
      <c r="I2063" t="s">
        <v>2749</v>
      </c>
    </row>
    <row r="2064" spans="8:9" x14ac:dyDescent="0.25">
      <c r="H2064" t="s">
        <v>2748</v>
      </c>
      <c r="I2064" t="s">
        <v>2749</v>
      </c>
    </row>
    <row r="2065" spans="8:9" x14ac:dyDescent="0.25">
      <c r="H2065" t="s">
        <v>2748</v>
      </c>
      <c r="I2065" t="s">
        <v>2749</v>
      </c>
    </row>
    <row r="2066" spans="8:9" x14ac:dyDescent="0.25">
      <c r="H2066" t="s">
        <v>2748</v>
      </c>
      <c r="I2066" t="s">
        <v>2749</v>
      </c>
    </row>
    <row r="2067" spans="8:9" x14ac:dyDescent="0.25">
      <c r="H2067" t="s">
        <v>2748</v>
      </c>
      <c r="I2067" t="s">
        <v>2749</v>
      </c>
    </row>
    <row r="2068" spans="8:9" x14ac:dyDescent="0.25">
      <c r="H2068" t="s">
        <v>2748</v>
      </c>
      <c r="I2068" t="s">
        <v>2749</v>
      </c>
    </row>
    <row r="2069" spans="8:9" x14ac:dyDescent="0.25">
      <c r="H2069" t="s">
        <v>2748</v>
      </c>
      <c r="I2069" t="s">
        <v>2749</v>
      </c>
    </row>
    <row r="2070" spans="8:9" x14ac:dyDescent="0.25">
      <c r="H2070" t="s">
        <v>2748</v>
      </c>
      <c r="I2070" t="s">
        <v>2749</v>
      </c>
    </row>
    <row r="2071" spans="8:9" x14ac:dyDescent="0.25">
      <c r="H2071" t="s">
        <v>2748</v>
      </c>
      <c r="I2071" t="s">
        <v>2749</v>
      </c>
    </row>
    <row r="2072" spans="8:9" x14ac:dyDescent="0.25">
      <c r="H2072" t="s">
        <v>2748</v>
      </c>
      <c r="I2072" t="s">
        <v>2749</v>
      </c>
    </row>
    <row r="2073" spans="8:9" x14ac:dyDescent="0.25">
      <c r="H2073" t="s">
        <v>2748</v>
      </c>
      <c r="I2073" t="s">
        <v>2749</v>
      </c>
    </row>
    <row r="2074" spans="8:9" x14ac:dyDescent="0.25">
      <c r="H2074" t="s">
        <v>2748</v>
      </c>
      <c r="I2074" t="s">
        <v>2749</v>
      </c>
    </row>
    <row r="2075" spans="8:9" x14ac:dyDescent="0.25">
      <c r="H2075" t="s">
        <v>2748</v>
      </c>
      <c r="I2075" t="s">
        <v>2749</v>
      </c>
    </row>
    <row r="2076" spans="8:9" x14ac:dyDescent="0.25">
      <c r="H2076" t="s">
        <v>2748</v>
      </c>
      <c r="I2076" t="s">
        <v>2749</v>
      </c>
    </row>
    <row r="2077" spans="8:9" x14ac:dyDescent="0.25">
      <c r="H2077" t="s">
        <v>2748</v>
      </c>
      <c r="I2077" t="s">
        <v>2749</v>
      </c>
    </row>
    <row r="2078" spans="8:9" x14ac:dyDescent="0.25">
      <c r="H2078" t="s">
        <v>2748</v>
      </c>
      <c r="I2078" t="s">
        <v>2749</v>
      </c>
    </row>
    <row r="2079" spans="8:9" x14ac:dyDescent="0.25">
      <c r="H2079" t="s">
        <v>2748</v>
      </c>
      <c r="I2079" t="s">
        <v>2749</v>
      </c>
    </row>
    <row r="2080" spans="8:9" x14ac:dyDescent="0.25">
      <c r="H2080" t="s">
        <v>2748</v>
      </c>
      <c r="I2080" t="s">
        <v>2749</v>
      </c>
    </row>
    <row r="2081" spans="8:9" x14ac:dyDescent="0.25">
      <c r="H2081" t="s">
        <v>2748</v>
      </c>
      <c r="I2081" t="s">
        <v>2749</v>
      </c>
    </row>
    <row r="2082" spans="8:9" x14ac:dyDescent="0.25">
      <c r="H2082" t="s">
        <v>2748</v>
      </c>
      <c r="I2082" t="s">
        <v>2749</v>
      </c>
    </row>
    <row r="2083" spans="8:9" x14ac:dyDescent="0.25">
      <c r="H2083" t="s">
        <v>2748</v>
      </c>
      <c r="I2083" t="s">
        <v>2749</v>
      </c>
    </row>
    <row r="2084" spans="8:9" x14ac:dyDescent="0.25">
      <c r="H2084" t="s">
        <v>2748</v>
      </c>
      <c r="I2084" t="s">
        <v>2749</v>
      </c>
    </row>
    <row r="2085" spans="8:9" x14ac:dyDescent="0.25">
      <c r="H2085" t="s">
        <v>2748</v>
      </c>
      <c r="I2085" t="s">
        <v>2749</v>
      </c>
    </row>
    <row r="2086" spans="8:9" x14ac:dyDescent="0.25">
      <c r="H2086" t="s">
        <v>2748</v>
      </c>
      <c r="I2086" t="s">
        <v>2749</v>
      </c>
    </row>
    <row r="2087" spans="8:9" x14ac:dyDescent="0.25">
      <c r="H2087" t="s">
        <v>2748</v>
      </c>
      <c r="I2087" t="s">
        <v>2749</v>
      </c>
    </row>
    <row r="2088" spans="8:9" x14ac:dyDescent="0.25">
      <c r="H2088" t="s">
        <v>2748</v>
      </c>
      <c r="I2088" t="s">
        <v>2749</v>
      </c>
    </row>
    <row r="2089" spans="8:9" x14ac:dyDescent="0.25">
      <c r="H2089" t="s">
        <v>2748</v>
      </c>
      <c r="I2089" t="s">
        <v>2749</v>
      </c>
    </row>
    <row r="2090" spans="8:9" x14ac:dyDescent="0.25">
      <c r="H2090" t="s">
        <v>2748</v>
      </c>
      <c r="I2090" t="s">
        <v>2749</v>
      </c>
    </row>
    <row r="2091" spans="8:9" x14ac:dyDescent="0.25">
      <c r="H2091" t="s">
        <v>2748</v>
      </c>
      <c r="I2091" t="s">
        <v>2749</v>
      </c>
    </row>
    <row r="2092" spans="8:9" x14ac:dyDescent="0.25">
      <c r="H2092" t="s">
        <v>2748</v>
      </c>
      <c r="I2092" t="s">
        <v>2749</v>
      </c>
    </row>
    <row r="2093" spans="8:9" x14ac:dyDescent="0.25">
      <c r="H2093" t="s">
        <v>2748</v>
      </c>
      <c r="I2093" t="s">
        <v>2749</v>
      </c>
    </row>
    <row r="2094" spans="8:9" x14ac:dyDescent="0.25">
      <c r="H2094" t="s">
        <v>2748</v>
      </c>
      <c r="I2094" t="s">
        <v>2749</v>
      </c>
    </row>
    <row r="2095" spans="8:9" x14ac:dyDescent="0.25">
      <c r="H2095" t="s">
        <v>2748</v>
      </c>
      <c r="I2095" t="s">
        <v>2749</v>
      </c>
    </row>
    <row r="2096" spans="8:9" x14ac:dyDescent="0.25">
      <c r="H2096" t="s">
        <v>2748</v>
      </c>
      <c r="I2096" t="s">
        <v>2749</v>
      </c>
    </row>
    <row r="2097" spans="8:9" x14ac:dyDescent="0.25">
      <c r="H2097" t="s">
        <v>2748</v>
      </c>
      <c r="I2097" t="s">
        <v>2749</v>
      </c>
    </row>
    <row r="2098" spans="8:9" x14ac:dyDescent="0.25">
      <c r="H2098" t="s">
        <v>2748</v>
      </c>
      <c r="I2098" t="s">
        <v>2749</v>
      </c>
    </row>
    <row r="2099" spans="8:9" x14ac:dyDescent="0.25">
      <c r="H2099" t="s">
        <v>2748</v>
      </c>
      <c r="I2099" t="s">
        <v>2749</v>
      </c>
    </row>
    <row r="2100" spans="8:9" x14ac:dyDescent="0.25">
      <c r="H2100" t="s">
        <v>318</v>
      </c>
      <c r="I2100" t="s">
        <v>317</v>
      </c>
    </row>
    <row r="2101" spans="8:9" x14ac:dyDescent="0.25">
      <c r="H2101" t="s">
        <v>318</v>
      </c>
      <c r="I2101" t="s">
        <v>317</v>
      </c>
    </row>
    <row r="2102" spans="8:9" x14ac:dyDescent="0.25">
      <c r="H2102" t="s">
        <v>5286</v>
      </c>
      <c r="I2102" t="s">
        <v>317</v>
      </c>
    </row>
    <row r="2103" spans="8:9" x14ac:dyDescent="0.25">
      <c r="H2103" t="s">
        <v>6670</v>
      </c>
      <c r="I2103" t="s">
        <v>317</v>
      </c>
    </row>
    <row r="2104" spans="8:9" x14ac:dyDescent="0.25">
      <c r="H2104" t="s">
        <v>6811</v>
      </c>
      <c r="I2104" t="s">
        <v>317</v>
      </c>
    </row>
    <row r="2105" spans="8:9" x14ac:dyDescent="0.25">
      <c r="H2105" t="s">
        <v>6143</v>
      </c>
      <c r="I2105" t="s">
        <v>317</v>
      </c>
    </row>
    <row r="2106" spans="8:9" x14ac:dyDescent="0.25">
      <c r="H2106" t="s">
        <v>318</v>
      </c>
      <c r="I2106" t="s">
        <v>317</v>
      </c>
    </row>
    <row r="2107" spans="8:9" x14ac:dyDescent="0.25">
      <c r="H2107" t="s">
        <v>318</v>
      </c>
      <c r="I2107" t="s">
        <v>317</v>
      </c>
    </row>
    <row r="2108" spans="8:9" x14ac:dyDescent="0.25">
      <c r="H2108" t="s">
        <v>318</v>
      </c>
      <c r="I2108" t="s">
        <v>317</v>
      </c>
    </row>
    <row r="2109" spans="8:9" x14ac:dyDescent="0.25">
      <c r="H2109" t="s">
        <v>6143</v>
      </c>
      <c r="I2109" t="s">
        <v>317</v>
      </c>
    </row>
    <row r="2110" spans="8:9" x14ac:dyDescent="0.25">
      <c r="H2110" t="s">
        <v>6670</v>
      </c>
      <c r="I2110" t="s">
        <v>317</v>
      </c>
    </row>
    <row r="2111" spans="8:9" x14ac:dyDescent="0.25">
      <c r="H2111" t="s">
        <v>318</v>
      </c>
      <c r="I2111" t="s">
        <v>317</v>
      </c>
    </row>
    <row r="2112" spans="8:9" x14ac:dyDescent="0.25">
      <c r="H2112" t="s">
        <v>6660</v>
      </c>
      <c r="I2112" t="s">
        <v>317</v>
      </c>
    </row>
    <row r="2113" spans="8:9" x14ac:dyDescent="0.25">
      <c r="H2113" t="s">
        <v>318</v>
      </c>
      <c r="I2113" t="s">
        <v>317</v>
      </c>
    </row>
    <row r="2114" spans="8:9" x14ac:dyDescent="0.25">
      <c r="H2114" t="s">
        <v>318</v>
      </c>
      <c r="I2114" t="s">
        <v>317</v>
      </c>
    </row>
    <row r="2115" spans="8:9" x14ac:dyDescent="0.25">
      <c r="H2115" t="s">
        <v>6447</v>
      </c>
      <c r="I2115" t="s">
        <v>317</v>
      </c>
    </row>
    <row r="2116" spans="8:9" x14ac:dyDescent="0.25">
      <c r="H2116" t="s">
        <v>5286</v>
      </c>
      <c r="I2116" t="s">
        <v>317</v>
      </c>
    </row>
    <row r="2117" spans="8:9" x14ac:dyDescent="0.25">
      <c r="H2117" t="s">
        <v>318</v>
      </c>
      <c r="I2117" t="s">
        <v>317</v>
      </c>
    </row>
    <row r="2118" spans="8:9" x14ac:dyDescent="0.25">
      <c r="H2118" t="s">
        <v>318</v>
      </c>
      <c r="I2118" t="s">
        <v>317</v>
      </c>
    </row>
    <row r="2119" spans="8:9" x14ac:dyDescent="0.25">
      <c r="H2119" t="s">
        <v>5926</v>
      </c>
      <c r="I2119" t="s">
        <v>317</v>
      </c>
    </row>
    <row r="2120" spans="8:9" x14ac:dyDescent="0.25">
      <c r="H2120" t="s">
        <v>318</v>
      </c>
      <c r="I2120" t="s">
        <v>317</v>
      </c>
    </row>
    <row r="2121" spans="8:9" x14ac:dyDescent="0.25">
      <c r="H2121" t="s">
        <v>6194</v>
      </c>
      <c r="I2121" t="s">
        <v>317</v>
      </c>
    </row>
    <row r="2122" spans="8:9" x14ac:dyDescent="0.25">
      <c r="H2122" t="s">
        <v>318</v>
      </c>
      <c r="I2122" t="s">
        <v>317</v>
      </c>
    </row>
    <row r="2123" spans="8:9" x14ac:dyDescent="0.25">
      <c r="H2123" t="s">
        <v>318</v>
      </c>
      <c r="I2123" t="s">
        <v>317</v>
      </c>
    </row>
    <row r="2124" spans="8:9" x14ac:dyDescent="0.25">
      <c r="H2124" t="s">
        <v>6143</v>
      </c>
      <c r="I2124" t="s">
        <v>317</v>
      </c>
    </row>
    <row r="2125" spans="8:9" x14ac:dyDescent="0.25">
      <c r="H2125" t="s">
        <v>318</v>
      </c>
      <c r="I2125" t="s">
        <v>317</v>
      </c>
    </row>
    <row r="2126" spans="8:9" x14ac:dyDescent="0.25">
      <c r="H2126" t="s">
        <v>318</v>
      </c>
      <c r="I2126" t="s">
        <v>317</v>
      </c>
    </row>
    <row r="2127" spans="8:9" x14ac:dyDescent="0.25">
      <c r="H2127" t="s">
        <v>5926</v>
      </c>
      <c r="I2127" t="s">
        <v>317</v>
      </c>
    </row>
    <row r="2128" spans="8:9" x14ac:dyDescent="0.25">
      <c r="H2128" t="s">
        <v>318</v>
      </c>
      <c r="I2128" t="s">
        <v>317</v>
      </c>
    </row>
    <row r="2129" spans="8:9" x14ac:dyDescent="0.25">
      <c r="H2129" t="s">
        <v>318</v>
      </c>
      <c r="I2129" t="s">
        <v>317</v>
      </c>
    </row>
    <row r="2130" spans="8:9" x14ac:dyDescent="0.25">
      <c r="H2130" t="s">
        <v>318</v>
      </c>
      <c r="I2130" t="s">
        <v>317</v>
      </c>
    </row>
    <row r="2131" spans="8:9" x14ac:dyDescent="0.25">
      <c r="H2131" t="s">
        <v>318</v>
      </c>
      <c r="I2131" t="s">
        <v>317</v>
      </c>
    </row>
    <row r="2132" spans="8:9" x14ac:dyDescent="0.25">
      <c r="H2132" t="s">
        <v>318</v>
      </c>
      <c r="I2132" t="s">
        <v>317</v>
      </c>
    </row>
    <row r="2133" spans="8:9" x14ac:dyDescent="0.25">
      <c r="H2133" t="s">
        <v>318</v>
      </c>
      <c r="I2133" t="s">
        <v>317</v>
      </c>
    </row>
    <row r="2134" spans="8:9" x14ac:dyDescent="0.25">
      <c r="H2134" t="s">
        <v>318</v>
      </c>
      <c r="I2134" t="s">
        <v>317</v>
      </c>
    </row>
    <row r="2135" spans="8:9" x14ac:dyDescent="0.25">
      <c r="H2135" t="s">
        <v>318</v>
      </c>
      <c r="I2135" t="s">
        <v>317</v>
      </c>
    </row>
    <row r="2136" spans="8:9" x14ac:dyDescent="0.25">
      <c r="H2136" t="s">
        <v>318</v>
      </c>
      <c r="I2136" t="s">
        <v>317</v>
      </c>
    </row>
    <row r="2137" spans="8:9" x14ac:dyDescent="0.25">
      <c r="H2137" t="s">
        <v>318</v>
      </c>
      <c r="I2137" t="s">
        <v>317</v>
      </c>
    </row>
    <row r="2138" spans="8:9" x14ac:dyDescent="0.25">
      <c r="H2138" t="s">
        <v>318</v>
      </c>
      <c r="I2138" t="s">
        <v>317</v>
      </c>
    </row>
    <row r="2139" spans="8:9" x14ac:dyDescent="0.25">
      <c r="H2139" t="s">
        <v>318</v>
      </c>
      <c r="I2139" t="s">
        <v>317</v>
      </c>
    </row>
    <row r="2140" spans="8:9" x14ac:dyDescent="0.25">
      <c r="H2140" t="s">
        <v>5384</v>
      </c>
      <c r="I2140" t="s">
        <v>317</v>
      </c>
    </row>
    <row r="2141" spans="8:9" x14ac:dyDescent="0.25">
      <c r="H2141" t="s">
        <v>318</v>
      </c>
      <c r="I2141" t="s">
        <v>317</v>
      </c>
    </row>
    <row r="2142" spans="8:9" x14ac:dyDescent="0.25">
      <c r="H2142" t="s">
        <v>318</v>
      </c>
      <c r="I2142" t="s">
        <v>317</v>
      </c>
    </row>
    <row r="2143" spans="8:9" x14ac:dyDescent="0.25">
      <c r="H2143" t="s">
        <v>5286</v>
      </c>
      <c r="I2143" t="s">
        <v>317</v>
      </c>
    </row>
    <row r="2144" spans="8:9" x14ac:dyDescent="0.25">
      <c r="H2144" t="s">
        <v>318</v>
      </c>
      <c r="I2144" t="s">
        <v>317</v>
      </c>
    </row>
    <row r="2145" spans="8:9" x14ac:dyDescent="0.25">
      <c r="H2145" t="s">
        <v>318</v>
      </c>
      <c r="I2145" t="s">
        <v>317</v>
      </c>
    </row>
    <row r="2146" spans="8:9" x14ac:dyDescent="0.25">
      <c r="H2146" t="s">
        <v>6667</v>
      </c>
      <c r="I2146" t="s">
        <v>337</v>
      </c>
    </row>
    <row r="2147" spans="8:9" x14ac:dyDescent="0.25">
      <c r="H2147" t="s">
        <v>336</v>
      </c>
      <c r="I2147" t="s">
        <v>337</v>
      </c>
    </row>
    <row r="2148" spans="8:9" x14ac:dyDescent="0.25">
      <c r="H2148" t="s">
        <v>4598</v>
      </c>
      <c r="I2148" t="s">
        <v>337</v>
      </c>
    </row>
    <row r="2149" spans="8:9" x14ac:dyDescent="0.25">
      <c r="H2149" t="s">
        <v>4664</v>
      </c>
      <c r="I2149" t="s">
        <v>337</v>
      </c>
    </row>
    <row r="2150" spans="8:9" x14ac:dyDescent="0.25">
      <c r="H2150" t="s">
        <v>6357</v>
      </c>
      <c r="I2150" t="s">
        <v>337</v>
      </c>
    </row>
    <row r="2151" spans="8:9" x14ac:dyDescent="0.25">
      <c r="H2151" t="s">
        <v>336</v>
      </c>
      <c r="I2151" t="s">
        <v>337</v>
      </c>
    </row>
    <row r="2152" spans="8:9" x14ac:dyDescent="0.25">
      <c r="H2152" t="s">
        <v>336</v>
      </c>
      <c r="I2152" t="s">
        <v>337</v>
      </c>
    </row>
    <row r="2153" spans="8:9" x14ac:dyDescent="0.25">
      <c r="H2153" t="s">
        <v>6068</v>
      </c>
      <c r="I2153" t="s">
        <v>337</v>
      </c>
    </row>
    <row r="2154" spans="8:9" x14ac:dyDescent="0.25">
      <c r="H2154" t="s">
        <v>6054</v>
      </c>
      <c r="I2154" t="s">
        <v>337</v>
      </c>
    </row>
    <row r="2155" spans="8:9" x14ac:dyDescent="0.25">
      <c r="H2155" t="s">
        <v>5923</v>
      </c>
      <c r="I2155" t="s">
        <v>337</v>
      </c>
    </row>
    <row r="2156" spans="8:9" x14ac:dyDescent="0.25">
      <c r="H2156" t="s">
        <v>336</v>
      </c>
      <c r="I2156" t="s">
        <v>337</v>
      </c>
    </row>
    <row r="2157" spans="8:9" x14ac:dyDescent="0.25">
      <c r="H2157" t="s">
        <v>5668</v>
      </c>
      <c r="I2157" t="s">
        <v>337</v>
      </c>
    </row>
    <row r="2158" spans="8:9" x14ac:dyDescent="0.25">
      <c r="H2158" t="s">
        <v>5465</v>
      </c>
      <c r="I2158" t="s">
        <v>337</v>
      </c>
    </row>
    <row r="2159" spans="8:9" x14ac:dyDescent="0.25">
      <c r="H2159" t="s">
        <v>5423</v>
      </c>
      <c r="I2159" t="s">
        <v>337</v>
      </c>
    </row>
    <row r="2160" spans="8:9" x14ac:dyDescent="0.25">
      <c r="H2160" t="s">
        <v>5329</v>
      </c>
      <c r="I2160" t="s">
        <v>337</v>
      </c>
    </row>
    <row r="2161" spans="8:12" x14ac:dyDescent="0.25">
      <c r="H2161" t="s">
        <v>5327</v>
      </c>
      <c r="I2161" t="s">
        <v>339</v>
      </c>
      <c r="J2161" t="s">
        <v>341</v>
      </c>
      <c r="K2161" t="s">
        <v>343</v>
      </c>
      <c r="L2161" t="s">
        <v>345</v>
      </c>
    </row>
    <row r="2162" spans="8:12" x14ac:dyDescent="0.25">
      <c r="H2162" t="s">
        <v>393</v>
      </c>
      <c r="I2162" t="s">
        <v>339</v>
      </c>
      <c r="J2162" t="s">
        <v>343</v>
      </c>
      <c r="K2162" t="s">
        <v>341</v>
      </c>
      <c r="L2162" t="s">
        <v>345</v>
      </c>
    </row>
    <row r="2163" spans="8:12" x14ac:dyDescent="0.25">
      <c r="H2163" t="s">
        <v>338</v>
      </c>
      <c r="I2163" t="s">
        <v>339</v>
      </c>
      <c r="J2163" t="s">
        <v>341</v>
      </c>
      <c r="K2163" t="s">
        <v>343</v>
      </c>
      <c r="L2163" t="s">
        <v>345</v>
      </c>
    </row>
    <row r="2164" spans="8:12" x14ac:dyDescent="0.25">
      <c r="H2164" t="s">
        <v>5310</v>
      </c>
      <c r="I2164" t="s">
        <v>339</v>
      </c>
      <c r="J2164" t="s">
        <v>343</v>
      </c>
      <c r="K2164" t="s">
        <v>422</v>
      </c>
    </row>
    <row r="2165" spans="8:12" x14ac:dyDescent="0.25">
      <c r="H2165" t="s">
        <v>338</v>
      </c>
      <c r="I2165" t="s">
        <v>339</v>
      </c>
    </row>
    <row r="2166" spans="8:12" x14ac:dyDescent="0.25">
      <c r="H2166" t="s">
        <v>6684</v>
      </c>
      <c r="I2166" t="s">
        <v>339</v>
      </c>
      <c r="J2166" t="s">
        <v>341</v>
      </c>
      <c r="K2166" t="s">
        <v>343</v>
      </c>
      <c r="L2166" t="s">
        <v>345</v>
      </c>
    </row>
    <row r="2167" spans="8:12" x14ac:dyDescent="0.25">
      <c r="H2167" t="s">
        <v>6069</v>
      </c>
      <c r="I2167" t="s">
        <v>339</v>
      </c>
      <c r="J2167" t="s">
        <v>341</v>
      </c>
      <c r="K2167" t="s">
        <v>343</v>
      </c>
      <c r="L2167" t="s">
        <v>345</v>
      </c>
    </row>
    <row r="2168" spans="8:12" x14ac:dyDescent="0.25">
      <c r="H2168" t="s">
        <v>393</v>
      </c>
      <c r="I2168" t="s">
        <v>339</v>
      </c>
      <c r="J2168" t="s">
        <v>343</v>
      </c>
      <c r="K2168" t="s">
        <v>341</v>
      </c>
      <c r="L2168" t="s">
        <v>345</v>
      </c>
    </row>
    <row r="2169" spans="8:12" x14ac:dyDescent="0.25">
      <c r="H2169" t="s">
        <v>338</v>
      </c>
      <c r="I2169" t="s">
        <v>339</v>
      </c>
      <c r="J2169" t="s">
        <v>343</v>
      </c>
    </row>
    <row r="2170" spans="8:12" x14ac:dyDescent="0.25">
      <c r="H2170" t="s">
        <v>6449</v>
      </c>
      <c r="I2170" t="s">
        <v>339</v>
      </c>
      <c r="J2170" t="s">
        <v>341</v>
      </c>
      <c r="K2170" t="s">
        <v>343</v>
      </c>
      <c r="L2170" t="s">
        <v>345</v>
      </c>
    </row>
    <row r="2171" spans="8:12" x14ac:dyDescent="0.25">
      <c r="H2171" t="s">
        <v>5310</v>
      </c>
      <c r="I2171" t="s">
        <v>339</v>
      </c>
      <c r="J2171" t="s">
        <v>343</v>
      </c>
      <c r="K2171" t="s">
        <v>341</v>
      </c>
      <c r="L2171" t="s">
        <v>345</v>
      </c>
    </row>
    <row r="2172" spans="8:12" x14ac:dyDescent="0.25">
      <c r="H2172" t="s">
        <v>6470</v>
      </c>
      <c r="I2172" t="s">
        <v>339</v>
      </c>
    </row>
    <row r="2173" spans="8:12" x14ac:dyDescent="0.25">
      <c r="H2173" t="s">
        <v>6449</v>
      </c>
      <c r="I2173" t="s">
        <v>339</v>
      </c>
      <c r="J2173" t="s">
        <v>341</v>
      </c>
      <c r="K2173" t="s">
        <v>343</v>
      </c>
      <c r="L2173" t="s">
        <v>345</v>
      </c>
    </row>
    <row r="2174" spans="8:12" x14ac:dyDescent="0.25">
      <c r="H2174" t="s">
        <v>5310</v>
      </c>
      <c r="I2174" t="s">
        <v>339</v>
      </c>
      <c r="J2174" t="s">
        <v>343</v>
      </c>
      <c r="K2174" t="s">
        <v>422</v>
      </c>
    </row>
    <row r="2175" spans="8:12" x14ac:dyDescent="0.25">
      <c r="H2175" t="s">
        <v>6370</v>
      </c>
      <c r="I2175" t="s">
        <v>339</v>
      </c>
      <c r="J2175" t="s">
        <v>343</v>
      </c>
      <c r="K2175" t="s">
        <v>341</v>
      </c>
      <c r="L2175" t="s">
        <v>345</v>
      </c>
    </row>
    <row r="2176" spans="8:12" x14ac:dyDescent="0.25">
      <c r="H2176" t="s">
        <v>338</v>
      </c>
      <c r="I2176" t="s">
        <v>339</v>
      </c>
      <c r="J2176" t="s">
        <v>343</v>
      </c>
    </row>
    <row r="2177" spans="8:12" x14ac:dyDescent="0.25">
      <c r="H2177" t="s">
        <v>5310</v>
      </c>
      <c r="I2177" t="s">
        <v>339</v>
      </c>
      <c r="J2177" t="s">
        <v>343</v>
      </c>
      <c r="K2177" t="s">
        <v>422</v>
      </c>
    </row>
    <row r="2178" spans="8:12" x14ac:dyDescent="0.25">
      <c r="H2178" t="s">
        <v>338</v>
      </c>
      <c r="I2178" t="s">
        <v>339</v>
      </c>
      <c r="J2178" t="s">
        <v>341</v>
      </c>
      <c r="K2178" t="s">
        <v>343</v>
      </c>
      <c r="L2178" t="s">
        <v>345</v>
      </c>
    </row>
    <row r="2179" spans="8:12" x14ac:dyDescent="0.25">
      <c r="H2179" t="s">
        <v>6126</v>
      </c>
      <c r="I2179" t="s">
        <v>339</v>
      </c>
      <c r="J2179" t="s">
        <v>341</v>
      </c>
      <c r="K2179" t="s">
        <v>343</v>
      </c>
      <c r="L2179" t="s">
        <v>345</v>
      </c>
    </row>
    <row r="2180" spans="8:12" x14ac:dyDescent="0.25">
      <c r="H2180" t="s">
        <v>5298</v>
      </c>
      <c r="I2180" t="s">
        <v>339</v>
      </c>
    </row>
    <row r="2181" spans="8:12" x14ac:dyDescent="0.25">
      <c r="H2181" t="s">
        <v>393</v>
      </c>
      <c r="I2181" t="s">
        <v>339</v>
      </c>
      <c r="J2181" t="s">
        <v>343</v>
      </c>
      <c r="K2181" t="s">
        <v>341</v>
      </c>
      <c r="L2181" t="s">
        <v>345</v>
      </c>
    </row>
    <row r="2182" spans="8:12" x14ac:dyDescent="0.25">
      <c r="H2182" t="s">
        <v>6069</v>
      </c>
      <c r="I2182" t="s">
        <v>339</v>
      </c>
      <c r="J2182" t="s">
        <v>341</v>
      </c>
      <c r="K2182" t="s">
        <v>343</v>
      </c>
      <c r="L2182" t="s">
        <v>345</v>
      </c>
    </row>
    <row r="2183" spans="8:12" x14ac:dyDescent="0.25">
      <c r="H2183" t="s">
        <v>5310</v>
      </c>
      <c r="I2183" t="s">
        <v>339</v>
      </c>
      <c r="J2183" t="s">
        <v>343</v>
      </c>
      <c r="K2183" t="s">
        <v>422</v>
      </c>
    </row>
    <row r="2184" spans="8:12" x14ac:dyDescent="0.25">
      <c r="H2184" t="s">
        <v>5913</v>
      </c>
      <c r="I2184" t="s">
        <v>339</v>
      </c>
      <c r="J2184" t="s">
        <v>341</v>
      </c>
      <c r="K2184" t="s">
        <v>343</v>
      </c>
      <c r="L2184" t="s">
        <v>345</v>
      </c>
    </row>
    <row r="2185" spans="8:12" x14ac:dyDescent="0.25">
      <c r="H2185" t="s">
        <v>5886</v>
      </c>
      <c r="I2185" t="s">
        <v>339</v>
      </c>
      <c r="J2185" t="s">
        <v>343</v>
      </c>
      <c r="K2185" t="s">
        <v>341</v>
      </c>
      <c r="L2185" t="s">
        <v>345</v>
      </c>
    </row>
    <row r="2186" spans="8:12" x14ac:dyDescent="0.25">
      <c r="H2186" t="s">
        <v>5881</v>
      </c>
      <c r="I2186" t="s">
        <v>339</v>
      </c>
    </row>
    <row r="2187" spans="8:12" x14ac:dyDescent="0.25">
      <c r="H2187" t="s">
        <v>5340</v>
      </c>
      <c r="I2187" t="s">
        <v>339</v>
      </c>
    </row>
    <row r="2188" spans="8:12" x14ac:dyDescent="0.25">
      <c r="H2188" t="s">
        <v>5754</v>
      </c>
      <c r="I2188" t="s">
        <v>339</v>
      </c>
      <c r="J2188" t="s">
        <v>343</v>
      </c>
    </row>
    <row r="2189" spans="8:12" x14ac:dyDescent="0.25">
      <c r="H2189" t="s">
        <v>5340</v>
      </c>
      <c r="I2189" t="s">
        <v>339</v>
      </c>
    </row>
    <row r="2190" spans="8:12" x14ac:dyDescent="0.25">
      <c r="H2190" t="s">
        <v>5527</v>
      </c>
      <c r="I2190" t="s">
        <v>339</v>
      </c>
    </row>
    <row r="2191" spans="8:12" x14ac:dyDescent="0.25">
      <c r="H2191" t="s">
        <v>5459</v>
      </c>
      <c r="I2191" t="s">
        <v>339</v>
      </c>
    </row>
    <row r="2192" spans="8:12" x14ac:dyDescent="0.25">
      <c r="H2192" t="s">
        <v>5459</v>
      </c>
      <c r="I2192" t="s">
        <v>339</v>
      </c>
      <c r="J2192" t="s">
        <v>343</v>
      </c>
    </row>
    <row r="2193" spans="8:12" x14ac:dyDescent="0.25">
      <c r="H2193" t="s">
        <v>393</v>
      </c>
      <c r="I2193" t="s">
        <v>339</v>
      </c>
      <c r="J2193" t="s">
        <v>343</v>
      </c>
      <c r="K2193" t="s">
        <v>341</v>
      </c>
      <c r="L2193" t="s">
        <v>345</v>
      </c>
    </row>
    <row r="2194" spans="8:12" x14ac:dyDescent="0.25">
      <c r="H2194" t="s">
        <v>338</v>
      </c>
      <c r="I2194" t="s">
        <v>339</v>
      </c>
      <c r="J2194" t="s">
        <v>341</v>
      </c>
      <c r="K2194" t="s">
        <v>343</v>
      </c>
      <c r="L2194" t="s">
        <v>345</v>
      </c>
    </row>
    <row r="2195" spans="8:12" x14ac:dyDescent="0.25">
      <c r="H2195" t="s">
        <v>5340</v>
      </c>
      <c r="I2195" t="s">
        <v>339</v>
      </c>
    </row>
    <row r="2196" spans="8:12" x14ac:dyDescent="0.25">
      <c r="H2196" t="s">
        <v>338</v>
      </c>
      <c r="I2196" t="s">
        <v>339</v>
      </c>
      <c r="J2196" t="s">
        <v>343</v>
      </c>
    </row>
    <row r="2197" spans="8:12" x14ac:dyDescent="0.25">
      <c r="H2197" t="s">
        <v>5327</v>
      </c>
      <c r="I2197" t="s">
        <v>339</v>
      </c>
      <c r="J2197" t="s">
        <v>341</v>
      </c>
      <c r="K2197" t="s">
        <v>343</v>
      </c>
      <c r="L2197" t="s">
        <v>345</v>
      </c>
    </row>
    <row r="2198" spans="8:12" x14ac:dyDescent="0.25">
      <c r="H2198" t="s">
        <v>5310</v>
      </c>
      <c r="I2198" t="s">
        <v>339</v>
      </c>
      <c r="J2198" t="s">
        <v>343</v>
      </c>
      <c r="K2198" t="s">
        <v>422</v>
      </c>
    </row>
    <row r="2199" spans="8:12" x14ac:dyDescent="0.25">
      <c r="H2199" t="s">
        <v>5298</v>
      </c>
      <c r="I2199" t="s">
        <v>339</v>
      </c>
    </row>
    <row r="2200" spans="8:12" x14ac:dyDescent="0.25">
      <c r="H2200" t="s">
        <v>338</v>
      </c>
      <c r="I2200" t="s">
        <v>339</v>
      </c>
      <c r="J2200" t="s">
        <v>343</v>
      </c>
    </row>
    <row r="2201" spans="8:12" x14ac:dyDescent="0.25">
      <c r="H2201" t="s">
        <v>6687</v>
      </c>
      <c r="I2201" t="s">
        <v>341</v>
      </c>
    </row>
    <row r="2202" spans="8:12" x14ac:dyDescent="0.25">
      <c r="H2202" t="s">
        <v>5358</v>
      </c>
      <c r="I2202" t="s">
        <v>341</v>
      </c>
    </row>
    <row r="2203" spans="8:12" x14ac:dyDescent="0.25">
      <c r="H2203" t="s">
        <v>5556</v>
      </c>
      <c r="I2203" t="s">
        <v>341</v>
      </c>
    </row>
    <row r="2204" spans="8:12" x14ac:dyDescent="0.25">
      <c r="H2204" t="s">
        <v>340</v>
      </c>
      <c r="I2204" t="s">
        <v>341</v>
      </c>
    </row>
    <row r="2205" spans="8:12" x14ac:dyDescent="0.25">
      <c r="H2205" t="s">
        <v>5358</v>
      </c>
      <c r="I2205" t="s">
        <v>341</v>
      </c>
    </row>
    <row r="2206" spans="8:12" x14ac:dyDescent="0.25">
      <c r="H2206" t="s">
        <v>5556</v>
      </c>
      <c r="I2206" t="s">
        <v>341</v>
      </c>
    </row>
    <row r="2207" spans="8:12" x14ac:dyDescent="0.25">
      <c r="H2207" t="s">
        <v>5461</v>
      </c>
      <c r="I2207" t="s">
        <v>341</v>
      </c>
    </row>
    <row r="2208" spans="8:12" x14ac:dyDescent="0.25">
      <c r="H2208" t="s">
        <v>5358</v>
      </c>
      <c r="I2208" t="s">
        <v>341</v>
      </c>
    </row>
    <row r="2209" spans="8:10" x14ac:dyDescent="0.25">
      <c r="H2209" t="s">
        <v>5317</v>
      </c>
      <c r="I2209" t="s">
        <v>341</v>
      </c>
    </row>
    <row r="2210" spans="8:10" x14ac:dyDescent="0.25">
      <c r="H2210" t="s">
        <v>6793</v>
      </c>
      <c r="I2210" t="s">
        <v>343</v>
      </c>
    </row>
    <row r="2211" spans="8:10" x14ac:dyDescent="0.25">
      <c r="H2211" t="s">
        <v>5596</v>
      </c>
      <c r="I2211" t="s">
        <v>343</v>
      </c>
    </row>
    <row r="2212" spans="8:10" x14ac:dyDescent="0.25">
      <c r="H2212" t="s">
        <v>338</v>
      </c>
      <c r="I2212" t="s">
        <v>343</v>
      </c>
      <c r="J2212" t="s">
        <v>343</v>
      </c>
    </row>
    <row r="2213" spans="8:10" x14ac:dyDescent="0.25">
      <c r="H2213" t="s">
        <v>5596</v>
      </c>
      <c r="I2213" t="s">
        <v>343</v>
      </c>
    </row>
    <row r="2214" spans="8:10" x14ac:dyDescent="0.25">
      <c r="H2214" t="s">
        <v>338</v>
      </c>
      <c r="I2214" t="s">
        <v>343</v>
      </c>
      <c r="J2214" t="s">
        <v>343</v>
      </c>
    </row>
    <row r="2215" spans="8:10" x14ac:dyDescent="0.25">
      <c r="H2215" t="s">
        <v>6835</v>
      </c>
      <c r="I2215" t="s">
        <v>345</v>
      </c>
    </row>
    <row r="2216" spans="8:10" x14ac:dyDescent="0.25">
      <c r="H2216" t="s">
        <v>338</v>
      </c>
      <c r="I2216" t="s">
        <v>345</v>
      </c>
    </row>
    <row r="2217" spans="8:10" x14ac:dyDescent="0.25">
      <c r="H2217" t="s">
        <v>338</v>
      </c>
      <c r="I2217" t="s">
        <v>345</v>
      </c>
      <c r="J2217" t="s">
        <v>341</v>
      </c>
    </row>
    <row r="2218" spans="8:10" x14ac:dyDescent="0.25">
      <c r="H2218" t="s">
        <v>5936</v>
      </c>
      <c r="I2218" t="s">
        <v>345</v>
      </c>
    </row>
    <row r="2219" spans="8:10" x14ac:dyDescent="0.25">
      <c r="H2219" t="s">
        <v>338</v>
      </c>
      <c r="I2219" t="s">
        <v>345</v>
      </c>
      <c r="J2219" t="s">
        <v>341</v>
      </c>
    </row>
    <row r="2220" spans="8:10" x14ac:dyDescent="0.25">
      <c r="H2220" t="s">
        <v>338</v>
      </c>
      <c r="I2220" t="s">
        <v>345</v>
      </c>
      <c r="J2220" t="s">
        <v>341</v>
      </c>
    </row>
    <row r="2221" spans="8:10" x14ac:dyDescent="0.25">
      <c r="H2221" t="s">
        <v>423</v>
      </c>
      <c r="I2221" t="s">
        <v>444</v>
      </c>
    </row>
    <row r="2222" spans="8:10" x14ac:dyDescent="0.25">
      <c r="H2222" t="s">
        <v>423</v>
      </c>
      <c r="I2222" t="s">
        <v>444</v>
      </c>
    </row>
    <row r="2223" spans="8:10" x14ac:dyDescent="0.25">
      <c r="H2223" t="s">
        <v>423</v>
      </c>
      <c r="I2223" t="s">
        <v>444</v>
      </c>
    </row>
    <row r="2224" spans="8:10" x14ac:dyDescent="0.25">
      <c r="H2224" t="s">
        <v>6761</v>
      </c>
      <c r="I2224" t="s">
        <v>2755</v>
      </c>
    </row>
    <row r="2225" spans="8:9" x14ac:dyDescent="0.25">
      <c r="H2225" t="s">
        <v>338</v>
      </c>
      <c r="I2225" t="s">
        <v>2755</v>
      </c>
    </row>
    <row r="2226" spans="8:9" x14ac:dyDescent="0.25">
      <c r="H2226" t="s">
        <v>338</v>
      </c>
      <c r="I2226" t="s">
        <v>2755</v>
      </c>
    </row>
    <row r="2227" spans="8:9" x14ac:dyDescent="0.25">
      <c r="H2227" t="s">
        <v>338</v>
      </c>
      <c r="I2227" t="s">
        <v>2755</v>
      </c>
    </row>
    <row r="2228" spans="8:9" x14ac:dyDescent="0.25">
      <c r="H2228" t="s">
        <v>338</v>
      </c>
      <c r="I2228" t="s">
        <v>2755</v>
      </c>
    </row>
    <row r="2229" spans="8:9" x14ac:dyDescent="0.25">
      <c r="H2229" t="s">
        <v>338</v>
      </c>
      <c r="I2229" t="s">
        <v>2755</v>
      </c>
    </row>
    <row r="2230" spans="8:9" x14ac:dyDescent="0.25">
      <c r="H2230" t="s">
        <v>2756</v>
      </c>
      <c r="I2230" t="s">
        <v>2757</v>
      </c>
    </row>
    <row r="2231" spans="8:9" x14ac:dyDescent="0.25">
      <c r="H2231" t="s">
        <v>463</v>
      </c>
      <c r="I2231" t="s">
        <v>464</v>
      </c>
    </row>
    <row r="2232" spans="8:9" x14ac:dyDescent="0.25">
      <c r="H2232" t="s">
        <v>5897</v>
      </c>
      <c r="I2232" t="s">
        <v>464</v>
      </c>
    </row>
    <row r="2233" spans="8:9" x14ac:dyDescent="0.25">
      <c r="H2233" t="s">
        <v>6604</v>
      </c>
      <c r="I2233" t="s">
        <v>486</v>
      </c>
    </row>
    <row r="2234" spans="8:9" x14ac:dyDescent="0.25">
      <c r="H2234" t="s">
        <v>465</v>
      </c>
      <c r="I2234" t="s">
        <v>486</v>
      </c>
    </row>
    <row r="2235" spans="8:9" x14ac:dyDescent="0.25">
      <c r="H2235" t="s">
        <v>5722</v>
      </c>
      <c r="I2235" t="s">
        <v>486</v>
      </c>
    </row>
    <row r="2236" spans="8:9" x14ac:dyDescent="0.25">
      <c r="H2236" t="s">
        <v>465</v>
      </c>
      <c r="I2236" t="s">
        <v>486</v>
      </c>
    </row>
    <row r="2237" spans="8:9" x14ac:dyDescent="0.25">
      <c r="H2237" t="s">
        <v>6038</v>
      </c>
      <c r="I2237" t="s">
        <v>486</v>
      </c>
    </row>
    <row r="2238" spans="8:9" x14ac:dyDescent="0.25">
      <c r="H2238" t="s">
        <v>5722</v>
      </c>
      <c r="I2238" t="s">
        <v>486</v>
      </c>
    </row>
    <row r="2239" spans="8:9" x14ac:dyDescent="0.25">
      <c r="H2239" t="s">
        <v>5587</v>
      </c>
      <c r="I2239" t="s">
        <v>486</v>
      </c>
    </row>
    <row r="2240" spans="8:9" x14ac:dyDescent="0.25">
      <c r="H2240" t="s">
        <v>5534</v>
      </c>
      <c r="I2240" t="s">
        <v>486</v>
      </c>
    </row>
    <row r="2241" spans="8:9" x14ac:dyDescent="0.25">
      <c r="H2241" t="s">
        <v>548</v>
      </c>
      <c r="I2241" t="s">
        <v>549</v>
      </c>
    </row>
    <row r="2242" spans="8:9" x14ac:dyDescent="0.25">
      <c r="H2242" t="s">
        <v>548</v>
      </c>
      <c r="I2242" t="s">
        <v>549</v>
      </c>
    </row>
    <row r="2243" spans="8:9" x14ac:dyDescent="0.25">
      <c r="H2243" t="s">
        <v>548</v>
      </c>
      <c r="I2243" t="s">
        <v>549</v>
      </c>
    </row>
    <row r="2244" spans="8:9" x14ac:dyDescent="0.25">
      <c r="H2244" t="s">
        <v>548</v>
      </c>
      <c r="I2244" t="s">
        <v>549</v>
      </c>
    </row>
    <row r="2245" spans="8:9" x14ac:dyDescent="0.25">
      <c r="H2245" t="s">
        <v>548</v>
      </c>
      <c r="I2245" t="s">
        <v>549</v>
      </c>
    </row>
    <row r="2246" spans="8:9" x14ac:dyDescent="0.25">
      <c r="H2246" t="s">
        <v>548</v>
      </c>
      <c r="I2246" t="s">
        <v>549</v>
      </c>
    </row>
    <row r="2247" spans="8:9" x14ac:dyDescent="0.25">
      <c r="H2247" t="s">
        <v>548</v>
      </c>
      <c r="I2247" t="s">
        <v>549</v>
      </c>
    </row>
    <row r="2248" spans="8:9" x14ac:dyDescent="0.25">
      <c r="H2248" t="s">
        <v>548</v>
      </c>
      <c r="I2248" t="s">
        <v>549</v>
      </c>
    </row>
    <row r="2249" spans="8:9" x14ac:dyDescent="0.25">
      <c r="H2249" t="s">
        <v>548</v>
      </c>
      <c r="I2249" t="s">
        <v>549</v>
      </c>
    </row>
    <row r="2250" spans="8:9" x14ac:dyDescent="0.25">
      <c r="H2250" t="s">
        <v>548</v>
      </c>
      <c r="I2250" t="s">
        <v>549</v>
      </c>
    </row>
    <row r="2251" spans="8:9" x14ac:dyDescent="0.25">
      <c r="H2251" t="s">
        <v>548</v>
      </c>
      <c r="I2251" t="s">
        <v>549</v>
      </c>
    </row>
    <row r="2252" spans="8:9" x14ac:dyDescent="0.25">
      <c r="H2252" t="s">
        <v>548</v>
      </c>
      <c r="I2252" t="s">
        <v>549</v>
      </c>
    </row>
    <row r="2253" spans="8:9" x14ac:dyDescent="0.25">
      <c r="H2253" t="s">
        <v>548</v>
      </c>
      <c r="I2253" t="s">
        <v>549</v>
      </c>
    </row>
    <row r="2254" spans="8:9" x14ac:dyDescent="0.25">
      <c r="H2254" t="s">
        <v>548</v>
      </c>
      <c r="I2254" t="s">
        <v>549</v>
      </c>
    </row>
    <row r="2255" spans="8:9" x14ac:dyDescent="0.25">
      <c r="H2255" t="s">
        <v>548</v>
      </c>
      <c r="I2255" t="s">
        <v>549</v>
      </c>
    </row>
    <row r="2256" spans="8:9" x14ac:dyDescent="0.25">
      <c r="H2256" t="s">
        <v>548</v>
      </c>
      <c r="I2256" t="s">
        <v>549</v>
      </c>
    </row>
    <row r="2257" spans="8:9" x14ac:dyDescent="0.25">
      <c r="H2257" t="s">
        <v>548</v>
      </c>
      <c r="I2257" t="s">
        <v>549</v>
      </c>
    </row>
    <row r="2258" spans="8:9" x14ac:dyDescent="0.25">
      <c r="H2258" t="s">
        <v>548</v>
      </c>
      <c r="I2258" t="s">
        <v>549</v>
      </c>
    </row>
    <row r="2259" spans="8:9" x14ac:dyDescent="0.25">
      <c r="H2259" t="s">
        <v>548</v>
      </c>
      <c r="I2259" t="s">
        <v>549</v>
      </c>
    </row>
    <row r="2260" spans="8:9" x14ac:dyDescent="0.25">
      <c r="H2260" t="s">
        <v>548</v>
      </c>
      <c r="I2260" t="s">
        <v>549</v>
      </c>
    </row>
    <row r="2261" spans="8:9" x14ac:dyDescent="0.25">
      <c r="H2261" t="s">
        <v>548</v>
      </c>
      <c r="I2261" t="s">
        <v>549</v>
      </c>
    </row>
    <row r="2262" spans="8:9" x14ac:dyDescent="0.25">
      <c r="H2262" t="s">
        <v>548</v>
      </c>
      <c r="I2262" t="s">
        <v>549</v>
      </c>
    </row>
    <row r="2263" spans="8:9" x14ac:dyDescent="0.25">
      <c r="H2263" t="s">
        <v>548</v>
      </c>
      <c r="I2263" t="s">
        <v>549</v>
      </c>
    </row>
    <row r="2264" spans="8:9" x14ac:dyDescent="0.25">
      <c r="H2264" t="s">
        <v>548</v>
      </c>
      <c r="I2264" t="s">
        <v>549</v>
      </c>
    </row>
    <row r="2265" spans="8:9" x14ac:dyDescent="0.25">
      <c r="H2265" t="s">
        <v>548</v>
      </c>
      <c r="I2265" t="s">
        <v>549</v>
      </c>
    </row>
    <row r="2266" spans="8:9" x14ac:dyDescent="0.25">
      <c r="H2266" t="s">
        <v>548</v>
      </c>
      <c r="I2266" t="s">
        <v>549</v>
      </c>
    </row>
    <row r="2267" spans="8:9" x14ac:dyDescent="0.25">
      <c r="H2267" t="s">
        <v>548</v>
      </c>
      <c r="I2267" t="s">
        <v>549</v>
      </c>
    </row>
    <row r="2268" spans="8:9" x14ac:dyDescent="0.25">
      <c r="H2268" t="s">
        <v>548</v>
      </c>
      <c r="I2268" t="s">
        <v>549</v>
      </c>
    </row>
    <row r="2269" spans="8:9" x14ac:dyDescent="0.25">
      <c r="H2269" t="s">
        <v>5980</v>
      </c>
      <c r="I2269" t="s">
        <v>549</v>
      </c>
    </row>
    <row r="2270" spans="8:9" x14ac:dyDescent="0.25">
      <c r="H2270" t="s">
        <v>548</v>
      </c>
      <c r="I2270" t="s">
        <v>549</v>
      </c>
    </row>
    <row r="2271" spans="8:9" x14ac:dyDescent="0.25">
      <c r="H2271" t="s">
        <v>548</v>
      </c>
      <c r="I2271" t="s">
        <v>549</v>
      </c>
    </row>
    <row r="2272" spans="8:9" x14ac:dyDescent="0.25">
      <c r="H2272" t="s">
        <v>548</v>
      </c>
      <c r="I2272" t="s">
        <v>549</v>
      </c>
    </row>
    <row r="2273" spans="8:9" x14ac:dyDescent="0.25">
      <c r="H2273" t="s">
        <v>548</v>
      </c>
      <c r="I2273" t="s">
        <v>549</v>
      </c>
    </row>
    <row r="2274" spans="8:9" x14ac:dyDescent="0.25">
      <c r="H2274" t="s">
        <v>548</v>
      </c>
      <c r="I2274" t="s">
        <v>549</v>
      </c>
    </row>
    <row r="2275" spans="8:9" x14ac:dyDescent="0.25">
      <c r="H2275" t="s">
        <v>548</v>
      </c>
      <c r="I2275" t="s">
        <v>549</v>
      </c>
    </row>
    <row r="2276" spans="8:9" x14ac:dyDescent="0.25">
      <c r="H2276" t="s">
        <v>548</v>
      </c>
      <c r="I2276" t="s">
        <v>549</v>
      </c>
    </row>
    <row r="2277" spans="8:9" x14ac:dyDescent="0.25">
      <c r="H2277" t="s">
        <v>548</v>
      </c>
      <c r="I2277" t="s">
        <v>549</v>
      </c>
    </row>
    <row r="2278" spans="8:9" x14ac:dyDescent="0.25">
      <c r="H2278" t="s">
        <v>548</v>
      </c>
      <c r="I2278" t="s">
        <v>549</v>
      </c>
    </row>
    <row r="2279" spans="8:9" x14ac:dyDescent="0.25">
      <c r="H2279" t="s">
        <v>548</v>
      </c>
      <c r="I2279" t="s">
        <v>549</v>
      </c>
    </row>
    <row r="2280" spans="8:9" x14ac:dyDescent="0.25">
      <c r="H2280" t="s">
        <v>548</v>
      </c>
      <c r="I2280" t="s">
        <v>549</v>
      </c>
    </row>
    <row r="2281" spans="8:9" x14ac:dyDescent="0.25">
      <c r="H2281" t="s">
        <v>548</v>
      </c>
      <c r="I2281" t="s">
        <v>549</v>
      </c>
    </row>
    <row r="2282" spans="8:9" x14ac:dyDescent="0.25">
      <c r="H2282" t="s">
        <v>548</v>
      </c>
      <c r="I2282" t="s">
        <v>549</v>
      </c>
    </row>
    <row r="2283" spans="8:9" x14ac:dyDescent="0.25">
      <c r="H2283" t="s">
        <v>548</v>
      </c>
      <c r="I2283" t="s">
        <v>549</v>
      </c>
    </row>
    <row r="2284" spans="8:9" x14ac:dyDescent="0.25">
      <c r="H2284" t="s">
        <v>548</v>
      </c>
      <c r="I2284" t="s">
        <v>549</v>
      </c>
    </row>
    <row r="2285" spans="8:9" x14ac:dyDescent="0.25">
      <c r="H2285" t="s">
        <v>548</v>
      </c>
      <c r="I2285" t="s">
        <v>549</v>
      </c>
    </row>
    <row r="2286" spans="8:9" x14ac:dyDescent="0.25">
      <c r="H2286" t="s">
        <v>6863</v>
      </c>
      <c r="I2286" t="s">
        <v>522</v>
      </c>
    </row>
    <row r="2287" spans="8:9" x14ac:dyDescent="0.25">
      <c r="H2287" t="s">
        <v>6834</v>
      </c>
      <c r="I2287" t="s">
        <v>522</v>
      </c>
    </row>
    <row r="2288" spans="8:9" x14ac:dyDescent="0.25">
      <c r="H2288" t="s">
        <v>346</v>
      </c>
      <c r="I2288" t="s">
        <v>522</v>
      </c>
    </row>
    <row r="2289" spans="8:9" x14ac:dyDescent="0.25">
      <c r="H2289" t="s">
        <v>4670</v>
      </c>
      <c r="I2289" t="s">
        <v>522</v>
      </c>
    </row>
    <row r="2290" spans="8:9" x14ac:dyDescent="0.25">
      <c r="H2290" t="s">
        <v>4637</v>
      </c>
      <c r="I2290" t="s">
        <v>522</v>
      </c>
    </row>
    <row r="2291" spans="8:9" x14ac:dyDescent="0.25">
      <c r="H2291" t="s">
        <v>346</v>
      </c>
      <c r="I2291" t="s">
        <v>522</v>
      </c>
    </row>
    <row r="2292" spans="8:9" x14ac:dyDescent="0.25">
      <c r="H2292" t="s">
        <v>5947</v>
      </c>
      <c r="I2292" t="s">
        <v>522</v>
      </c>
    </row>
    <row r="2293" spans="8:9" x14ac:dyDescent="0.25">
      <c r="H2293" t="s">
        <v>346</v>
      </c>
      <c r="I2293" t="s">
        <v>522</v>
      </c>
    </row>
    <row r="2294" spans="8:9" x14ac:dyDescent="0.25">
      <c r="H2294" t="s">
        <v>6515</v>
      </c>
      <c r="I2294" t="s">
        <v>522</v>
      </c>
    </row>
    <row r="2295" spans="8:9" x14ac:dyDescent="0.25">
      <c r="H2295" t="s">
        <v>346</v>
      </c>
      <c r="I2295" t="s">
        <v>522</v>
      </c>
    </row>
    <row r="2296" spans="8:9" x14ac:dyDescent="0.25">
      <c r="H2296" t="s">
        <v>6228</v>
      </c>
      <c r="I2296" t="s">
        <v>522</v>
      </c>
    </row>
    <row r="2297" spans="8:9" x14ac:dyDescent="0.25">
      <c r="H2297" t="s">
        <v>346</v>
      </c>
      <c r="I2297" t="s">
        <v>522</v>
      </c>
    </row>
    <row r="2298" spans="8:9" x14ac:dyDescent="0.25">
      <c r="H2298" t="s">
        <v>6135</v>
      </c>
      <c r="I2298" t="s">
        <v>522</v>
      </c>
    </row>
    <row r="2299" spans="8:9" x14ac:dyDescent="0.25">
      <c r="H2299" t="s">
        <v>5961</v>
      </c>
      <c r="I2299" t="s">
        <v>522</v>
      </c>
    </row>
    <row r="2300" spans="8:9" x14ac:dyDescent="0.25">
      <c r="H2300" t="s">
        <v>5947</v>
      </c>
      <c r="I2300" t="s">
        <v>522</v>
      </c>
    </row>
    <row r="2301" spans="8:9" x14ac:dyDescent="0.25">
      <c r="H2301" t="s">
        <v>5893</v>
      </c>
      <c r="I2301" t="s">
        <v>522</v>
      </c>
    </row>
    <row r="2302" spans="8:9" x14ac:dyDescent="0.25">
      <c r="H2302" t="s">
        <v>346</v>
      </c>
      <c r="I2302" t="s">
        <v>522</v>
      </c>
    </row>
    <row r="2303" spans="8:9" x14ac:dyDescent="0.25">
      <c r="H2303" t="s">
        <v>5822</v>
      </c>
      <c r="I2303" t="s">
        <v>522</v>
      </c>
    </row>
    <row r="2304" spans="8:9" x14ac:dyDescent="0.25">
      <c r="H2304" t="s">
        <v>5739</v>
      </c>
      <c r="I2304" t="s">
        <v>522</v>
      </c>
    </row>
    <row r="2305" spans="8:11" x14ac:dyDescent="0.25">
      <c r="H2305" t="s">
        <v>346</v>
      </c>
      <c r="I2305" t="s">
        <v>522</v>
      </c>
    </row>
    <row r="2306" spans="8:11" x14ac:dyDescent="0.25">
      <c r="H2306" t="s">
        <v>6792</v>
      </c>
      <c r="I2306" t="s">
        <v>516</v>
      </c>
    </row>
    <row r="2307" spans="8:11" x14ac:dyDescent="0.25">
      <c r="H2307" t="s">
        <v>417</v>
      </c>
      <c r="I2307" t="s">
        <v>517</v>
      </c>
    </row>
    <row r="2308" spans="8:11" x14ac:dyDescent="0.25">
      <c r="H2308" t="s">
        <v>6666</v>
      </c>
      <c r="I2308" t="s">
        <v>517</v>
      </c>
    </row>
    <row r="2309" spans="8:11" x14ac:dyDescent="0.25">
      <c r="H2309" t="s">
        <v>417</v>
      </c>
      <c r="I2309" t="s">
        <v>517</v>
      </c>
    </row>
    <row r="2310" spans="8:11" x14ac:dyDescent="0.25">
      <c r="H2310" t="s">
        <v>6129</v>
      </c>
      <c r="I2310" t="s">
        <v>517</v>
      </c>
    </row>
    <row r="2311" spans="8:11" x14ac:dyDescent="0.25">
      <c r="H2311" t="s">
        <v>6007</v>
      </c>
      <c r="I2311" t="s">
        <v>517</v>
      </c>
    </row>
    <row r="2312" spans="8:11" x14ac:dyDescent="0.25">
      <c r="H2312" t="s">
        <v>394</v>
      </c>
      <c r="I2312" t="s">
        <v>348</v>
      </c>
      <c r="J2312" t="s">
        <v>350</v>
      </c>
      <c r="K2312" t="s">
        <v>352</v>
      </c>
    </row>
    <row r="2313" spans="8:11" x14ac:dyDescent="0.25">
      <c r="H2313" t="s">
        <v>394</v>
      </c>
      <c r="I2313" t="s">
        <v>348</v>
      </c>
      <c r="J2313" t="s">
        <v>350</v>
      </c>
      <c r="K2313" t="s">
        <v>352</v>
      </c>
    </row>
    <row r="2314" spans="8:11" x14ac:dyDescent="0.25">
      <c r="H2314" t="s">
        <v>394</v>
      </c>
      <c r="I2314" t="s">
        <v>348</v>
      </c>
      <c r="J2314" t="s">
        <v>350</v>
      </c>
      <c r="K2314" t="s">
        <v>352</v>
      </c>
    </row>
    <row r="2315" spans="8:11" x14ac:dyDescent="0.25">
      <c r="H2315" t="s">
        <v>394</v>
      </c>
      <c r="I2315" t="s">
        <v>348</v>
      </c>
      <c r="J2315" t="s">
        <v>350</v>
      </c>
      <c r="K2315" t="s">
        <v>352</v>
      </c>
    </row>
    <row r="2316" spans="8:11" x14ac:dyDescent="0.25">
      <c r="H2316" t="s">
        <v>394</v>
      </c>
      <c r="I2316" t="s">
        <v>348</v>
      </c>
      <c r="J2316" t="s">
        <v>350</v>
      </c>
      <c r="K2316" t="s">
        <v>352</v>
      </c>
    </row>
    <row r="2317" spans="8:11" x14ac:dyDescent="0.25">
      <c r="H2317" t="s">
        <v>394</v>
      </c>
      <c r="I2317" t="s">
        <v>348</v>
      </c>
      <c r="J2317" t="s">
        <v>350</v>
      </c>
      <c r="K2317" t="s">
        <v>352</v>
      </c>
    </row>
    <row r="2318" spans="8:11" x14ac:dyDescent="0.25">
      <c r="H2318" t="s">
        <v>394</v>
      </c>
      <c r="I2318" t="s">
        <v>348</v>
      </c>
      <c r="J2318" t="s">
        <v>350</v>
      </c>
      <c r="K2318" t="s">
        <v>352</v>
      </c>
    </row>
    <row r="2319" spans="8:11" x14ac:dyDescent="0.25">
      <c r="H2319" t="s">
        <v>6762</v>
      </c>
      <c r="I2319" t="s">
        <v>348</v>
      </c>
      <c r="J2319" t="s">
        <v>350</v>
      </c>
      <c r="K2319" t="s">
        <v>352</v>
      </c>
    </row>
    <row r="2320" spans="8:11" x14ac:dyDescent="0.25">
      <c r="H2320" t="s">
        <v>394</v>
      </c>
      <c r="I2320" t="s">
        <v>348</v>
      </c>
      <c r="J2320" t="s">
        <v>350</v>
      </c>
      <c r="K2320" t="s">
        <v>352</v>
      </c>
    </row>
    <row r="2321" spans="8:11" x14ac:dyDescent="0.25">
      <c r="H2321" t="s">
        <v>6707</v>
      </c>
      <c r="I2321" t="s">
        <v>348</v>
      </c>
      <c r="J2321" t="s">
        <v>350</v>
      </c>
      <c r="K2321" t="s">
        <v>352</v>
      </c>
    </row>
    <row r="2322" spans="8:11" x14ac:dyDescent="0.25">
      <c r="H2322" t="s">
        <v>394</v>
      </c>
      <c r="I2322" t="s">
        <v>348</v>
      </c>
      <c r="J2322" t="s">
        <v>350</v>
      </c>
      <c r="K2322" t="s">
        <v>352</v>
      </c>
    </row>
    <row r="2323" spans="8:11" x14ac:dyDescent="0.25">
      <c r="H2323" t="s">
        <v>394</v>
      </c>
      <c r="I2323" t="s">
        <v>348</v>
      </c>
      <c r="J2323" t="s">
        <v>350</v>
      </c>
      <c r="K2323" t="s">
        <v>352</v>
      </c>
    </row>
    <row r="2324" spans="8:11" x14ac:dyDescent="0.25">
      <c r="H2324" t="s">
        <v>347</v>
      </c>
      <c r="I2324" t="s">
        <v>348</v>
      </c>
    </row>
    <row r="2325" spans="8:11" x14ac:dyDescent="0.25">
      <c r="H2325" t="s">
        <v>394</v>
      </c>
      <c r="I2325" t="s">
        <v>348</v>
      </c>
      <c r="J2325" t="s">
        <v>350</v>
      </c>
      <c r="K2325" t="s">
        <v>352</v>
      </c>
    </row>
    <row r="2326" spans="8:11" x14ac:dyDescent="0.25">
      <c r="H2326" t="s">
        <v>394</v>
      </c>
      <c r="I2326" t="s">
        <v>348</v>
      </c>
      <c r="J2326" t="s">
        <v>350</v>
      </c>
      <c r="K2326" t="s">
        <v>352</v>
      </c>
    </row>
    <row r="2327" spans="8:11" x14ac:dyDescent="0.25">
      <c r="H2327" t="s">
        <v>394</v>
      </c>
      <c r="I2327" t="s">
        <v>348</v>
      </c>
      <c r="J2327" t="s">
        <v>350</v>
      </c>
      <c r="K2327" t="s">
        <v>352</v>
      </c>
    </row>
    <row r="2328" spans="8:11" x14ac:dyDescent="0.25">
      <c r="H2328" t="s">
        <v>394</v>
      </c>
      <c r="I2328" t="s">
        <v>348</v>
      </c>
      <c r="J2328" t="s">
        <v>350</v>
      </c>
      <c r="K2328" t="s">
        <v>352</v>
      </c>
    </row>
    <row r="2329" spans="8:11" x14ac:dyDescent="0.25">
      <c r="H2329" t="s">
        <v>394</v>
      </c>
      <c r="I2329" t="s">
        <v>348</v>
      </c>
      <c r="J2329" t="s">
        <v>350</v>
      </c>
      <c r="K2329" t="s">
        <v>352</v>
      </c>
    </row>
    <row r="2330" spans="8:11" x14ac:dyDescent="0.25">
      <c r="H2330" t="s">
        <v>6485</v>
      </c>
      <c r="I2330" t="s">
        <v>348</v>
      </c>
      <c r="J2330" t="s">
        <v>350</v>
      </c>
      <c r="K2330" t="s">
        <v>352</v>
      </c>
    </row>
    <row r="2331" spans="8:11" x14ac:dyDescent="0.25">
      <c r="H2331" t="s">
        <v>394</v>
      </c>
      <c r="I2331" t="s">
        <v>348</v>
      </c>
      <c r="J2331" t="s">
        <v>350</v>
      </c>
      <c r="K2331" t="s">
        <v>352</v>
      </c>
    </row>
    <row r="2332" spans="8:11" x14ac:dyDescent="0.25">
      <c r="H2332" t="s">
        <v>394</v>
      </c>
      <c r="I2332" t="s">
        <v>348</v>
      </c>
      <c r="J2332" t="s">
        <v>350</v>
      </c>
      <c r="K2332" t="s">
        <v>352</v>
      </c>
    </row>
    <row r="2333" spans="8:11" x14ac:dyDescent="0.25">
      <c r="H2333" t="s">
        <v>394</v>
      </c>
      <c r="I2333" t="s">
        <v>348</v>
      </c>
      <c r="J2333" t="s">
        <v>350</v>
      </c>
      <c r="K2333" t="s">
        <v>352</v>
      </c>
    </row>
    <row r="2334" spans="8:11" x14ac:dyDescent="0.25">
      <c r="H2334" t="s">
        <v>394</v>
      </c>
      <c r="I2334" t="s">
        <v>348</v>
      </c>
      <c r="J2334" t="s">
        <v>350</v>
      </c>
      <c r="K2334" t="s">
        <v>352</v>
      </c>
    </row>
    <row r="2335" spans="8:11" x14ac:dyDescent="0.25">
      <c r="H2335" t="s">
        <v>394</v>
      </c>
      <c r="I2335" t="s">
        <v>348</v>
      </c>
      <c r="J2335" t="s">
        <v>350</v>
      </c>
      <c r="K2335" t="s">
        <v>352</v>
      </c>
    </row>
    <row r="2336" spans="8:11" x14ac:dyDescent="0.25">
      <c r="H2336" t="s">
        <v>394</v>
      </c>
      <c r="I2336" t="s">
        <v>348</v>
      </c>
      <c r="J2336" t="s">
        <v>350</v>
      </c>
      <c r="K2336" t="s">
        <v>352</v>
      </c>
    </row>
    <row r="2337" spans="8:11" x14ac:dyDescent="0.25">
      <c r="H2337" t="s">
        <v>394</v>
      </c>
      <c r="I2337" t="s">
        <v>348</v>
      </c>
      <c r="J2337" t="s">
        <v>350</v>
      </c>
      <c r="K2337" t="s">
        <v>352</v>
      </c>
    </row>
    <row r="2338" spans="8:11" x14ac:dyDescent="0.25">
      <c r="H2338" t="s">
        <v>347</v>
      </c>
      <c r="I2338" t="s">
        <v>348</v>
      </c>
    </row>
    <row r="2339" spans="8:11" x14ac:dyDescent="0.25">
      <c r="H2339" t="s">
        <v>394</v>
      </c>
      <c r="I2339" t="s">
        <v>348</v>
      </c>
      <c r="J2339" t="s">
        <v>350</v>
      </c>
      <c r="K2339" t="s">
        <v>352</v>
      </c>
    </row>
    <row r="2340" spans="8:11" x14ac:dyDescent="0.25">
      <c r="H2340" t="s">
        <v>394</v>
      </c>
      <c r="I2340" t="s">
        <v>348</v>
      </c>
      <c r="J2340" t="s">
        <v>350</v>
      </c>
      <c r="K2340" t="s">
        <v>352</v>
      </c>
    </row>
    <row r="2341" spans="8:11" x14ac:dyDescent="0.25">
      <c r="H2341" t="s">
        <v>394</v>
      </c>
      <c r="I2341" t="s">
        <v>348</v>
      </c>
      <c r="J2341" t="s">
        <v>350</v>
      </c>
      <c r="K2341" t="s">
        <v>352</v>
      </c>
    </row>
    <row r="2342" spans="8:11" x14ac:dyDescent="0.25">
      <c r="H2342" t="s">
        <v>394</v>
      </c>
      <c r="I2342" t="s">
        <v>348</v>
      </c>
      <c r="J2342" t="s">
        <v>350</v>
      </c>
      <c r="K2342" t="s">
        <v>352</v>
      </c>
    </row>
    <row r="2343" spans="8:11" x14ac:dyDescent="0.25">
      <c r="H2343" t="s">
        <v>394</v>
      </c>
      <c r="I2343" t="s">
        <v>348</v>
      </c>
      <c r="J2343" t="s">
        <v>350</v>
      </c>
      <c r="K2343" t="s">
        <v>352</v>
      </c>
    </row>
    <row r="2344" spans="8:11" x14ac:dyDescent="0.25">
      <c r="H2344" t="s">
        <v>394</v>
      </c>
      <c r="I2344" t="s">
        <v>348</v>
      </c>
      <c r="J2344" t="s">
        <v>350</v>
      </c>
      <c r="K2344" t="s">
        <v>352</v>
      </c>
    </row>
    <row r="2345" spans="8:11" x14ac:dyDescent="0.25">
      <c r="H2345" t="s">
        <v>394</v>
      </c>
      <c r="I2345" t="s">
        <v>348</v>
      </c>
      <c r="J2345" t="s">
        <v>350</v>
      </c>
      <c r="K2345" t="s">
        <v>352</v>
      </c>
    </row>
    <row r="2346" spans="8:11" x14ac:dyDescent="0.25">
      <c r="H2346" t="s">
        <v>394</v>
      </c>
      <c r="I2346" t="s">
        <v>348</v>
      </c>
      <c r="J2346" t="s">
        <v>350</v>
      </c>
      <c r="K2346" t="s">
        <v>352</v>
      </c>
    </row>
    <row r="2347" spans="8:11" x14ac:dyDescent="0.25">
      <c r="H2347" t="s">
        <v>394</v>
      </c>
      <c r="I2347" t="s">
        <v>348</v>
      </c>
      <c r="J2347" t="s">
        <v>350</v>
      </c>
      <c r="K2347" t="s">
        <v>352</v>
      </c>
    </row>
    <row r="2348" spans="8:11" x14ac:dyDescent="0.25">
      <c r="H2348" t="s">
        <v>394</v>
      </c>
      <c r="I2348" t="s">
        <v>348</v>
      </c>
      <c r="J2348" t="s">
        <v>350</v>
      </c>
      <c r="K2348" t="s">
        <v>352</v>
      </c>
    </row>
    <row r="2349" spans="8:11" x14ac:dyDescent="0.25">
      <c r="H2349" t="s">
        <v>394</v>
      </c>
      <c r="I2349" t="s">
        <v>348</v>
      </c>
      <c r="J2349" t="s">
        <v>350</v>
      </c>
      <c r="K2349" t="s">
        <v>352</v>
      </c>
    </row>
    <row r="2350" spans="8:11" x14ac:dyDescent="0.25">
      <c r="H2350" t="s">
        <v>394</v>
      </c>
      <c r="I2350" t="s">
        <v>348</v>
      </c>
      <c r="J2350" t="s">
        <v>350</v>
      </c>
      <c r="K2350" t="s">
        <v>352</v>
      </c>
    </row>
    <row r="2351" spans="8:11" x14ac:dyDescent="0.25">
      <c r="H2351" t="s">
        <v>394</v>
      </c>
      <c r="I2351" t="s">
        <v>348</v>
      </c>
      <c r="J2351" t="s">
        <v>350</v>
      </c>
      <c r="K2351" t="s">
        <v>352</v>
      </c>
    </row>
    <row r="2352" spans="8:11" x14ac:dyDescent="0.25">
      <c r="H2352" t="s">
        <v>394</v>
      </c>
      <c r="I2352" t="s">
        <v>348</v>
      </c>
      <c r="J2352" t="s">
        <v>350</v>
      </c>
      <c r="K2352" t="s">
        <v>352</v>
      </c>
    </row>
    <row r="2353" spans="8:11" x14ac:dyDescent="0.25">
      <c r="H2353" t="s">
        <v>394</v>
      </c>
      <c r="I2353" t="s">
        <v>348</v>
      </c>
      <c r="J2353" t="s">
        <v>350</v>
      </c>
      <c r="K2353" t="s">
        <v>352</v>
      </c>
    </row>
    <row r="2354" spans="8:11" x14ac:dyDescent="0.25">
      <c r="H2354" t="s">
        <v>394</v>
      </c>
      <c r="I2354" t="s">
        <v>348</v>
      </c>
      <c r="J2354" t="s">
        <v>350</v>
      </c>
      <c r="K2354" t="s">
        <v>352</v>
      </c>
    </row>
    <row r="2355" spans="8:11" x14ac:dyDescent="0.25">
      <c r="H2355" t="s">
        <v>394</v>
      </c>
      <c r="I2355" t="s">
        <v>348</v>
      </c>
      <c r="J2355" t="s">
        <v>350</v>
      </c>
      <c r="K2355" t="s">
        <v>352</v>
      </c>
    </row>
    <row r="2356" spans="8:11" x14ac:dyDescent="0.25">
      <c r="H2356" t="s">
        <v>394</v>
      </c>
      <c r="I2356" t="s">
        <v>348</v>
      </c>
      <c r="J2356" t="s">
        <v>350</v>
      </c>
      <c r="K2356" t="s">
        <v>352</v>
      </c>
    </row>
    <row r="2357" spans="8:11" x14ac:dyDescent="0.25">
      <c r="H2357" t="s">
        <v>394</v>
      </c>
      <c r="I2357" t="s">
        <v>348</v>
      </c>
      <c r="J2357" t="s">
        <v>350</v>
      </c>
      <c r="K2357" t="s">
        <v>352</v>
      </c>
    </row>
    <row r="2358" spans="8:11" x14ac:dyDescent="0.25">
      <c r="H2358" t="s">
        <v>394</v>
      </c>
      <c r="I2358" t="s">
        <v>348</v>
      </c>
      <c r="J2358" t="s">
        <v>350</v>
      </c>
      <c r="K2358" t="s">
        <v>352</v>
      </c>
    </row>
    <row r="2359" spans="8:11" x14ac:dyDescent="0.25">
      <c r="H2359" t="s">
        <v>394</v>
      </c>
      <c r="I2359" t="s">
        <v>348</v>
      </c>
      <c r="J2359" t="s">
        <v>350</v>
      </c>
      <c r="K2359" t="s">
        <v>352</v>
      </c>
    </row>
    <row r="2360" spans="8:11" x14ac:dyDescent="0.25">
      <c r="H2360" t="s">
        <v>394</v>
      </c>
      <c r="I2360" t="s">
        <v>348</v>
      </c>
      <c r="J2360" t="s">
        <v>350</v>
      </c>
      <c r="K2360" t="s">
        <v>352</v>
      </c>
    </row>
    <row r="2361" spans="8:11" x14ac:dyDescent="0.25">
      <c r="H2361" t="s">
        <v>394</v>
      </c>
      <c r="I2361" t="s">
        <v>348</v>
      </c>
      <c r="J2361" t="s">
        <v>350</v>
      </c>
      <c r="K2361" t="s">
        <v>352</v>
      </c>
    </row>
    <row r="2362" spans="8:11" x14ac:dyDescent="0.25">
      <c r="H2362" t="s">
        <v>394</v>
      </c>
      <c r="I2362" t="s">
        <v>348</v>
      </c>
      <c r="J2362" t="s">
        <v>350</v>
      </c>
      <c r="K2362" t="s">
        <v>352</v>
      </c>
    </row>
    <row r="2363" spans="8:11" x14ac:dyDescent="0.25">
      <c r="H2363" t="s">
        <v>394</v>
      </c>
      <c r="I2363" t="s">
        <v>348</v>
      </c>
      <c r="J2363" t="s">
        <v>350</v>
      </c>
      <c r="K2363" t="s">
        <v>352</v>
      </c>
    </row>
    <row r="2364" spans="8:11" x14ac:dyDescent="0.25">
      <c r="H2364" t="s">
        <v>394</v>
      </c>
      <c r="I2364" t="s">
        <v>348</v>
      </c>
      <c r="J2364" t="s">
        <v>350</v>
      </c>
      <c r="K2364" t="s">
        <v>352</v>
      </c>
    </row>
    <row r="2365" spans="8:11" x14ac:dyDescent="0.25">
      <c r="H2365" t="s">
        <v>394</v>
      </c>
      <c r="I2365" t="s">
        <v>348</v>
      </c>
      <c r="J2365" t="s">
        <v>350</v>
      </c>
      <c r="K2365" t="s">
        <v>352</v>
      </c>
    </row>
    <row r="2366" spans="8:11" x14ac:dyDescent="0.25">
      <c r="H2366" t="s">
        <v>394</v>
      </c>
      <c r="I2366" t="s">
        <v>348</v>
      </c>
      <c r="J2366" t="s">
        <v>350</v>
      </c>
      <c r="K2366" t="s">
        <v>352</v>
      </c>
    </row>
    <row r="2367" spans="8:11" x14ac:dyDescent="0.25">
      <c r="H2367" t="s">
        <v>394</v>
      </c>
      <c r="I2367" t="s">
        <v>348</v>
      </c>
      <c r="J2367" t="s">
        <v>350</v>
      </c>
      <c r="K2367" t="s">
        <v>352</v>
      </c>
    </row>
    <row r="2368" spans="8:11" x14ac:dyDescent="0.25">
      <c r="H2368" t="s">
        <v>394</v>
      </c>
      <c r="I2368" t="s">
        <v>348</v>
      </c>
      <c r="J2368" t="s">
        <v>350</v>
      </c>
      <c r="K2368" t="s">
        <v>352</v>
      </c>
    </row>
    <row r="2369" spans="8:11" x14ac:dyDescent="0.25">
      <c r="H2369" t="s">
        <v>394</v>
      </c>
      <c r="I2369" t="s">
        <v>348</v>
      </c>
      <c r="J2369" t="s">
        <v>350</v>
      </c>
      <c r="K2369" t="s">
        <v>352</v>
      </c>
    </row>
    <row r="2370" spans="8:11" x14ac:dyDescent="0.25">
      <c r="H2370" t="s">
        <v>394</v>
      </c>
      <c r="I2370" t="s">
        <v>348</v>
      </c>
      <c r="J2370" t="s">
        <v>350</v>
      </c>
      <c r="K2370" t="s">
        <v>352</v>
      </c>
    </row>
    <row r="2371" spans="8:11" x14ac:dyDescent="0.25">
      <c r="H2371" t="s">
        <v>394</v>
      </c>
      <c r="I2371" t="s">
        <v>348</v>
      </c>
      <c r="J2371" t="s">
        <v>350</v>
      </c>
      <c r="K2371" t="s">
        <v>352</v>
      </c>
    </row>
    <row r="2372" spans="8:11" x14ac:dyDescent="0.25">
      <c r="H2372" t="s">
        <v>394</v>
      </c>
      <c r="I2372" t="s">
        <v>348</v>
      </c>
      <c r="J2372" t="s">
        <v>350</v>
      </c>
      <c r="K2372" t="s">
        <v>352</v>
      </c>
    </row>
    <row r="2373" spans="8:11" x14ac:dyDescent="0.25">
      <c r="H2373" t="s">
        <v>394</v>
      </c>
      <c r="I2373" t="s">
        <v>348</v>
      </c>
      <c r="J2373" t="s">
        <v>350</v>
      </c>
      <c r="K2373" t="s">
        <v>352</v>
      </c>
    </row>
    <row r="2374" spans="8:11" x14ac:dyDescent="0.25">
      <c r="H2374" t="s">
        <v>394</v>
      </c>
      <c r="I2374" t="s">
        <v>348</v>
      </c>
      <c r="J2374" t="s">
        <v>350</v>
      </c>
      <c r="K2374" t="s">
        <v>352</v>
      </c>
    </row>
    <row r="2375" spans="8:11" x14ac:dyDescent="0.25">
      <c r="H2375" t="s">
        <v>394</v>
      </c>
      <c r="I2375" t="s">
        <v>348</v>
      </c>
      <c r="J2375" t="s">
        <v>350</v>
      </c>
      <c r="K2375" t="s">
        <v>352</v>
      </c>
    </row>
    <row r="2376" spans="8:11" x14ac:dyDescent="0.25">
      <c r="H2376" t="s">
        <v>394</v>
      </c>
      <c r="I2376" t="s">
        <v>348</v>
      </c>
      <c r="J2376" t="s">
        <v>350</v>
      </c>
      <c r="K2376" t="s">
        <v>352</v>
      </c>
    </row>
    <row r="2377" spans="8:11" x14ac:dyDescent="0.25">
      <c r="H2377" t="s">
        <v>394</v>
      </c>
      <c r="I2377" t="s">
        <v>348</v>
      </c>
      <c r="J2377" t="s">
        <v>350</v>
      </c>
      <c r="K2377" t="s">
        <v>352</v>
      </c>
    </row>
    <row r="2378" spans="8:11" x14ac:dyDescent="0.25">
      <c r="H2378" t="s">
        <v>394</v>
      </c>
      <c r="I2378" t="s">
        <v>348</v>
      </c>
      <c r="J2378" t="s">
        <v>350</v>
      </c>
      <c r="K2378" t="s">
        <v>352</v>
      </c>
    </row>
    <row r="2379" spans="8:11" x14ac:dyDescent="0.25">
      <c r="H2379" t="s">
        <v>394</v>
      </c>
      <c r="I2379" t="s">
        <v>348</v>
      </c>
      <c r="J2379" t="s">
        <v>350</v>
      </c>
      <c r="K2379" t="s">
        <v>352</v>
      </c>
    </row>
    <row r="2380" spans="8:11" x14ac:dyDescent="0.25">
      <c r="H2380" t="s">
        <v>394</v>
      </c>
      <c r="I2380" t="s">
        <v>348</v>
      </c>
      <c r="J2380" t="s">
        <v>350</v>
      </c>
      <c r="K2380" t="s">
        <v>352</v>
      </c>
    </row>
    <row r="2381" spans="8:11" x14ac:dyDescent="0.25">
      <c r="H2381" t="s">
        <v>347</v>
      </c>
      <c r="I2381" t="s">
        <v>348</v>
      </c>
    </row>
    <row r="2382" spans="8:11" x14ac:dyDescent="0.25">
      <c r="H2382" t="s">
        <v>394</v>
      </c>
      <c r="I2382" t="s">
        <v>348</v>
      </c>
      <c r="J2382" t="s">
        <v>350</v>
      </c>
      <c r="K2382" t="s">
        <v>352</v>
      </c>
    </row>
    <row r="2383" spans="8:11" x14ac:dyDescent="0.25">
      <c r="H2383" t="s">
        <v>394</v>
      </c>
      <c r="I2383" t="s">
        <v>348</v>
      </c>
      <c r="J2383" t="s">
        <v>350</v>
      </c>
      <c r="K2383" t="s">
        <v>352</v>
      </c>
    </row>
    <row r="2384" spans="8:11" x14ac:dyDescent="0.25">
      <c r="H2384" t="s">
        <v>394</v>
      </c>
      <c r="I2384" t="s">
        <v>348</v>
      </c>
      <c r="J2384" t="s">
        <v>350</v>
      </c>
      <c r="K2384" t="s">
        <v>352</v>
      </c>
    </row>
    <row r="2385" spans="8:11" x14ac:dyDescent="0.25">
      <c r="H2385" t="s">
        <v>394</v>
      </c>
      <c r="I2385" t="s">
        <v>348</v>
      </c>
      <c r="J2385" t="s">
        <v>350</v>
      </c>
      <c r="K2385" t="s">
        <v>352</v>
      </c>
    </row>
    <row r="2386" spans="8:11" x14ac:dyDescent="0.25">
      <c r="H2386" t="s">
        <v>394</v>
      </c>
      <c r="I2386" t="s">
        <v>348</v>
      </c>
      <c r="J2386" t="s">
        <v>350</v>
      </c>
      <c r="K2386" t="s">
        <v>352</v>
      </c>
    </row>
    <row r="2387" spans="8:11" x14ac:dyDescent="0.25">
      <c r="H2387" t="s">
        <v>394</v>
      </c>
      <c r="I2387" t="s">
        <v>348</v>
      </c>
      <c r="J2387" t="s">
        <v>350</v>
      </c>
      <c r="K2387" t="s">
        <v>352</v>
      </c>
    </row>
    <row r="2388" spans="8:11" x14ac:dyDescent="0.25">
      <c r="H2388" t="s">
        <v>394</v>
      </c>
      <c r="I2388" t="s">
        <v>348</v>
      </c>
      <c r="J2388" t="s">
        <v>350</v>
      </c>
      <c r="K2388" t="s">
        <v>352</v>
      </c>
    </row>
    <row r="2389" spans="8:11" x14ac:dyDescent="0.25">
      <c r="H2389" t="s">
        <v>5364</v>
      </c>
      <c r="I2389" t="s">
        <v>348</v>
      </c>
    </row>
    <row r="2390" spans="8:11" x14ac:dyDescent="0.25">
      <c r="H2390" t="s">
        <v>394</v>
      </c>
      <c r="I2390" t="s">
        <v>348</v>
      </c>
      <c r="J2390" t="s">
        <v>350</v>
      </c>
      <c r="K2390" t="s">
        <v>352</v>
      </c>
    </row>
    <row r="2391" spans="8:11" x14ac:dyDescent="0.25">
      <c r="H2391" t="s">
        <v>394</v>
      </c>
      <c r="I2391" t="s">
        <v>348</v>
      </c>
      <c r="J2391" t="s">
        <v>350</v>
      </c>
      <c r="K2391" t="s">
        <v>352</v>
      </c>
    </row>
    <row r="2392" spans="8:11" x14ac:dyDescent="0.25">
      <c r="H2392" t="s">
        <v>394</v>
      </c>
      <c r="I2392" t="s">
        <v>348</v>
      </c>
      <c r="J2392" t="s">
        <v>350</v>
      </c>
      <c r="K2392" t="s">
        <v>352</v>
      </c>
    </row>
    <row r="2393" spans="8:11" x14ac:dyDescent="0.25">
      <c r="H2393" t="s">
        <v>394</v>
      </c>
      <c r="I2393" t="s">
        <v>348</v>
      </c>
      <c r="J2393" t="s">
        <v>350</v>
      </c>
      <c r="K2393" t="s">
        <v>352</v>
      </c>
    </row>
    <row r="2394" spans="8:11" x14ac:dyDescent="0.25">
      <c r="H2394" t="s">
        <v>394</v>
      </c>
      <c r="I2394" t="s">
        <v>348</v>
      </c>
      <c r="J2394" t="s">
        <v>350</v>
      </c>
      <c r="K2394" t="s">
        <v>352</v>
      </c>
    </row>
    <row r="2395" spans="8:11" x14ac:dyDescent="0.25">
      <c r="H2395" t="s">
        <v>351</v>
      </c>
      <c r="I2395" t="s">
        <v>352</v>
      </c>
    </row>
    <row r="2396" spans="8:11" x14ac:dyDescent="0.25">
      <c r="H2396" t="s">
        <v>553</v>
      </c>
      <c r="I2396" t="s">
        <v>3863</v>
      </c>
    </row>
    <row r="2397" spans="8:11" x14ac:dyDescent="0.25">
      <c r="H2397" t="s">
        <v>5726</v>
      </c>
      <c r="I2397" t="s">
        <v>3863</v>
      </c>
    </row>
    <row r="2398" spans="8:11" x14ac:dyDescent="0.25">
      <c r="H2398" t="s">
        <v>553</v>
      </c>
      <c r="I2398" t="s">
        <v>3863</v>
      </c>
    </row>
    <row r="2399" spans="8:11" x14ac:dyDescent="0.25">
      <c r="H2399" t="s">
        <v>5979</v>
      </c>
      <c r="I2399" t="s">
        <v>488</v>
      </c>
    </row>
    <row r="2400" spans="8:11" x14ac:dyDescent="0.25">
      <c r="H2400" t="s">
        <v>2773</v>
      </c>
      <c r="I2400" t="s">
        <v>3824</v>
      </c>
    </row>
    <row r="2401" spans="8:9" x14ac:dyDescent="0.25">
      <c r="H2401" t="s">
        <v>2773</v>
      </c>
      <c r="I2401" t="s">
        <v>3824</v>
      </c>
    </row>
    <row r="2402" spans="8:9" x14ac:dyDescent="0.25">
      <c r="H2402" t="s">
        <v>2773</v>
      </c>
      <c r="I2402" t="s">
        <v>3824</v>
      </c>
    </row>
    <row r="2403" spans="8:9" x14ac:dyDescent="0.25">
      <c r="H2403" t="s">
        <v>2773</v>
      </c>
      <c r="I2403" t="s">
        <v>3824</v>
      </c>
    </row>
    <row r="2404" spans="8:9" x14ac:dyDescent="0.25">
      <c r="H2404" t="s">
        <v>2773</v>
      </c>
      <c r="I2404" t="s">
        <v>3824</v>
      </c>
    </row>
    <row r="2405" spans="8:9" x14ac:dyDescent="0.25">
      <c r="H2405" t="s">
        <v>2773</v>
      </c>
      <c r="I2405" t="s">
        <v>3824</v>
      </c>
    </row>
    <row r="2406" spans="8:9" x14ac:dyDescent="0.25">
      <c r="H2406" t="s">
        <v>2773</v>
      </c>
      <c r="I2406" t="s">
        <v>3824</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204</v>
      </c>
      <c r="R3" t="s">
        <v>196</v>
      </c>
      <c r="S3" t="s">
        <v>197</v>
      </c>
    </row>
    <row r="4" spans="3:20" x14ac:dyDescent="0.25">
      <c r="M4" s="65" t="s">
        <v>183</v>
      </c>
      <c r="N4" s="66" t="s">
        <v>181</v>
      </c>
      <c r="O4" s="66" t="s">
        <v>182</v>
      </c>
      <c r="P4" s="67" t="s">
        <v>185</v>
      </c>
      <c r="R4" s="34" t="s">
        <v>191</v>
      </c>
      <c r="S4" s="17" t="s">
        <v>194</v>
      </c>
      <c r="T4" s="17" t="s">
        <v>193</v>
      </c>
    </row>
    <row r="5" spans="3:20" x14ac:dyDescent="0.25">
      <c r="C5" s="41" t="s">
        <v>203</v>
      </c>
      <c r="D5" s="69">
        <v>20</v>
      </c>
      <c r="M5" s="45" t="s">
        <v>186</v>
      </c>
      <c r="N5" s="46">
        <f>MIN(I13:I17)</f>
        <v>35</v>
      </c>
      <c r="O5" s="46">
        <f>D5</f>
        <v>20</v>
      </c>
      <c r="P5" s="47">
        <f>ROUND(O5/N5,2)</f>
        <v>0.56999999999999995</v>
      </c>
      <c r="R5" s="60">
        <v>10</v>
      </c>
      <c r="S5">
        <v>10</v>
      </c>
      <c r="T5">
        <f>(R5+S5)*K13</f>
        <v>51.428571428571431</v>
      </c>
    </row>
    <row r="6" spans="3:20" x14ac:dyDescent="0.25">
      <c r="M6" s="48" t="s">
        <v>187</v>
      </c>
      <c r="N6" s="49">
        <f>MIN(I18:I23)</f>
        <v>50</v>
      </c>
      <c r="O6" s="49">
        <f>D5</f>
        <v>20</v>
      </c>
      <c r="P6" s="50">
        <f>ROUND(O6/N6,2)</f>
        <v>0.4</v>
      </c>
      <c r="R6" s="60">
        <v>0</v>
      </c>
      <c r="S6">
        <v>0</v>
      </c>
      <c r="T6">
        <f>(R6+S6)*K18</f>
        <v>0</v>
      </c>
    </row>
    <row r="7" spans="3:20" x14ac:dyDescent="0.25">
      <c r="M7" s="51" t="s">
        <v>188</v>
      </c>
      <c r="N7" s="52">
        <f>MIN(I24:I31)</f>
        <v>60</v>
      </c>
      <c r="O7" s="52">
        <f>D5</f>
        <v>20</v>
      </c>
      <c r="P7" s="53">
        <f>ROUND(O7/N7,2)</f>
        <v>0.33</v>
      </c>
      <c r="R7" s="60">
        <v>10</v>
      </c>
      <c r="S7">
        <v>0</v>
      </c>
      <c r="T7">
        <f>(R7+S7)*K24</f>
        <v>15</v>
      </c>
    </row>
    <row r="8" spans="3:20" x14ac:dyDescent="0.25">
      <c r="M8" s="54" t="s">
        <v>189</v>
      </c>
      <c r="N8" s="55">
        <f>MIN(I32:I40)</f>
        <v>70</v>
      </c>
      <c r="O8" s="55">
        <f>D5</f>
        <v>20</v>
      </c>
      <c r="P8" s="56">
        <f>ROUND(O8/N8,2)</f>
        <v>0.28999999999999998</v>
      </c>
      <c r="R8" s="60">
        <v>5</v>
      </c>
      <c r="S8">
        <v>0</v>
      </c>
      <c r="T8">
        <f>(R8+S8)*K32</f>
        <v>6.4285714285714288</v>
      </c>
    </row>
    <row r="9" spans="3:20" x14ac:dyDescent="0.25">
      <c r="M9" s="57" t="s">
        <v>190</v>
      </c>
      <c r="N9" s="58">
        <f>MIN(I41:I51)</f>
        <v>90</v>
      </c>
      <c r="O9" s="58">
        <f>D5</f>
        <v>20</v>
      </c>
      <c r="P9" s="59">
        <f>ROUND(O9/N9,2)</f>
        <v>0.22</v>
      </c>
      <c r="R9" s="61">
        <v>15</v>
      </c>
      <c r="S9">
        <v>0</v>
      </c>
      <c r="T9">
        <f>(R9+S9)*K41</f>
        <v>15</v>
      </c>
    </row>
    <row r="10" spans="3:20" x14ac:dyDescent="0.25">
      <c r="T10">
        <f>SUM(T5:T9)</f>
        <v>87.857142857142861</v>
      </c>
    </row>
    <row r="12" spans="3:20" ht="21" x14ac:dyDescent="0.35">
      <c r="H12" s="65" t="s">
        <v>192</v>
      </c>
      <c r="I12" s="66" t="s">
        <v>181</v>
      </c>
      <c r="J12" s="67" t="s">
        <v>182</v>
      </c>
      <c r="K12" s="67" t="s">
        <v>195</v>
      </c>
      <c r="Q12" s="41" t="s">
        <v>198</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199</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117</v>
      </c>
      <c r="I17" s="46">
        <v>40</v>
      </c>
      <c r="J17" s="47">
        <f t="shared" si="0"/>
        <v>20</v>
      </c>
      <c r="K17" s="47">
        <f>$I$41/$I$13</f>
        <v>2.5714285714285716</v>
      </c>
    </row>
    <row r="18" spans="8:12" x14ac:dyDescent="0.25">
      <c r="H18" s="48" t="s">
        <v>72</v>
      </c>
      <c r="I18" s="49">
        <v>50</v>
      </c>
      <c r="J18" s="50">
        <f t="shared" si="0"/>
        <v>20</v>
      </c>
      <c r="K18" s="50">
        <f t="shared" ref="K18:K23" si="1">$I$41/$I$18</f>
        <v>1.8</v>
      </c>
      <c r="L18" t="s">
        <v>200</v>
      </c>
    </row>
    <row r="19" spans="8:12" x14ac:dyDescent="0.25">
      <c r="H19" s="48" t="s">
        <v>72</v>
      </c>
      <c r="I19" s="49">
        <v>50</v>
      </c>
      <c r="J19" s="50">
        <f t="shared" si="0"/>
        <v>20</v>
      </c>
      <c r="K19" s="50">
        <f t="shared" si="1"/>
        <v>1.8</v>
      </c>
    </row>
    <row r="20" spans="8:12" x14ac:dyDescent="0.25">
      <c r="H20" s="48" t="s">
        <v>77</v>
      </c>
      <c r="I20" s="49">
        <v>50</v>
      </c>
      <c r="J20" s="50">
        <f t="shared" si="0"/>
        <v>20</v>
      </c>
      <c r="K20" s="50">
        <f t="shared" si="1"/>
        <v>1.8</v>
      </c>
    </row>
    <row r="21" spans="8:12" x14ac:dyDescent="0.25">
      <c r="H21" s="48" t="s">
        <v>77</v>
      </c>
      <c r="I21" s="49">
        <v>50</v>
      </c>
      <c r="J21" s="50">
        <f t="shared" si="0"/>
        <v>20</v>
      </c>
      <c r="K21" s="50">
        <f t="shared" si="1"/>
        <v>1.8</v>
      </c>
    </row>
    <row r="22" spans="8:12" x14ac:dyDescent="0.25">
      <c r="H22" s="48" t="s">
        <v>78</v>
      </c>
      <c r="I22" s="49">
        <v>50</v>
      </c>
      <c r="J22" s="50">
        <f t="shared" si="0"/>
        <v>20</v>
      </c>
      <c r="K22" s="50">
        <f t="shared" si="1"/>
        <v>1.8</v>
      </c>
    </row>
    <row r="23" spans="8:12" x14ac:dyDescent="0.25">
      <c r="H23" s="48" t="s">
        <v>78</v>
      </c>
      <c r="I23" s="49">
        <v>50</v>
      </c>
      <c r="J23" s="50">
        <f t="shared" si="0"/>
        <v>20</v>
      </c>
      <c r="K23" s="50">
        <f t="shared" si="1"/>
        <v>1.8</v>
      </c>
    </row>
    <row r="24" spans="8:12" x14ac:dyDescent="0.25">
      <c r="H24" s="51" t="s">
        <v>71</v>
      </c>
      <c r="I24" s="52">
        <v>60</v>
      </c>
      <c r="J24" s="53">
        <f t="shared" si="0"/>
        <v>20</v>
      </c>
      <c r="K24" s="53">
        <f>$I$41/$I$24</f>
        <v>1.5</v>
      </c>
      <c r="L24" t="s">
        <v>201</v>
      </c>
    </row>
    <row r="25" spans="8:12" x14ac:dyDescent="0.25">
      <c r="H25" s="51" t="s">
        <v>82</v>
      </c>
      <c r="I25" s="52">
        <v>60</v>
      </c>
      <c r="J25" s="53">
        <f t="shared" ref="J25:J31" si="2">$D$5</f>
        <v>20</v>
      </c>
      <c r="K25" s="53">
        <f t="shared" ref="K25:K31" si="3">$I$41/$I$24</f>
        <v>1.5</v>
      </c>
    </row>
    <row r="26" spans="8:12" x14ac:dyDescent="0.25">
      <c r="H26" s="51" t="s">
        <v>83</v>
      </c>
      <c r="I26" s="52">
        <v>60</v>
      </c>
      <c r="J26" s="53">
        <f t="shared" si="2"/>
        <v>20</v>
      </c>
      <c r="K26" s="53">
        <f t="shared" si="3"/>
        <v>1.5</v>
      </c>
    </row>
    <row r="27" spans="8:12" x14ac:dyDescent="0.25">
      <c r="H27" s="51" t="s">
        <v>83</v>
      </c>
      <c r="I27" s="52">
        <v>60</v>
      </c>
      <c r="J27" s="53">
        <f t="shared" si="2"/>
        <v>20</v>
      </c>
      <c r="K27" s="53">
        <f t="shared" si="3"/>
        <v>1.5</v>
      </c>
    </row>
    <row r="28" spans="8:12" x14ac:dyDescent="0.25">
      <c r="H28" s="51" t="s">
        <v>83</v>
      </c>
      <c r="I28" s="52">
        <v>60</v>
      </c>
      <c r="J28" s="53">
        <f t="shared" si="2"/>
        <v>20</v>
      </c>
      <c r="K28" s="53">
        <f t="shared" si="3"/>
        <v>1.5</v>
      </c>
    </row>
    <row r="29" spans="8:12" x14ac:dyDescent="0.25">
      <c r="H29" s="51" t="s">
        <v>74</v>
      </c>
      <c r="I29" s="52">
        <v>60</v>
      </c>
      <c r="J29" s="53">
        <f t="shared" si="2"/>
        <v>20</v>
      </c>
      <c r="K29" s="53">
        <f t="shared" si="3"/>
        <v>1.5</v>
      </c>
    </row>
    <row r="30" spans="8:12" x14ac:dyDescent="0.25">
      <c r="H30" s="51" t="s">
        <v>74</v>
      </c>
      <c r="I30" s="52">
        <v>60</v>
      </c>
      <c r="J30" s="53">
        <f t="shared" si="2"/>
        <v>20</v>
      </c>
      <c r="K30" s="53">
        <f t="shared" si="3"/>
        <v>1.5</v>
      </c>
    </row>
    <row r="31" spans="8:12" x14ac:dyDescent="0.25">
      <c r="H31" s="51" t="s">
        <v>74</v>
      </c>
      <c r="I31" s="52">
        <v>60</v>
      </c>
      <c r="J31" s="53">
        <f t="shared" si="2"/>
        <v>20</v>
      </c>
      <c r="K31" s="53">
        <f t="shared" si="3"/>
        <v>1.5</v>
      </c>
    </row>
    <row r="32" spans="8:12" x14ac:dyDescent="0.25">
      <c r="H32" s="54" t="s">
        <v>75</v>
      </c>
      <c r="I32" s="55">
        <v>70</v>
      </c>
      <c r="J32" s="56">
        <f>$D$5</f>
        <v>20</v>
      </c>
      <c r="K32" s="56">
        <f>$I$41/$I$32</f>
        <v>1.2857142857142858</v>
      </c>
      <c r="L32" t="s">
        <v>202</v>
      </c>
    </row>
    <row r="33" spans="8:11" x14ac:dyDescent="0.25">
      <c r="H33" s="54" t="s">
        <v>110</v>
      </c>
      <c r="I33" s="55">
        <v>70</v>
      </c>
      <c r="J33" s="56">
        <f t="shared" ref="J33:J40" si="4">$D$5</f>
        <v>20</v>
      </c>
      <c r="K33" s="56">
        <f t="shared" ref="K33:K40" si="5">$I$41/$I$32</f>
        <v>1.2857142857142858</v>
      </c>
    </row>
    <row r="34" spans="8:11" x14ac:dyDescent="0.25">
      <c r="H34" s="54" t="s">
        <v>109</v>
      </c>
      <c r="I34" s="55">
        <v>75</v>
      </c>
      <c r="J34" s="56">
        <f t="shared" si="4"/>
        <v>20</v>
      </c>
      <c r="K34" s="56">
        <f t="shared" si="5"/>
        <v>1.2857142857142858</v>
      </c>
    </row>
    <row r="35" spans="8:11" x14ac:dyDescent="0.25">
      <c r="H35" s="54" t="s">
        <v>108</v>
      </c>
      <c r="I35" s="55">
        <v>75</v>
      </c>
      <c r="J35" s="56">
        <f t="shared" si="4"/>
        <v>20</v>
      </c>
      <c r="K35" s="56">
        <f t="shared" si="5"/>
        <v>1.2857142857142858</v>
      </c>
    </row>
    <row r="36" spans="8:11" x14ac:dyDescent="0.25">
      <c r="H36" s="54" t="s">
        <v>107</v>
      </c>
      <c r="I36" s="55">
        <v>75</v>
      </c>
      <c r="J36" s="56">
        <f t="shared" si="4"/>
        <v>20</v>
      </c>
      <c r="K36" s="56">
        <f t="shared" si="5"/>
        <v>1.2857142857142858</v>
      </c>
    </row>
    <row r="37" spans="8:11" x14ac:dyDescent="0.25">
      <c r="H37" s="54" t="s">
        <v>106</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84</v>
      </c>
      <c r="I39" s="55">
        <v>80</v>
      </c>
      <c r="J39" s="56">
        <f t="shared" si="4"/>
        <v>20</v>
      </c>
      <c r="K39" s="56">
        <f t="shared" si="5"/>
        <v>1.2857142857142858</v>
      </c>
    </row>
    <row r="40" spans="8:11" x14ac:dyDescent="0.25">
      <c r="H40" s="54" t="s">
        <v>73</v>
      </c>
      <c r="I40" s="55">
        <v>85</v>
      </c>
      <c r="J40" s="56">
        <f t="shared" si="4"/>
        <v>20</v>
      </c>
      <c r="K40" s="56">
        <f t="shared" si="5"/>
        <v>1.2857142857142858</v>
      </c>
    </row>
    <row r="41" spans="8:11" x14ac:dyDescent="0.25">
      <c r="H41" s="62" t="s">
        <v>100</v>
      </c>
      <c r="I41" s="63">
        <v>90</v>
      </c>
      <c r="J41" s="64">
        <f>$D$5</f>
        <v>20</v>
      </c>
      <c r="K41" s="64">
        <v>1</v>
      </c>
    </row>
    <row r="42" spans="8:11" x14ac:dyDescent="0.25">
      <c r="H42" s="62" t="s">
        <v>116</v>
      </c>
      <c r="I42" s="63">
        <v>90</v>
      </c>
      <c r="J42" s="64">
        <f t="shared" ref="J42:J51" si="6">$D$5</f>
        <v>20</v>
      </c>
      <c r="K42" s="64">
        <v>1</v>
      </c>
    </row>
    <row r="43" spans="8:11" x14ac:dyDescent="0.25">
      <c r="H43" s="62" t="s">
        <v>184</v>
      </c>
      <c r="I43" s="63">
        <v>90</v>
      </c>
      <c r="J43" s="64">
        <f t="shared" si="6"/>
        <v>20</v>
      </c>
      <c r="K43" s="64">
        <v>1</v>
      </c>
    </row>
    <row r="44" spans="8:11" x14ac:dyDescent="0.25">
      <c r="H44" s="62" t="s">
        <v>85</v>
      </c>
      <c r="I44" s="63">
        <v>90</v>
      </c>
      <c r="J44" s="64">
        <f t="shared" si="6"/>
        <v>20</v>
      </c>
      <c r="K44" s="64">
        <v>1</v>
      </c>
    </row>
    <row r="45" spans="8:11" x14ac:dyDescent="0.25">
      <c r="H45" s="62" t="s">
        <v>96</v>
      </c>
      <c r="I45" s="63">
        <v>90</v>
      </c>
      <c r="J45" s="64">
        <f t="shared" si="6"/>
        <v>20</v>
      </c>
      <c r="K45" s="64">
        <v>1</v>
      </c>
    </row>
    <row r="46" spans="8:11" x14ac:dyDescent="0.25">
      <c r="H46" s="62" t="s">
        <v>97</v>
      </c>
      <c r="I46" s="63">
        <v>90</v>
      </c>
      <c r="J46" s="64">
        <f t="shared" si="6"/>
        <v>20</v>
      </c>
      <c r="K46" s="64">
        <v>1</v>
      </c>
    </row>
    <row r="47" spans="8:11" x14ac:dyDescent="0.25">
      <c r="H47" s="62" t="s">
        <v>98</v>
      </c>
      <c r="I47" s="63">
        <v>90</v>
      </c>
      <c r="J47" s="64">
        <f t="shared" si="6"/>
        <v>20</v>
      </c>
      <c r="K47" s="64">
        <v>1</v>
      </c>
    </row>
    <row r="48" spans="8:11" x14ac:dyDescent="0.25">
      <c r="H48" s="62" t="s">
        <v>99</v>
      </c>
      <c r="I48" s="63">
        <v>90</v>
      </c>
      <c r="J48" s="64">
        <f t="shared" si="6"/>
        <v>20</v>
      </c>
      <c r="K48" s="64">
        <v>1</v>
      </c>
    </row>
    <row r="49" spans="8:11" x14ac:dyDescent="0.25">
      <c r="H49" s="62" t="s">
        <v>76</v>
      </c>
      <c r="I49" s="63">
        <v>90</v>
      </c>
      <c r="J49" s="64">
        <f t="shared" si="6"/>
        <v>20</v>
      </c>
      <c r="K49" s="64">
        <v>1</v>
      </c>
    </row>
    <row r="50" spans="8:11" x14ac:dyDescent="0.25">
      <c r="H50" s="62" t="s">
        <v>115</v>
      </c>
      <c r="I50" s="63">
        <v>100</v>
      </c>
      <c r="J50" s="64">
        <f t="shared" si="6"/>
        <v>20</v>
      </c>
      <c r="K50" s="64">
        <v>1</v>
      </c>
    </row>
    <row r="51" spans="8:11" x14ac:dyDescent="0.25">
      <c r="H51" s="57" t="s">
        <v>114</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4"/>
  <sheetViews>
    <sheetView workbookViewId="0">
      <pane xSplit="6" topLeftCell="G1" activePane="topRight" state="frozen"/>
      <selection pane="topRight" activeCell="D130" sqref="D130"/>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355</v>
      </c>
      <c r="M3" s="1" t="s">
        <v>358</v>
      </c>
      <c r="N3" s="76"/>
    </row>
    <row r="4" spans="1:26" x14ac:dyDescent="0.25">
      <c r="B4" s="82"/>
      <c r="D4" s="82"/>
      <c r="J4" t="s">
        <v>356</v>
      </c>
      <c r="M4" t="s">
        <v>359</v>
      </c>
      <c r="N4" s="76"/>
    </row>
    <row r="5" spans="1:26" x14ac:dyDescent="0.25">
      <c r="A5" s="82" t="s">
        <v>4474</v>
      </c>
      <c r="J5" t="s">
        <v>357</v>
      </c>
      <c r="M5" t="s">
        <v>360</v>
      </c>
      <c r="N5" s="76"/>
    </row>
    <row r="6" spans="1:26" x14ac:dyDescent="0.25">
      <c r="J6" t="s">
        <v>593</v>
      </c>
      <c r="N6" s="77"/>
    </row>
    <row r="7" spans="1:26" x14ac:dyDescent="0.25">
      <c r="J7" t="s">
        <v>3817</v>
      </c>
      <c r="N7" s="77"/>
      <c r="X7" s="2" t="s">
        <v>2422</v>
      </c>
    </row>
    <row r="8" spans="1:26" x14ac:dyDescent="0.25">
      <c r="D8" t="s">
        <v>263</v>
      </c>
      <c r="N8" s="76"/>
      <c r="O8" s="76"/>
    </row>
    <row r="9" spans="1:26" x14ac:dyDescent="0.25">
      <c r="D9" s="1" t="s">
        <v>4500</v>
      </c>
      <c r="W9" s="177" t="s">
        <v>4503</v>
      </c>
    </row>
    <row r="10" spans="1:26" x14ac:dyDescent="0.25">
      <c r="V10" s="82" t="s">
        <v>3845</v>
      </c>
    </row>
    <row r="11" spans="1:26" x14ac:dyDescent="0.25">
      <c r="D11" s="1" t="s">
        <v>265</v>
      </c>
      <c r="E11" s="1" t="s">
        <v>266</v>
      </c>
      <c r="F11" s="1" t="s">
        <v>267</v>
      </c>
      <c r="G11" s="94" t="s">
        <v>268</v>
      </c>
      <c r="H11" s="94" t="s">
        <v>269</v>
      </c>
      <c r="I11" s="107" t="s">
        <v>270</v>
      </c>
      <c r="J11" s="95" t="s">
        <v>271</v>
      </c>
      <c r="K11" s="95" t="s">
        <v>353</v>
      </c>
      <c r="L11" s="95" t="s">
        <v>395</v>
      </c>
      <c r="M11" s="95" t="s">
        <v>174</v>
      </c>
      <c r="N11" s="106" t="s">
        <v>574</v>
      </c>
      <c r="O11" s="98" t="s">
        <v>523</v>
      </c>
      <c r="P11" s="109" t="s">
        <v>573</v>
      </c>
      <c r="Q11" s="102" t="s">
        <v>515</v>
      </c>
      <c r="R11" s="106" t="s">
        <v>572</v>
      </c>
      <c r="S11" s="98" t="s">
        <v>563</v>
      </c>
      <c r="T11" s="109" t="s">
        <v>562</v>
      </c>
      <c r="U11" s="101" t="s">
        <v>575</v>
      </c>
      <c r="V11" s="152" t="s">
        <v>3844</v>
      </c>
      <c r="W11" s="157" t="s">
        <v>267</v>
      </c>
      <c r="X11" s="91" t="s">
        <v>2414</v>
      </c>
      <c r="Y11" s="121" t="s">
        <v>2415</v>
      </c>
      <c r="Z11" s="121" t="s">
        <v>2416</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
        <v>8020</v>
      </c>
      <c r="W12" s="158" t="s">
        <v>12</v>
      </c>
      <c r="X12" s="115" t="s">
        <v>328</v>
      </c>
      <c r="Y12" s="119" t="s">
        <v>328</v>
      </c>
      <c r="Z12" s="119" t="s">
        <v>328</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11</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11</v>
      </c>
      <c r="U13" s="99">
        <f>ROUND((Table1[[#This Row],[Total in the game]]/SUM(Table1[Total in the game]))*100,1)</f>
        <v>0.2</v>
      </c>
      <c r="V13" s="154" t="s">
        <v>8020</v>
      </c>
      <c r="W13" s="159" t="s">
        <v>2</v>
      </c>
      <c r="X13" s="146" t="s">
        <v>328</v>
      </c>
      <c r="Y13" s="147" t="s">
        <v>328</v>
      </c>
      <c r="Z13" s="147" t="s">
        <v>328</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
        <v>8020</v>
      </c>
      <c r="W14" s="158" t="s">
        <v>13</v>
      </c>
      <c r="X14" s="115" t="s">
        <v>328</v>
      </c>
      <c r="Y14" s="119" t="s">
        <v>328</v>
      </c>
      <c r="Z14" s="119" t="s">
        <v>328</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36</v>
      </c>
      <c r="Q15" s="100">
        <f>ROUND((Table1[[#This Row],[Total in "Castle" scene]]/SUM(Table1[Total in "Castle" scene]))*100,1)</f>
        <v>1.8</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42</v>
      </c>
      <c r="U15" s="99">
        <f>ROUND((Table1[[#This Row],[Total in the game]]/SUM(Table1[Total in the game]))*100,1)</f>
        <v>0.8</v>
      </c>
      <c r="V15" s="154" t="s">
        <v>8020</v>
      </c>
      <c r="W15" s="158" t="s">
        <v>3</v>
      </c>
      <c r="X15" s="115" t="s">
        <v>328</v>
      </c>
      <c r="Y15" s="119" t="s">
        <v>328</v>
      </c>
      <c r="Z15" s="119" t="s">
        <v>328</v>
      </c>
    </row>
    <row r="16" spans="1:26" x14ac:dyDescent="0.25">
      <c r="D16" s="78" t="s">
        <v>407</v>
      </c>
      <c r="E16" s="78" t="s">
        <v>406</v>
      </c>
      <c r="F16" s="78" t="s">
        <v>408</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408</v>
      </c>
      <c r="X16" s="115" t="s">
        <v>328</v>
      </c>
      <c r="Y16" s="119" t="s">
        <v>328</v>
      </c>
      <c r="Z16" s="119" t="s">
        <v>328</v>
      </c>
    </row>
    <row r="17" spans="4:26" x14ac:dyDescent="0.25">
      <c r="D17" s="78" t="s">
        <v>409</v>
      </c>
      <c r="E17" s="78" t="s">
        <v>406</v>
      </c>
      <c r="F17" s="78" t="s">
        <v>410</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410</v>
      </c>
      <c r="X17" s="146" t="s">
        <v>328</v>
      </c>
      <c r="Y17" s="147" t="s">
        <v>328</v>
      </c>
      <c r="Z17" s="147" t="s">
        <v>328</v>
      </c>
    </row>
    <row r="18" spans="4:26" x14ac:dyDescent="0.25">
      <c r="D18" s="78" t="s">
        <v>397</v>
      </c>
      <c r="E18" s="78" t="s">
        <v>411</v>
      </c>
      <c r="F18" s="78" t="s">
        <v>398</v>
      </c>
      <c r="G18" s="103">
        <v>200</v>
      </c>
      <c r="H18" s="103">
        <v>200</v>
      </c>
      <c r="I18" s="108">
        <v>-10</v>
      </c>
      <c r="J18" s="93">
        <v>0</v>
      </c>
      <c r="K18" s="93">
        <v>0</v>
      </c>
      <c r="L18" s="93">
        <v>0</v>
      </c>
      <c r="M18" s="93" t="s">
        <v>8</v>
      </c>
      <c r="N18" s="104">
        <f>COUNTIF(Table7[Spawner],Table1[[#This Row],[Spawner Prefab]])</f>
        <v>45</v>
      </c>
      <c r="O18" s="96">
        <f>ROUND((Table1[[#This Row],[Total in "Village" scene]]/SUM(Table1[Total in "Village" scene]))*100,1)</f>
        <v>1.8</v>
      </c>
      <c r="P18" s="110">
        <f>COUNTIF(Table15[Spawner],Table1[[#This Row],[Spawner Prefab]])</f>
        <v>35</v>
      </c>
      <c r="Q18" s="100">
        <f>ROUND((Table1[[#This Row],[Total in "Castle" scene]]/SUM(Table1[Total in "Castle" scene]))*100,1)</f>
        <v>1.8</v>
      </c>
      <c r="R18" s="105">
        <f>COUNTIF(Table20[Spawner],Table1[[#This Row],[Spawner Prefab]])</f>
        <v>6</v>
      </c>
      <c r="S18" s="97">
        <f>ROUND((Table1[[#This Row],[Total in "Dark" scene]]/SUM(Table1[Total in "Dark" scene]))*100,1)</f>
        <v>0.6</v>
      </c>
      <c r="T18" s="111">
        <f>Table1[[#This Row],[Total in "Village" scene]]+Table1[[#This Row],[Total in "Castle" scene]]+Table1[[#This Row],[Total in "Dark" scene]]</f>
        <v>86</v>
      </c>
      <c r="U18" s="99">
        <f>ROUND((Table1[[#This Row],[Total in the game]]/SUM(Table1[Total in the game]))*100,1)</f>
        <v>1.6</v>
      </c>
      <c r="V18" s="154" t="str">
        <f>Table1[[#This Row],[Content Sku]]</f>
        <v>BadJunk</v>
      </c>
      <c r="W18" s="158" t="s">
        <v>398</v>
      </c>
      <c r="X18" s="115" t="s">
        <v>328</v>
      </c>
      <c r="Y18" s="119" t="s">
        <v>328</v>
      </c>
      <c r="Z18" s="119" t="s">
        <v>328</v>
      </c>
    </row>
    <row r="19" spans="4:26" x14ac:dyDescent="0.25">
      <c r="D19" s="78" t="s">
        <v>413</v>
      </c>
      <c r="E19" s="78" t="s">
        <v>412</v>
      </c>
      <c r="F19" s="78" t="s">
        <v>516</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2760</v>
      </c>
      <c r="X19" s="115" t="s">
        <v>328</v>
      </c>
      <c r="Y19" s="119" t="s">
        <v>328</v>
      </c>
      <c r="Z19" s="119" t="s">
        <v>328</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5</v>
      </c>
      <c r="O20" s="96">
        <f>ROUND((Table1[[#This Row],[Total in "Village" scene]]/SUM(Table1[Total in "Village" scene]))*100,1)</f>
        <v>0.2</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5</v>
      </c>
      <c r="U20" s="99">
        <f>ROUND((Table1[[#This Row],[Total in the game]]/SUM(Table1[Total in the game]))*100,1)</f>
        <v>0.1</v>
      </c>
      <c r="V20" s="154" t="str">
        <f>Table1[[#This Row],[Content Sku]]</f>
        <v>BakerWoman</v>
      </c>
      <c r="W20" s="160" t="s">
        <v>2761</v>
      </c>
      <c r="X20" s="115" t="s">
        <v>328</v>
      </c>
      <c r="Y20" s="119" t="s">
        <v>328</v>
      </c>
      <c r="Z20" s="119" t="s">
        <v>328</v>
      </c>
    </row>
    <row r="21" spans="4:26" x14ac:dyDescent="0.25">
      <c r="D21" s="78" t="s">
        <v>36</v>
      </c>
      <c r="E21" s="78" t="s">
        <v>84</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29</v>
      </c>
      <c r="Q21" s="100">
        <f>ROUND((Table1[[#This Row],[Total in "Castle" scene]]/SUM(Table1[Total in "Castle" scene]))*100,1)</f>
        <v>1.5</v>
      </c>
      <c r="R21" s="105">
        <f>COUNTIF(Table20[Spawner],Table1[[#This Row],[Spawner Prefab]])</f>
        <v>16</v>
      </c>
      <c r="S21" s="97">
        <f>ROUND((Table1[[#This Row],[Total in "Dark" scene]]/SUM(Table1[Total in "Dark" scene]))*100,1)</f>
        <v>1.5</v>
      </c>
      <c r="T21" s="111">
        <f>Table1[[#This Row],[Total in "Village" scene]]+Table1[[#This Row],[Total in "Castle" scene]]+Table1[[#This Row],[Total in "Dark" scene]]</f>
        <v>73</v>
      </c>
      <c r="U21" s="99">
        <f>ROUND((Table1[[#This Row],[Total in the game]]/SUM(Table1[Total in the game]))*100,1)</f>
        <v>1.3</v>
      </c>
      <c r="V21" s="154" t="str">
        <f>Table1[[#This Row],[Content Sku]]</f>
        <v>BatBig_Flock</v>
      </c>
      <c r="W21" s="160" t="s">
        <v>2762</v>
      </c>
      <c r="X21" s="115" t="s">
        <v>328</v>
      </c>
      <c r="Y21" s="119" t="s">
        <v>328</v>
      </c>
      <c r="Z21" s="119" t="s">
        <v>328</v>
      </c>
    </row>
    <row r="22" spans="4:26" x14ac:dyDescent="0.25">
      <c r="D22" s="78" t="s">
        <v>37</v>
      </c>
      <c r="E22" s="78" t="s">
        <v>85</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129</v>
      </c>
      <c r="Q22" s="100">
        <f>ROUND((Table1[[#This Row],[Total in "Castle" scene]]/SUM(Table1[Total in "Castle" scene]))*100,1)</f>
        <v>6.5</v>
      </c>
      <c r="R22" s="105">
        <f>COUNTIF(Table20[Spawner],Table1[[#This Row],[Spawner Prefab]])</f>
        <v>107</v>
      </c>
      <c r="S22" s="97">
        <f>ROUND((Table1[[#This Row],[Total in "Dark" scene]]/SUM(Table1[Total in "Dark" scene]))*100,1)</f>
        <v>10.1</v>
      </c>
      <c r="T22" s="111">
        <f>Table1[[#This Row],[Total in "Village" scene]]+Table1[[#This Row],[Total in "Castle" scene]]+Table1[[#This Row],[Total in "Dark" scene]]</f>
        <v>277</v>
      </c>
      <c r="U22" s="99">
        <f>ROUND((Table1[[#This Row],[Total in the game]]/SUM(Table1[Total in the game]))*100,1)</f>
        <v>5</v>
      </c>
      <c r="V22" s="154" t="str">
        <f>Table1[[#This Row],[Content Sku]]</f>
        <v>BatSmall_Flock</v>
      </c>
      <c r="W22" s="158" t="s">
        <v>5</v>
      </c>
      <c r="X22" s="146" t="s">
        <v>327</v>
      </c>
      <c r="Y22" s="147" t="s">
        <v>327</v>
      </c>
      <c r="Z22" s="147" t="s">
        <v>327</v>
      </c>
    </row>
    <row r="23" spans="4:26" x14ac:dyDescent="0.25">
      <c r="D23" s="78" t="s">
        <v>38</v>
      </c>
      <c r="E23" s="78" t="s">
        <v>85</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328</v>
      </c>
      <c r="Y23" s="119" t="s">
        <v>328</v>
      </c>
      <c r="Z23" s="119" t="s">
        <v>328</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5</v>
      </c>
      <c r="Q24" s="100">
        <f>ROUND((Table1[[#This Row],[Total in "Castle" scene]]/SUM(Table1[Total in "Castle" scene]))*100,1)</f>
        <v>0.3</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5</v>
      </c>
      <c r="U24" s="99">
        <f>ROUND((Table1[[#This Row],[Total in the game]]/SUM(Table1[Total in the game]))*100,1)</f>
        <v>0.1</v>
      </c>
      <c r="V24" s="154" t="str">
        <f>Table1[[#This Row],[Content Sku]]</f>
        <v>BoatFisher</v>
      </c>
      <c r="W24" s="159" t="s">
        <v>31</v>
      </c>
      <c r="X24" s="146" t="s">
        <v>327</v>
      </c>
      <c r="Y24" s="147" t="s">
        <v>327</v>
      </c>
      <c r="Z24" s="147" t="s">
        <v>327</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327</v>
      </c>
      <c r="Y25" s="119" t="s">
        <v>327</v>
      </c>
      <c r="Z25" s="119" t="s">
        <v>327</v>
      </c>
    </row>
    <row r="26" spans="4:26" x14ac:dyDescent="0.25">
      <c r="D26" s="78" t="s">
        <v>21</v>
      </c>
      <c r="E26" s="78" t="s">
        <v>80</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20</v>
      </c>
      <c r="Q26" s="100">
        <f>ROUND((Table1[[#This Row],[Total in "Castle" scene]]/SUM(Table1[Total in "Castle" scene]))*100,1)</f>
        <v>1</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33</v>
      </c>
      <c r="U26" s="99">
        <f>ROUND((Table1[[#This Row],[Total in the game]]/SUM(Table1[Total in the game]))*100,1)</f>
        <v>0.6</v>
      </c>
      <c r="V26" s="154" t="str">
        <f>Table1[[#This Row],[Content Sku]]</f>
        <v>Bomber</v>
      </c>
      <c r="W26" s="158" t="s">
        <v>52</v>
      </c>
      <c r="X26" s="115" t="s">
        <v>327</v>
      </c>
      <c r="Y26" s="119" t="s">
        <v>327</v>
      </c>
      <c r="Z26" s="119" t="s">
        <v>327</v>
      </c>
    </row>
    <row r="27" spans="4:26" x14ac:dyDescent="0.25">
      <c r="D27" s="78" t="s">
        <v>2675</v>
      </c>
      <c r="E27" s="78" t="s">
        <v>2639</v>
      </c>
      <c r="F27" s="78" t="s">
        <v>2667</v>
      </c>
      <c r="G27" s="103">
        <v>110</v>
      </c>
      <c r="H27" s="103">
        <v>110</v>
      </c>
      <c r="I27" s="108">
        <v>50</v>
      </c>
      <c r="J27" s="93">
        <v>100</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327</v>
      </c>
      <c r="Y27" s="147" t="s">
        <v>327</v>
      </c>
      <c r="Z27" s="147" t="s">
        <v>327</v>
      </c>
    </row>
    <row r="28" spans="4:26" x14ac:dyDescent="0.25">
      <c r="D28" s="78" t="s">
        <v>361</v>
      </c>
      <c r="E28" s="78" t="s">
        <v>8</v>
      </c>
      <c r="F28" s="78" t="s">
        <v>362</v>
      </c>
      <c r="G28" s="103">
        <v>450</v>
      </c>
      <c r="H28" s="103">
        <v>450</v>
      </c>
      <c r="I28" s="108" t="s">
        <v>8</v>
      </c>
      <c r="J28" s="93"/>
      <c r="K28" s="93"/>
      <c r="L28" s="93"/>
      <c r="M28" s="93"/>
      <c r="N28" s="104">
        <f>COUNTIF(Table7[Spawner],Table1[[#This Row],[Spawner Prefab]])</f>
        <v>3</v>
      </c>
      <c r="O28" s="96">
        <f>ROUND((Table1[[#This Row],[Total in "Village" scene]]/SUM(Table1[Total in "Village" scene]))*100,1)</f>
        <v>0.1</v>
      </c>
      <c r="P28" s="110">
        <f>COUNTIF(Table15[Spawner],Table1[[#This Row],[Spawner Prefab]])</f>
        <v>1</v>
      </c>
      <c r="Q28" s="100">
        <f>ROUND((Table1[[#This Row],[Total in "Castle" scene]]/SUM(Table1[Total in "Castle" scene]))*100,1)</f>
        <v>0.1</v>
      </c>
      <c r="R28" s="105">
        <f>COUNTIF(Table20[Spawner],Table1[[#This Row],[Spawner Prefab]])</f>
        <v>0</v>
      </c>
      <c r="S28" s="97">
        <f>ROUND((Table1[[#This Row],[Total in "Dark" scene]]/SUM(Table1[Total in "Dark" scene]))*100,1)</f>
        <v>0</v>
      </c>
      <c r="T28" s="111">
        <f>Table1[[#This Row],[Total in "Village" scene]]+Table1[[#This Row],[Total in "Castle" scene]]+Table1[[#This Row],[Total in "Dark" scene]]</f>
        <v>4</v>
      </c>
      <c r="U28" s="99">
        <f>ROUND((Table1[[#This Row],[Total in the game]]/SUM(Table1[Total in the game]))*100,1)</f>
        <v>0.1</v>
      </c>
      <c r="V28" s="154" t="s">
        <v>8040</v>
      </c>
      <c r="W28" s="158" t="s">
        <v>19</v>
      </c>
      <c r="X28" s="115" t="s">
        <v>328</v>
      </c>
      <c r="Y28" s="119" t="s">
        <v>328</v>
      </c>
      <c r="Z28" s="119" t="s">
        <v>328</v>
      </c>
    </row>
    <row r="29" spans="4:26" x14ac:dyDescent="0.25">
      <c r="D29" s="78" t="s">
        <v>90</v>
      </c>
      <c r="E29" s="78" t="s">
        <v>96</v>
      </c>
      <c r="F29" s="78" t="s">
        <v>86</v>
      </c>
      <c r="G29" s="103">
        <v>180</v>
      </c>
      <c r="H29" s="103">
        <v>180</v>
      </c>
      <c r="I29" s="108">
        <v>2</v>
      </c>
      <c r="J29" s="93">
        <v>25</v>
      </c>
      <c r="K29" s="93">
        <v>0</v>
      </c>
      <c r="L29" s="93">
        <v>0</v>
      </c>
      <c r="M29" s="93" t="s">
        <v>8</v>
      </c>
      <c r="N29" s="104">
        <f>COUNTIF(Table7[Spawner],Table1[[#This Row],[Spawner Prefab]])</f>
        <v>65</v>
      </c>
      <c r="O29" s="96">
        <f>ROUND((Table1[[#This Row],[Total in "Village" scene]]/SUM(Table1[Total in "Village" scene]))*100,1)</f>
        <v>2.6</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65</v>
      </c>
      <c r="U29" s="99">
        <f>ROUND((Table1[[#This Row],[Total in the game]]/SUM(Table1[Total in the game]))*100,1)</f>
        <v>1.2</v>
      </c>
      <c r="V29" s="154" t="s">
        <v>3846</v>
      </c>
      <c r="W29" s="161" t="s">
        <v>2732</v>
      </c>
      <c r="X29" s="115" t="s">
        <v>327</v>
      </c>
      <c r="Y29" s="119" t="s">
        <v>327</v>
      </c>
      <c r="Z29" s="119" t="s">
        <v>327</v>
      </c>
    </row>
    <row r="30" spans="4:26" x14ac:dyDescent="0.25">
      <c r="D30" s="78" t="s">
        <v>91</v>
      </c>
      <c r="E30" s="78" t="s">
        <v>97</v>
      </c>
      <c r="F30" s="78" t="s">
        <v>87</v>
      </c>
      <c r="G30" s="103">
        <v>180</v>
      </c>
      <c r="H30" s="103">
        <v>180</v>
      </c>
      <c r="I30" s="108">
        <v>2</v>
      </c>
      <c r="J30" s="93">
        <v>25</v>
      </c>
      <c r="K30" s="93">
        <v>0</v>
      </c>
      <c r="L30" s="93">
        <v>0</v>
      </c>
      <c r="M30" s="93" t="s">
        <v>8</v>
      </c>
      <c r="N30" s="104">
        <f>COUNTIF(Table7[Spawner],Table1[[#This Row],[Spawner Prefab]])</f>
        <v>31</v>
      </c>
      <c r="O30" s="96">
        <f>ROUND((Table1[[#This Row],[Total in "Village" scene]]/SUM(Table1[Total in "Village" scene]))*100,1)</f>
        <v>1.3</v>
      </c>
      <c r="P30" s="110">
        <f>COUNTIF(Table15[Spawner],Table1[[#This Row],[Spawner Prefab]])</f>
        <v>0</v>
      </c>
      <c r="Q30" s="100">
        <f>ROUND((Table1[[#This Row],[Total in "Castle" scene]]/SUM(Table1[Total in "Castle" scene]))*100,1)</f>
        <v>0</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31</v>
      </c>
      <c r="U30" s="99">
        <f>ROUND((Table1[[#This Row],[Total in the game]]/SUM(Table1[Total in the game]))*100,1)</f>
        <v>0.6</v>
      </c>
      <c r="V30" s="154" t="s">
        <v>3846</v>
      </c>
      <c r="W30" s="160" t="s">
        <v>2667</v>
      </c>
      <c r="X30" s="147" t="s">
        <v>327</v>
      </c>
      <c r="Y30" s="147" t="s">
        <v>327</v>
      </c>
      <c r="Z30" s="147" t="s">
        <v>327</v>
      </c>
    </row>
    <row r="31" spans="4:26" x14ac:dyDescent="0.25">
      <c r="D31" s="78" t="s">
        <v>92</v>
      </c>
      <c r="E31" s="78" t="s">
        <v>98</v>
      </c>
      <c r="F31" s="78" t="s">
        <v>88</v>
      </c>
      <c r="G31" s="103">
        <v>180</v>
      </c>
      <c r="H31" s="103">
        <v>180</v>
      </c>
      <c r="I31" s="108">
        <v>2</v>
      </c>
      <c r="J31" s="93">
        <v>25</v>
      </c>
      <c r="K31" s="93">
        <v>0</v>
      </c>
      <c r="L31" s="93">
        <v>0</v>
      </c>
      <c r="M31" s="93" t="s">
        <v>8</v>
      </c>
      <c r="N31" s="104">
        <f>COUNTIF(Table7[Spawner],Table1[[#This Row],[Spawner Prefab]])</f>
        <v>18</v>
      </c>
      <c r="O31" s="96">
        <f>ROUND((Table1[[#This Row],[Total in "Village" scene]]/SUM(Table1[Total in "Village" scene]))*100,1)</f>
        <v>0.7</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18</v>
      </c>
      <c r="U31" s="99">
        <f>ROUND((Table1[[#This Row],[Total in the game]]/SUM(Table1[Total in the game]))*100,1)</f>
        <v>0.3</v>
      </c>
      <c r="V31" s="154" t="s">
        <v>3846</v>
      </c>
      <c r="W31" s="160" t="s">
        <v>2763</v>
      </c>
      <c r="X31" s="147" t="s">
        <v>327</v>
      </c>
      <c r="Y31" s="147" t="s">
        <v>327</v>
      </c>
      <c r="Z31" s="147" t="s">
        <v>327</v>
      </c>
    </row>
    <row r="32" spans="4:26" x14ac:dyDescent="0.25">
      <c r="D32" s="78" t="s">
        <v>93</v>
      </c>
      <c r="E32" s="78" t="s">
        <v>99</v>
      </c>
      <c r="F32" s="78" t="s">
        <v>89</v>
      </c>
      <c r="G32" s="103">
        <v>180</v>
      </c>
      <c r="H32" s="103">
        <v>180</v>
      </c>
      <c r="I32" s="108">
        <v>2</v>
      </c>
      <c r="J32" s="93">
        <v>25</v>
      </c>
      <c r="K32" s="93">
        <v>0</v>
      </c>
      <c r="L32" s="93">
        <v>0</v>
      </c>
      <c r="M32" s="93" t="s">
        <v>8</v>
      </c>
      <c r="N32" s="104">
        <f>COUNTIF(Table7[Spawner],Table1[[#This Row],[Spawner Prefab]])</f>
        <v>2</v>
      </c>
      <c r="O32" s="96">
        <f>ROUND((Table1[[#This Row],[Total in "Village" scene]]/SUM(Table1[Total in "Village" scene]))*100,1)</f>
        <v>0.1</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2</v>
      </c>
      <c r="U32" s="99">
        <f>ROUND((Table1[[#This Row],[Total in the game]]/SUM(Table1[Total in the game]))*100,1)</f>
        <v>0</v>
      </c>
      <c r="V32" s="154" t="s">
        <v>3846</v>
      </c>
      <c r="W32" s="158" t="s">
        <v>362</v>
      </c>
      <c r="X32" s="115" t="s">
        <v>328</v>
      </c>
      <c r="Y32" s="119" t="s">
        <v>328</v>
      </c>
      <c r="Z32" s="119" t="s">
        <v>328</v>
      </c>
    </row>
    <row r="33" spans="4:26" x14ac:dyDescent="0.25">
      <c r="D33" s="78" t="s">
        <v>253</v>
      </c>
      <c r="E33" s="78" t="s">
        <v>96</v>
      </c>
      <c r="F33" s="78" t="s">
        <v>86</v>
      </c>
      <c r="G33" s="103">
        <v>180</v>
      </c>
      <c r="H33" s="103">
        <v>180</v>
      </c>
      <c r="I33" s="108">
        <v>2</v>
      </c>
      <c r="J33" s="93">
        <v>25</v>
      </c>
      <c r="K33" s="93">
        <v>0</v>
      </c>
      <c r="L33" s="93">
        <v>0</v>
      </c>
      <c r="M33" s="93" t="s">
        <v>8</v>
      </c>
      <c r="N33" s="104">
        <f>COUNTIF(Table7[Spawner],Table1[[#This Row],[Spawner Prefab]])</f>
        <v>70</v>
      </c>
      <c r="O33" s="96">
        <f>ROUND((Table1[[#This Row],[Total in "Village" scene]]/SUM(Table1[Total in "Village" scene]))*100,1)</f>
        <v>2.8</v>
      </c>
      <c r="P33" s="110">
        <f>COUNTIF(Table15[Spawner],Table1[[#This Row],[Spawner Prefab]])</f>
        <v>19</v>
      </c>
      <c r="Q33" s="100">
        <f>ROUND((Table1[[#This Row],[Total in "Castle" scene]]/SUM(Table1[Total in "Castle" scene]))*100,1)</f>
        <v>1</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89</v>
      </c>
      <c r="U33" s="99">
        <f>ROUND((Table1[[#This Row],[Total in the game]]/SUM(Table1[Total in the game]))*100,1)</f>
        <v>1.6</v>
      </c>
      <c r="V33" s="154" t="s">
        <v>3846</v>
      </c>
      <c r="W33" s="158" t="s">
        <v>86</v>
      </c>
      <c r="X33" s="115" t="s">
        <v>327</v>
      </c>
      <c r="Y33" s="119" t="s">
        <v>327</v>
      </c>
      <c r="Z33" s="119" t="s">
        <v>327</v>
      </c>
    </row>
    <row r="34" spans="4:26" x14ac:dyDescent="0.25">
      <c r="D34" s="78" t="s">
        <v>254</v>
      </c>
      <c r="E34" s="78" t="s">
        <v>96</v>
      </c>
      <c r="F34" s="78" t="s">
        <v>86</v>
      </c>
      <c r="G34" s="103">
        <v>180</v>
      </c>
      <c r="H34" s="103">
        <v>180</v>
      </c>
      <c r="I34" s="108">
        <v>2</v>
      </c>
      <c r="J34" s="93">
        <v>25</v>
      </c>
      <c r="K34" s="93">
        <v>0</v>
      </c>
      <c r="L34" s="93">
        <v>0</v>
      </c>
      <c r="M34" s="93" t="s">
        <v>8</v>
      </c>
      <c r="N34" s="104">
        <f>COUNTIF(Table7[Spawner],Table1[[#This Row],[Spawner Prefab]])</f>
        <v>196</v>
      </c>
      <c r="O34" s="96">
        <f>ROUND((Table1[[#This Row],[Total in "Village" scene]]/SUM(Table1[Total in "Village" scene]))*100,1)</f>
        <v>8</v>
      </c>
      <c r="P34" s="110">
        <f>COUNTIF(Table15[Spawner],Table1[[#This Row],[Spawner Prefab]])</f>
        <v>92</v>
      </c>
      <c r="Q34" s="100">
        <f>ROUND((Table1[[#This Row],[Total in "Castle" scene]]/SUM(Table1[Total in "Castle" scene]))*100,1)</f>
        <v>4.5999999999999996</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288</v>
      </c>
      <c r="U34" s="99">
        <f>ROUND((Table1[[#This Row],[Total in the game]]/SUM(Table1[Total in the game]))*100,1)</f>
        <v>5.2</v>
      </c>
      <c r="V34" s="154" t="s">
        <v>3846</v>
      </c>
      <c r="W34" s="158" t="s">
        <v>87</v>
      </c>
      <c r="X34" s="115" t="s">
        <v>327</v>
      </c>
      <c r="Y34" s="119" t="s">
        <v>327</v>
      </c>
      <c r="Z34" s="119" t="s">
        <v>327</v>
      </c>
    </row>
    <row r="35" spans="4:26" x14ac:dyDescent="0.25">
      <c r="D35" s="78" t="s">
        <v>2678</v>
      </c>
      <c r="E35" s="78" t="s">
        <v>2640</v>
      </c>
      <c r="F35" s="78" t="s">
        <v>2668</v>
      </c>
      <c r="G35" s="103">
        <v>500</v>
      </c>
      <c r="H35" s="103">
        <v>500</v>
      </c>
      <c r="I35" s="108">
        <v>60</v>
      </c>
      <c r="J35" s="93">
        <v>130</v>
      </c>
      <c r="K35" s="93">
        <v>4</v>
      </c>
      <c r="L35" s="93">
        <v>4</v>
      </c>
      <c r="M35" s="93">
        <v>70</v>
      </c>
      <c r="N35" s="104">
        <f>COUNTIF(Table7[Spawner],Table1[[#This Row],[Spawner Prefab]])</f>
        <v>0</v>
      </c>
      <c r="O35" s="96">
        <f>ROUND((Table1[[#This Row],[Total in "Village" scene]]/SUM(Table1[Total in "Village" scene]))*100,1)</f>
        <v>0</v>
      </c>
      <c r="P35" s="110">
        <f>COUNTIF(Table15[Spawner],Table1[[#This Row],[Spawner Prefab]])</f>
        <v>0</v>
      </c>
      <c r="Q35" s="100">
        <f>ROUND((Table1[[#This Row],[Total in "Castle" scene]]/SUM(Table1[Total in "Castle" scene]))*100,1)</f>
        <v>0</v>
      </c>
      <c r="R35" s="105">
        <f>COUNTIF(Table20[Spawner],Table1[[#This Row],[Spawner Prefab]])</f>
        <v>7</v>
      </c>
      <c r="S35" s="97">
        <f>ROUND((Table1[[#This Row],[Total in "Dark" scene]]/SUM(Table1[Total in "Dark" scene]))*100,1)</f>
        <v>0.7</v>
      </c>
      <c r="T35" s="111">
        <f>Table1[[#This Row],[Total in "Village" scene]]+Table1[[#This Row],[Total in "Castle" scene]]+Table1[[#This Row],[Total in "Dark" scene]]</f>
        <v>7</v>
      </c>
      <c r="U35" s="99">
        <f>ROUND((Table1[[#This Row],[Total in the game]]/SUM(Table1[Total in the game]))*100,1)</f>
        <v>0.1</v>
      </c>
      <c r="V35" s="154" t="s">
        <v>8021</v>
      </c>
      <c r="W35" s="158" t="s">
        <v>88</v>
      </c>
      <c r="X35" s="115" t="s">
        <v>327</v>
      </c>
      <c r="Y35" s="119" t="s">
        <v>327</v>
      </c>
      <c r="Z35" s="119" t="s">
        <v>327</v>
      </c>
    </row>
    <row r="36" spans="4:26" x14ac:dyDescent="0.25">
      <c r="D36" s="78" t="s">
        <v>581</v>
      </c>
      <c r="E36" s="78" t="s">
        <v>2411</v>
      </c>
      <c r="F36" s="78" t="s">
        <v>582</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0.6</v>
      </c>
      <c r="T36" s="111">
        <f>Table1[[#This Row],[Total in "Village" scene]]+Table1[[#This Row],[Total in "Castle" scene]]+Table1[[#This Row],[Total in "Dark" scene]]</f>
        <v>6</v>
      </c>
      <c r="U36" s="99">
        <f>ROUND((Table1[[#This Row],[Total in the game]]/SUM(Table1[Total in the game]))*100,1)</f>
        <v>0.1</v>
      </c>
      <c r="V36" s="154" t="s">
        <v>8021</v>
      </c>
      <c r="W36" s="158" t="s">
        <v>89</v>
      </c>
      <c r="X36" s="115" t="s">
        <v>327</v>
      </c>
      <c r="Y36" s="119" t="s">
        <v>327</v>
      </c>
      <c r="Z36" s="119" t="s">
        <v>327</v>
      </c>
    </row>
    <row r="37" spans="4:26" x14ac:dyDescent="0.25">
      <c r="D37" s="78" t="s">
        <v>2677</v>
      </c>
      <c r="E37" s="78" t="s">
        <v>2641</v>
      </c>
      <c r="F37" s="78" t="s">
        <v>2666</v>
      </c>
      <c r="G37" s="103">
        <v>110</v>
      </c>
      <c r="H37" s="103">
        <v>110</v>
      </c>
      <c r="I37" s="108">
        <v>13</v>
      </c>
      <c r="J37" s="93">
        <v>143</v>
      </c>
      <c r="K37" s="93">
        <v>3</v>
      </c>
      <c r="L37" s="93">
        <v>3</v>
      </c>
      <c r="M37" s="93" t="s">
        <v>8</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26</v>
      </c>
      <c r="S37" s="97">
        <f>ROUND((Table1[[#This Row],[Total in "Dark" scene]]/SUM(Table1[Total in "Dark" scene]))*100,1)</f>
        <v>2.4</v>
      </c>
      <c r="T37" s="111">
        <f>Table1[[#This Row],[Total in "Village" scene]]+Table1[[#This Row],[Total in "Castle" scene]]+Table1[[#This Row],[Total in "Dark" scene]]</f>
        <v>26</v>
      </c>
      <c r="U37" s="99">
        <f>ROUND((Table1[[#This Row],[Total in the game]]/SUM(Table1[Total in the game]))*100,1)</f>
        <v>0.5</v>
      </c>
      <c r="V37" s="154" t="str">
        <f>Table1[[#This Row],[Content Sku]]</f>
        <v>CentipedeBlue</v>
      </c>
      <c r="W37" s="158" t="s">
        <v>582</v>
      </c>
      <c r="X37" s="115" t="s">
        <v>328</v>
      </c>
      <c r="Y37" s="119" t="s">
        <v>328</v>
      </c>
      <c r="Z37" s="119" t="s">
        <v>328</v>
      </c>
    </row>
    <row r="38" spans="4:26" x14ac:dyDescent="0.25">
      <c r="D38" s="78" t="s">
        <v>2685</v>
      </c>
      <c r="E38" s="78" t="s">
        <v>2642</v>
      </c>
      <c r="F38" s="78" t="s">
        <v>2665</v>
      </c>
      <c r="G38" s="103">
        <v>110</v>
      </c>
      <c r="H38" s="103">
        <v>110</v>
      </c>
      <c r="I38" s="108">
        <v>18</v>
      </c>
      <c r="J38" s="93">
        <v>130</v>
      </c>
      <c r="K38" s="93">
        <v>4</v>
      </c>
      <c r="L38" s="93">
        <v>4</v>
      </c>
      <c r="M38" s="93">
        <v>37</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5</v>
      </c>
      <c r="S38" s="97">
        <f>ROUND((Table1[[#This Row],[Total in "Dark" scene]]/SUM(Table1[Total in "Dark" scene]))*100,1)</f>
        <v>0.5</v>
      </c>
      <c r="T38" s="111">
        <f>Table1[[#This Row],[Total in "Village" scene]]+Table1[[#This Row],[Total in "Castle" scene]]+Table1[[#This Row],[Total in "Dark" scene]]</f>
        <v>5</v>
      </c>
      <c r="U38" s="99">
        <f>ROUND((Table1[[#This Row],[Total in the game]]/SUM(Table1[Total in the game]))*100,1)</f>
        <v>0.1</v>
      </c>
      <c r="V38" s="154" t="str">
        <f>Table1[[#This Row],[Content Sku]]</f>
        <v>CentipedeRed</v>
      </c>
      <c r="W38" s="158" t="s">
        <v>2668</v>
      </c>
      <c r="X38" s="115" t="s">
        <v>328</v>
      </c>
      <c r="Y38" s="119" t="s">
        <v>328</v>
      </c>
      <c r="Z38" s="119" t="s">
        <v>328</v>
      </c>
    </row>
    <row r="39" spans="4:26" x14ac:dyDescent="0.25">
      <c r="D39" s="78" t="s">
        <v>14</v>
      </c>
      <c r="E39" s="78" t="s">
        <v>70</v>
      </c>
      <c r="F39" s="78" t="s">
        <v>6</v>
      </c>
      <c r="G39" s="103">
        <v>210</v>
      </c>
      <c r="H39" s="103">
        <v>210</v>
      </c>
      <c r="I39" s="108">
        <v>15</v>
      </c>
      <c r="J39" s="93">
        <v>83</v>
      </c>
      <c r="K39" s="93">
        <v>1</v>
      </c>
      <c r="L39" s="93">
        <v>1</v>
      </c>
      <c r="M39" s="93" t="s">
        <v>8</v>
      </c>
      <c r="N39" s="104">
        <f>COUNTIF(Table7[Spawner],Table1[[#This Row],[Spawner Prefab]])</f>
        <v>11</v>
      </c>
      <c r="O39" s="96">
        <f>ROUND((Table1[[#This Row],[Total in "Village" scene]]/SUM(Table1[Total in "Village" scene]))*100,1)</f>
        <v>0.4</v>
      </c>
      <c r="P39" s="110">
        <f>COUNTIF(Table15[Spawner],Table1[[#This Row],[Spawner Prefab]])</f>
        <v>0</v>
      </c>
      <c r="Q39" s="100">
        <f>ROUND((Table1[[#This Row],[Total in "Castle" scene]]/SUM(Table1[Total in "Castle" scene]))*100,1)</f>
        <v>0</v>
      </c>
      <c r="R39" s="105">
        <f>COUNTIF(Table20[Spawner],Table1[[#This Row],[Spawner Prefab]])</f>
        <v>0</v>
      </c>
      <c r="S39" s="97">
        <f>ROUND((Table1[[#This Row],[Total in "Dark" scene]]/SUM(Table1[Total in "Dark" scene]))*100,1)</f>
        <v>0</v>
      </c>
      <c r="T39" s="111">
        <f>Table1[[#This Row],[Total in "Village" scene]]+Table1[[#This Row],[Total in "Castle" scene]]+Table1[[#This Row],[Total in "Dark" scene]]</f>
        <v>11</v>
      </c>
      <c r="U39" s="99">
        <f>ROUND((Table1[[#This Row],[Total in the game]]/SUM(Table1[Total in the game]))*100,1)</f>
        <v>0.2</v>
      </c>
      <c r="V39" s="154" t="str">
        <f>Table1[[#This Row],[Content Sku]]</f>
        <v>Cow</v>
      </c>
      <c r="W39" s="161" t="s">
        <v>2770</v>
      </c>
      <c r="X39" s="115" t="s">
        <v>328</v>
      </c>
      <c r="Y39" s="115" t="s">
        <v>328</v>
      </c>
      <c r="Z39" s="115" t="s">
        <v>328</v>
      </c>
    </row>
    <row r="40" spans="4:26" x14ac:dyDescent="0.25">
      <c r="D40" s="78" t="s">
        <v>255</v>
      </c>
      <c r="E40" s="78" t="s">
        <v>70</v>
      </c>
      <c r="F40" s="78" t="s">
        <v>259</v>
      </c>
      <c r="G40" s="103">
        <v>210</v>
      </c>
      <c r="H40" s="103">
        <v>210</v>
      </c>
      <c r="I40" s="108">
        <v>15</v>
      </c>
      <c r="J40" s="93">
        <v>83</v>
      </c>
      <c r="K40" s="93">
        <v>1</v>
      </c>
      <c r="L40" s="93">
        <v>1</v>
      </c>
      <c r="M40" s="93" t="s">
        <v>8</v>
      </c>
      <c r="N40" s="104">
        <f>COUNTIF(Table7[Spawner],Table1[[#This Row],[Spawner Prefab]])</f>
        <v>0</v>
      </c>
      <c r="O40" s="96">
        <f>ROUND((Table1[[#This Row],[Total in "Village" scene]]/SUM(Table1[Total in "Village" scene]))*100,1)</f>
        <v>0</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0</v>
      </c>
      <c r="U40" s="99">
        <f>ROUND((Table1[[#This Row],[Total in the game]]/SUM(Table1[Total in the game]))*100,1)</f>
        <v>0</v>
      </c>
      <c r="V40" s="154" t="str">
        <f>Table1[[#This Row],[Content Sku]]</f>
        <v>Cow</v>
      </c>
      <c r="W40" s="160" t="s">
        <v>2666</v>
      </c>
      <c r="X40" s="147" t="s">
        <v>327</v>
      </c>
      <c r="Y40" s="147" t="s">
        <v>327</v>
      </c>
      <c r="Z40" s="147" t="s">
        <v>327</v>
      </c>
    </row>
    <row r="41" spans="4:26" x14ac:dyDescent="0.25">
      <c r="D41" s="78" t="s">
        <v>61</v>
      </c>
      <c r="E41" s="78" t="s">
        <v>118</v>
      </c>
      <c r="F41" s="78" t="s">
        <v>56</v>
      </c>
      <c r="G41" s="103">
        <v>240</v>
      </c>
      <c r="H41" s="103">
        <v>240</v>
      </c>
      <c r="I41" s="108">
        <v>30</v>
      </c>
      <c r="J41" s="93">
        <v>55</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13</v>
      </c>
      <c r="Q41" s="100">
        <f>ROUND((Table1[[#This Row],[Total in "Castle" scene]]/SUM(Table1[Total in "Castle" scene]))*100,1)</f>
        <v>0.7</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13</v>
      </c>
      <c r="U41" s="99">
        <f>ROUND((Table1[[#This Row],[Total in the game]]/SUM(Table1[Total in the game]))*100,1)</f>
        <v>0.2</v>
      </c>
      <c r="V41" s="154" t="str">
        <f>Table1[[#This Row],[Content Sku]]</f>
        <v>Crocodile</v>
      </c>
      <c r="W41" s="160" t="s">
        <v>2665</v>
      </c>
      <c r="X41" s="147" t="s">
        <v>328</v>
      </c>
      <c r="Y41" s="147" t="s">
        <v>328</v>
      </c>
      <c r="Z41" s="147" t="s">
        <v>328</v>
      </c>
    </row>
    <row r="42" spans="4:26" x14ac:dyDescent="0.25">
      <c r="D42" s="78" t="s">
        <v>62</v>
      </c>
      <c r="E42" s="78" t="s">
        <v>118</v>
      </c>
      <c r="F42" s="78" t="s">
        <v>57</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2</v>
      </c>
      <c r="Q42" s="100">
        <f>ROUND((Table1[[#This Row],[Total in "Castle" scene]]/SUM(Table1[Total in "Castle" scene]))*100,1)</f>
        <v>0.1</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2</v>
      </c>
      <c r="U42" s="99">
        <f>ROUND((Table1[[#This Row],[Total in the game]]/SUM(Table1[Total in the game]))*100,1)</f>
        <v>0</v>
      </c>
      <c r="V42" s="154" t="str">
        <f>Table1[[#This Row],[Content Sku]]</f>
        <v>Crocodile</v>
      </c>
      <c r="W42" s="158" t="s">
        <v>6</v>
      </c>
      <c r="X42" s="115" t="s">
        <v>327</v>
      </c>
      <c r="Y42" s="119" t="s">
        <v>327</v>
      </c>
      <c r="Z42" s="119" t="s">
        <v>327</v>
      </c>
    </row>
    <row r="43" spans="4:26" x14ac:dyDescent="0.25">
      <c r="D43" s="78" t="s">
        <v>95</v>
      </c>
      <c r="E43" s="78" t="s">
        <v>100</v>
      </c>
      <c r="F43" s="78" t="s">
        <v>94</v>
      </c>
      <c r="G43" s="103">
        <v>200</v>
      </c>
      <c r="H43" s="103">
        <v>200</v>
      </c>
      <c r="I43" s="108">
        <v>3</v>
      </c>
      <c r="J43" s="93">
        <v>25</v>
      </c>
      <c r="K43" s="93">
        <v>0</v>
      </c>
      <c r="L43" s="93">
        <v>0</v>
      </c>
      <c r="M43" s="93" t="s">
        <v>8</v>
      </c>
      <c r="N43" s="104">
        <f>COUNTIF(Table7[Spawner],Table1[[#This Row],[Spawner Prefab]])</f>
        <v>60</v>
      </c>
      <c r="O43" s="96">
        <f>ROUND((Table1[[#This Row],[Total in "Village" scene]]/SUM(Table1[Total in "Village" scene]))*100,1)</f>
        <v>2.4</v>
      </c>
      <c r="P43" s="110">
        <f>COUNTIF(Table15[Spawner],Table1[[#This Row],[Spawner Prefab]])</f>
        <v>39</v>
      </c>
      <c r="Q43" s="100">
        <f>ROUND((Table1[[#This Row],[Total in "Castle" scene]]/SUM(Table1[Total in "Castle" scene]))*100,1)</f>
        <v>2</v>
      </c>
      <c r="R43" s="105">
        <f>COUNTIF(Table20[Spawner],Table1[[#This Row],[Spawner Prefab]])</f>
        <v>42</v>
      </c>
      <c r="S43" s="97">
        <f>ROUND((Table1[[#This Row],[Total in "Dark" scene]]/SUM(Table1[Total in "Dark" scene]))*100,1)</f>
        <v>3.9</v>
      </c>
      <c r="T43" s="111">
        <f>Table1[[#This Row],[Total in "Village" scene]]+Table1[[#This Row],[Total in "Castle" scene]]+Table1[[#This Row],[Total in "Dark" scene]]</f>
        <v>141</v>
      </c>
      <c r="U43" s="99">
        <f>ROUND((Table1[[#This Row],[Total in the game]]/SUM(Table1[Total in the game]))*100,1)</f>
        <v>2.6</v>
      </c>
      <c r="V43" s="154" t="str">
        <f>Table1[[#This Row],[Content Sku]]</f>
        <v>Crow_Flock</v>
      </c>
      <c r="W43" s="158" t="s">
        <v>259</v>
      </c>
      <c r="X43" s="115" t="s">
        <v>327</v>
      </c>
      <c r="Y43" s="119" t="s">
        <v>327</v>
      </c>
      <c r="Z43" s="119" t="s">
        <v>327</v>
      </c>
    </row>
    <row r="44" spans="4:26" x14ac:dyDescent="0.25">
      <c r="D44" s="78" t="s">
        <v>445</v>
      </c>
      <c r="E44" s="78" t="s">
        <v>478</v>
      </c>
      <c r="F44" s="78" t="s">
        <v>446</v>
      </c>
      <c r="G44" s="103">
        <v>300</v>
      </c>
      <c r="H44" s="103">
        <v>300</v>
      </c>
      <c r="I44" s="108">
        <v>45</v>
      </c>
      <c r="J44" s="93">
        <v>105</v>
      </c>
      <c r="K44" s="93">
        <v>2</v>
      </c>
      <c r="L44" s="93">
        <v>2</v>
      </c>
      <c r="M44" s="93">
        <v>40</v>
      </c>
      <c r="N44" s="104">
        <f>COUNTIF(Table7[Spawner],Table1[[#This Row],[Spawner Prefab]])</f>
        <v>0</v>
      </c>
      <c r="O44" s="96">
        <f>ROUND((Table1[[#This Row],[Total in "Village" scene]]/SUM(Table1[Total in "Village" scene]))*100,1)</f>
        <v>0</v>
      </c>
      <c r="P44" s="110">
        <f>COUNTIF(Table15[Spawner],Table1[[#This Row],[Spawner Prefab]])</f>
        <v>13</v>
      </c>
      <c r="Q44" s="100">
        <f>ROUND((Table1[[#This Row],[Total in "Castle" scene]]/SUM(Table1[Total in "Castle" scene]))*100,1)</f>
        <v>0.7</v>
      </c>
      <c r="R44" s="105">
        <f>COUNTIF(Table20[Spawner],Table1[[#This Row],[Spawner Prefab]])</f>
        <v>0</v>
      </c>
      <c r="S44" s="97">
        <f>ROUND((Table1[[#This Row],[Total in "Dark" scene]]/SUM(Table1[Total in "Dark" scene]))*100,1)</f>
        <v>0</v>
      </c>
      <c r="T44" s="111">
        <f>Table1[[#This Row],[Total in "Village" scene]]+Table1[[#This Row],[Total in "Castle" scene]]+Table1[[#This Row],[Total in "Dark" scene]]</f>
        <v>13</v>
      </c>
      <c r="U44" s="99">
        <f>ROUND((Table1[[#This Row],[Total in the game]]/SUM(Table1[Total in the game]))*100,1)</f>
        <v>0.2</v>
      </c>
      <c r="V44" s="154" t="str">
        <f>Table1[[#This Row],[Content Sku]]</f>
        <v>Driller</v>
      </c>
      <c r="W44" s="158" t="s">
        <v>56</v>
      </c>
      <c r="X44" s="115" t="s">
        <v>328</v>
      </c>
      <c r="Y44" s="119" t="s">
        <v>328</v>
      </c>
      <c r="Z44" s="119" t="s">
        <v>328</v>
      </c>
    </row>
    <row r="45" spans="4:26" x14ac:dyDescent="0.25">
      <c r="D45" s="78" t="s">
        <v>47</v>
      </c>
      <c r="E45" s="78" t="s">
        <v>101</v>
      </c>
      <c r="F45" s="78" t="s">
        <v>454</v>
      </c>
      <c r="G45" s="103">
        <v>220</v>
      </c>
      <c r="H45" s="103">
        <v>220</v>
      </c>
      <c r="I45" s="108">
        <v>20</v>
      </c>
      <c r="J45" s="93">
        <v>50</v>
      </c>
      <c r="K45" s="93">
        <v>0</v>
      </c>
      <c r="L45" s="93">
        <v>0</v>
      </c>
      <c r="M45" s="93">
        <v>10</v>
      </c>
      <c r="N45" s="104">
        <f>COUNTIF(Table7[Spawner],Table1[[#This Row],[Spawner Prefab]])</f>
        <v>29</v>
      </c>
      <c r="O45" s="96">
        <f>ROUND((Table1[[#This Row],[Total in "Village" scene]]/SUM(Table1[Total in "Village" scene]))*100,1)</f>
        <v>1.2</v>
      </c>
      <c r="P45" s="110">
        <f>COUNTIF(Table15[Spawner],Table1[[#This Row],[Spawner Prefab]])</f>
        <v>10</v>
      </c>
      <c r="Q45" s="100">
        <f>ROUND((Table1[[#This Row],[Total in "Castle" scene]]/SUM(Table1[Total in "Castle" scene]))*100,1)</f>
        <v>0.5</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39</v>
      </c>
      <c r="U45" s="99">
        <f>ROUND((Table1[[#This Row],[Total in the game]]/SUM(Table1[Total in the game]))*100,1)</f>
        <v>0.7</v>
      </c>
      <c r="V45" s="154" t="str">
        <f>Table1[[#This Row],[Content Sku]]</f>
        <v>EnemyTier0</v>
      </c>
      <c r="W45" s="158" t="s">
        <v>57</v>
      </c>
      <c r="X45" s="115" t="s">
        <v>327</v>
      </c>
      <c r="Y45" s="119" t="s">
        <v>327</v>
      </c>
      <c r="Z45" s="119" t="s">
        <v>327</v>
      </c>
    </row>
    <row r="46" spans="4:26" x14ac:dyDescent="0.25">
      <c r="D46" s="78" t="s">
        <v>48</v>
      </c>
      <c r="E46" s="78" t="s">
        <v>102</v>
      </c>
      <c r="F46" s="78" t="s">
        <v>455</v>
      </c>
      <c r="G46" s="103">
        <v>240</v>
      </c>
      <c r="H46" s="103">
        <v>240</v>
      </c>
      <c r="I46" s="108">
        <v>40</v>
      </c>
      <c r="J46" s="93">
        <v>83</v>
      </c>
      <c r="K46" s="93">
        <v>1</v>
      </c>
      <c r="L46" s="93">
        <v>1</v>
      </c>
      <c r="M46" s="93">
        <v>20</v>
      </c>
      <c r="N46" s="104">
        <f>COUNTIF(Table7[Spawner],Table1[[#This Row],[Spawner Prefab]])</f>
        <v>13</v>
      </c>
      <c r="O46" s="96">
        <f>ROUND((Table1[[#This Row],[Total in "Village" scene]]/SUM(Table1[Total in "Village" scene]))*100,1)</f>
        <v>0.5</v>
      </c>
      <c r="P46" s="110">
        <f>COUNTIF(Table15[Spawner],Table1[[#This Row],[Spawner Prefab]])</f>
        <v>6</v>
      </c>
      <c r="Q46" s="100">
        <f>ROUND((Table1[[#This Row],[Total in "Castle" scene]]/SUM(Table1[Total in "Castle" scene]))*100,1)</f>
        <v>0.3</v>
      </c>
      <c r="R46" s="105">
        <f>COUNTIF(Table20[Spawner],Table1[[#This Row],[Spawner Prefab]])</f>
        <v>2</v>
      </c>
      <c r="S46" s="97">
        <f>ROUND((Table1[[#This Row],[Total in "Dark" scene]]/SUM(Table1[Total in "Dark" scene]))*100,1)</f>
        <v>0.2</v>
      </c>
      <c r="T46" s="111">
        <f>Table1[[#This Row],[Total in "Village" scene]]+Table1[[#This Row],[Total in "Castle" scene]]+Table1[[#This Row],[Total in "Dark" scene]]</f>
        <v>21</v>
      </c>
      <c r="U46" s="99">
        <f>ROUND((Table1[[#This Row],[Total in the game]]/SUM(Table1[Total in the game]))*100,1)</f>
        <v>0.4</v>
      </c>
      <c r="V46" s="154" t="str">
        <f>Table1[[#This Row],[Content Sku]]</f>
        <v>EnemyTier1</v>
      </c>
      <c r="W46" s="158" t="s">
        <v>94</v>
      </c>
      <c r="X46" s="115" t="s">
        <v>327</v>
      </c>
      <c r="Y46" s="119" t="s">
        <v>327</v>
      </c>
      <c r="Z46" s="119" t="s">
        <v>327</v>
      </c>
    </row>
    <row r="47" spans="4:26" x14ac:dyDescent="0.25">
      <c r="D47" s="78" t="s">
        <v>49</v>
      </c>
      <c r="E47" s="78" t="s">
        <v>103</v>
      </c>
      <c r="F47" s="78" t="s">
        <v>456</v>
      </c>
      <c r="G47" s="103">
        <v>260</v>
      </c>
      <c r="H47" s="103">
        <v>260</v>
      </c>
      <c r="I47" s="108">
        <v>80</v>
      </c>
      <c r="J47" s="93">
        <v>105</v>
      </c>
      <c r="K47" s="93">
        <v>2</v>
      </c>
      <c r="L47" s="93">
        <v>2</v>
      </c>
      <c r="M47" s="93">
        <v>40</v>
      </c>
      <c r="N47" s="104">
        <f>COUNTIF(Table7[Spawner],Table1[[#This Row],[Spawner Prefab]])</f>
        <v>10</v>
      </c>
      <c r="O47" s="96">
        <f>ROUND((Table1[[#This Row],[Total in "Village" scene]]/SUM(Table1[Total in "Village" scene]))*100,1)</f>
        <v>0.4</v>
      </c>
      <c r="P47" s="110">
        <f>COUNTIF(Table15[Spawner],Table1[[#This Row],[Spawner Prefab]])</f>
        <v>15</v>
      </c>
      <c r="Q47" s="100">
        <f>ROUND((Table1[[#This Row],[Total in "Castle" scene]]/SUM(Table1[Total in "Castle" scene]))*100,1)</f>
        <v>0.8</v>
      </c>
      <c r="R47" s="105">
        <f>COUNTIF(Table20[Spawner],Table1[[#This Row],[Spawner Prefab]])</f>
        <v>5</v>
      </c>
      <c r="S47" s="97">
        <f>ROUND((Table1[[#This Row],[Total in "Dark" scene]]/SUM(Table1[Total in "Dark" scene]))*100,1)</f>
        <v>0.5</v>
      </c>
      <c r="T47" s="111">
        <f>Table1[[#This Row],[Total in "Village" scene]]+Table1[[#This Row],[Total in "Castle" scene]]+Table1[[#This Row],[Total in "Dark" scene]]</f>
        <v>30</v>
      </c>
      <c r="U47" s="99">
        <f>ROUND((Table1[[#This Row],[Total in the game]]/SUM(Table1[Total in the game]))*100,1)</f>
        <v>0.5</v>
      </c>
      <c r="V47" s="154" t="str">
        <f>Table1[[#This Row],[Content Sku]]</f>
        <v>EnemyTier2</v>
      </c>
      <c r="W47" s="158" t="s">
        <v>446</v>
      </c>
      <c r="X47" s="115" t="s">
        <v>328</v>
      </c>
      <c r="Y47" s="119" t="s">
        <v>328</v>
      </c>
      <c r="Z47" s="119" t="s">
        <v>328</v>
      </c>
    </row>
    <row r="48" spans="4:26" x14ac:dyDescent="0.25">
      <c r="D48" s="78" t="s">
        <v>50</v>
      </c>
      <c r="E48" s="78" t="s">
        <v>104</v>
      </c>
      <c r="F48" s="78" t="s">
        <v>457</v>
      </c>
      <c r="G48" s="103">
        <v>280</v>
      </c>
      <c r="H48" s="103">
        <v>280</v>
      </c>
      <c r="I48" s="108">
        <v>100</v>
      </c>
      <c r="J48" s="93">
        <v>143</v>
      </c>
      <c r="K48" s="93">
        <v>3</v>
      </c>
      <c r="L48" s="93">
        <v>3</v>
      </c>
      <c r="M48" s="93">
        <v>50</v>
      </c>
      <c r="N48" s="104">
        <f>COUNTIF(Table7[Spawner],Table1[[#This Row],[Spawner Prefab]])</f>
        <v>17</v>
      </c>
      <c r="O48" s="96">
        <f>ROUND((Table1[[#This Row],[Total in "Village" scene]]/SUM(Table1[Total in "Village" scene]))*100,1)</f>
        <v>0.7</v>
      </c>
      <c r="P48" s="110">
        <f>COUNTIF(Table15[Spawner],Table1[[#This Row],[Spawner Prefab]])</f>
        <v>14</v>
      </c>
      <c r="Q48" s="100">
        <f>ROUND((Table1[[#This Row],[Total in "Castle" scene]]/SUM(Table1[Total in "Castle" scene]))*100,1)</f>
        <v>0.7</v>
      </c>
      <c r="R48" s="105">
        <f>COUNTIF(Table20[Spawner],Table1[[#This Row],[Spawner Prefab]])</f>
        <v>8</v>
      </c>
      <c r="S48" s="97">
        <f>ROUND((Table1[[#This Row],[Total in "Dark" scene]]/SUM(Table1[Total in "Dark" scene]))*100,1)</f>
        <v>0.8</v>
      </c>
      <c r="T48" s="111">
        <f>Table1[[#This Row],[Total in "Village" scene]]+Table1[[#This Row],[Total in "Castle" scene]]+Table1[[#This Row],[Total in "Dark" scene]]</f>
        <v>39</v>
      </c>
      <c r="U48" s="99">
        <f>ROUND((Table1[[#This Row],[Total in the game]]/SUM(Table1[Total in the game]))*100,1)</f>
        <v>0.7</v>
      </c>
      <c r="V48" s="154" t="str">
        <f>Table1[[#This Row],[Content Sku]]</f>
        <v>EnemyTier3</v>
      </c>
      <c r="W48" s="158" t="s">
        <v>391</v>
      </c>
      <c r="X48" s="115" t="s">
        <v>327</v>
      </c>
      <c r="Y48" s="119" t="s">
        <v>327</v>
      </c>
      <c r="Z48" s="119" t="s">
        <v>327</v>
      </c>
    </row>
    <row r="49" spans="4:26" x14ac:dyDescent="0.25">
      <c r="D49" s="78" t="s">
        <v>51</v>
      </c>
      <c r="E49" s="78" t="s">
        <v>105</v>
      </c>
      <c r="F49" s="78" t="s">
        <v>458</v>
      </c>
      <c r="G49" s="103">
        <v>300</v>
      </c>
      <c r="H49" s="103">
        <v>300</v>
      </c>
      <c r="I49" s="108">
        <v>120</v>
      </c>
      <c r="J49" s="93">
        <v>130</v>
      </c>
      <c r="K49" s="93">
        <v>4</v>
      </c>
      <c r="L49" s="93">
        <v>4</v>
      </c>
      <c r="M49" s="93">
        <v>60</v>
      </c>
      <c r="N49" s="104">
        <f>COUNTIF(Table7[Spawner],Table1[[#This Row],[Spawner Prefab]])</f>
        <v>7</v>
      </c>
      <c r="O49" s="96">
        <f>ROUND((Table1[[#This Row],[Total in "Village" scene]]/SUM(Table1[Total in "Village" scene]))*100,1)</f>
        <v>0.3</v>
      </c>
      <c r="P49" s="110">
        <f>COUNTIF(Table15[Spawner],Table1[[#This Row],[Spawner Prefab]])</f>
        <v>6</v>
      </c>
      <c r="Q49" s="100">
        <f>ROUND((Table1[[#This Row],[Total in "Castle" scene]]/SUM(Table1[Total in "Castle" scene]))*100,1)</f>
        <v>0.3</v>
      </c>
      <c r="R49" s="105">
        <f>COUNTIF(Table20[Spawner],Table1[[#This Row],[Spawner Prefab]])</f>
        <v>4</v>
      </c>
      <c r="S49" s="97">
        <f>ROUND((Table1[[#This Row],[Total in "Dark" scene]]/SUM(Table1[Total in "Dark" scene]))*100,1)</f>
        <v>0.4</v>
      </c>
      <c r="T49" s="111">
        <f>Table1[[#This Row],[Total in "Village" scene]]+Table1[[#This Row],[Total in "Castle" scene]]+Table1[[#This Row],[Total in "Dark" scene]]</f>
        <v>17</v>
      </c>
      <c r="U49" s="99">
        <f>ROUND((Table1[[#This Row],[Total in the game]]/SUM(Table1[Total in the game]))*100,1)</f>
        <v>0.3</v>
      </c>
      <c r="V49" s="154" t="str">
        <f>Table1[[#This Row],[Content Sku]]</f>
        <v>EnemyTier4</v>
      </c>
      <c r="W49" s="158" t="s">
        <v>454</v>
      </c>
      <c r="X49" s="115" t="s">
        <v>328</v>
      </c>
      <c r="Y49" s="119" t="s">
        <v>328</v>
      </c>
      <c r="Z49" s="119" t="s">
        <v>328</v>
      </c>
    </row>
    <row r="50" spans="4:26" x14ac:dyDescent="0.25">
      <c r="D50" s="78" t="s">
        <v>399</v>
      </c>
      <c r="E50" s="78" t="s">
        <v>414</v>
      </c>
      <c r="F50" s="78" t="s">
        <v>400</v>
      </c>
      <c r="G50" s="103">
        <v>140</v>
      </c>
      <c r="H50" s="103">
        <v>140</v>
      </c>
      <c r="I50" s="108">
        <v>30</v>
      </c>
      <c r="J50" s="93">
        <v>28</v>
      </c>
      <c r="K50" s="93">
        <v>1</v>
      </c>
      <c r="L50" s="93">
        <v>1</v>
      </c>
      <c r="M50" s="93" t="s">
        <v>8</v>
      </c>
      <c r="N50" s="104">
        <f>COUNTIF(Table7[Spawner],Table1[[#This Row],[Spawner Prefab]])</f>
        <v>7</v>
      </c>
      <c r="O50" s="96">
        <f>ROUND((Table1[[#This Row],[Total in "Village" scene]]/SUM(Table1[Total in "Village" scene]))*100,1)</f>
        <v>0.3</v>
      </c>
      <c r="P50" s="110">
        <f>COUNTIF(Table15[Spawner],Table1[[#This Row],[Spawner Prefab]])</f>
        <v>18</v>
      </c>
      <c r="Q50" s="100">
        <f>ROUND((Table1[[#This Row],[Total in "Castle" scene]]/SUM(Table1[Total in "Castle" scene]))*100,1)</f>
        <v>0.9</v>
      </c>
      <c r="R50" s="105">
        <f>COUNTIF(Table20[Spawner],Table1[[#This Row],[Spawner Prefab]])</f>
        <v>14</v>
      </c>
      <c r="S50" s="97">
        <f>ROUND((Table1[[#This Row],[Total in "Dark" scene]]/SUM(Table1[Total in "Dark" scene]))*100,1)</f>
        <v>1.3</v>
      </c>
      <c r="T50" s="111">
        <f>Table1[[#This Row],[Total in "Village" scene]]+Table1[[#This Row],[Total in "Castle" scene]]+Table1[[#This Row],[Total in "Dark" scene]]</f>
        <v>39</v>
      </c>
      <c r="U50" s="99">
        <f>ROUND((Table1[[#This Row],[Total in the game]]/SUM(Table1[Total in the game]))*100,1)</f>
        <v>0.7</v>
      </c>
      <c r="V50" s="154" t="str">
        <f>Table1[[#This Row],[Content Sku]]</f>
        <v>FairyBig</v>
      </c>
      <c r="W50" s="158" t="s">
        <v>455</v>
      </c>
      <c r="X50" s="115" t="s">
        <v>328</v>
      </c>
      <c r="Y50" s="119" t="s">
        <v>328</v>
      </c>
      <c r="Z50" s="119" t="s">
        <v>328</v>
      </c>
    </row>
    <row r="51" spans="4:26" x14ac:dyDescent="0.25">
      <c r="D51" s="78" t="s">
        <v>401</v>
      </c>
      <c r="E51" s="78" t="s">
        <v>415</v>
      </c>
      <c r="F51" s="78" t="s">
        <v>402</v>
      </c>
      <c r="G51" s="103">
        <v>140</v>
      </c>
      <c r="H51" s="103">
        <v>140</v>
      </c>
      <c r="I51" s="108">
        <v>6</v>
      </c>
      <c r="J51" s="93">
        <v>25</v>
      </c>
      <c r="K51" s="93">
        <v>0</v>
      </c>
      <c r="L51" s="93">
        <v>0</v>
      </c>
      <c r="M51" s="93" t="s">
        <v>8</v>
      </c>
      <c r="N51" s="104">
        <f>COUNTIF(Table7[Spawner],Table1[[#This Row],[Spawner Prefab]])</f>
        <v>18</v>
      </c>
      <c r="O51" s="96">
        <f>ROUND((Table1[[#This Row],[Total in "Village" scene]]/SUM(Table1[Total in "Village" scene]))*100,1)</f>
        <v>0.7</v>
      </c>
      <c r="P51" s="110">
        <f>COUNTIF(Table15[Spawner],Table1[[#This Row],[Spawner Prefab]])</f>
        <v>27</v>
      </c>
      <c r="Q51" s="100">
        <f>ROUND((Table1[[#This Row],[Total in "Castle" scene]]/SUM(Table1[Total in "Castle" scene]))*100,1)</f>
        <v>1.4</v>
      </c>
      <c r="R51" s="105">
        <f>COUNTIF(Table20[Spawner],Table1[[#This Row],[Spawner Prefab]])</f>
        <v>14</v>
      </c>
      <c r="S51" s="97">
        <f>ROUND((Table1[[#This Row],[Total in "Dark" scene]]/SUM(Table1[Total in "Dark" scene]))*100,1)</f>
        <v>1.3</v>
      </c>
      <c r="T51" s="111">
        <f>Table1[[#This Row],[Total in "Village" scene]]+Table1[[#This Row],[Total in "Castle" scene]]+Table1[[#This Row],[Total in "Dark" scene]]</f>
        <v>59</v>
      </c>
      <c r="U51" s="99">
        <f>ROUND((Table1[[#This Row],[Total in the game]]/SUM(Table1[Total in the game]))*100,1)</f>
        <v>1.1000000000000001</v>
      </c>
      <c r="V51" s="154" t="str">
        <f>Table1[[#This Row],[Content Sku]]</f>
        <v>FairySmall</v>
      </c>
      <c r="W51" s="158" t="s">
        <v>456</v>
      </c>
      <c r="X51" s="115" t="s">
        <v>328</v>
      </c>
      <c r="Y51" s="119" t="s">
        <v>328</v>
      </c>
      <c r="Z51" s="119" t="s">
        <v>328</v>
      </c>
    </row>
    <row r="52" spans="4:26" x14ac:dyDescent="0.25">
      <c r="D52" s="78" t="s">
        <v>2669</v>
      </c>
      <c r="E52" s="78" t="s">
        <v>2643</v>
      </c>
      <c r="F52" s="78" t="s">
        <v>2664</v>
      </c>
      <c r="G52" s="103">
        <v>110</v>
      </c>
      <c r="H52" s="103">
        <v>110</v>
      </c>
      <c r="I52" s="108">
        <v>13</v>
      </c>
      <c r="J52" s="93">
        <v>40</v>
      </c>
      <c r="K52" s="93">
        <v>2</v>
      </c>
      <c r="L52" s="93">
        <v>2</v>
      </c>
      <c r="M52" s="93" t="s">
        <v>8</v>
      </c>
      <c r="N52" s="104">
        <f>COUNTIF(Table7[Spawner],Table1[[#This Row],[Spawner Prefab]])</f>
        <v>0</v>
      </c>
      <c r="O52" s="96">
        <f>ROUND((Table1[[#This Row],[Total in "Village" scene]]/SUM(Table1[Total in "Village" scene]))*100,1)</f>
        <v>0</v>
      </c>
      <c r="P52" s="110">
        <f>COUNTIF(Table15[Spawner],Table1[[#This Row],[Spawner Prefab]])</f>
        <v>0</v>
      </c>
      <c r="Q52" s="100">
        <f>ROUND((Table1[[#This Row],[Total in "Castle" scene]]/SUM(Table1[Total in "Castle" scene]))*100,1)</f>
        <v>0</v>
      </c>
      <c r="R52" s="105">
        <f>COUNTIF(Table20[Spawner],Table1[[#This Row],[Spawner Prefab]])</f>
        <v>43</v>
      </c>
      <c r="S52" s="97">
        <f>ROUND((Table1[[#This Row],[Total in "Dark" scene]]/SUM(Table1[Total in "Dark" scene]))*100,1)</f>
        <v>4</v>
      </c>
      <c r="T52" s="111">
        <f>Table1[[#This Row],[Total in "Village" scene]]+Table1[[#This Row],[Total in "Castle" scene]]+Table1[[#This Row],[Total in "Dark" scene]]</f>
        <v>43</v>
      </c>
      <c r="U52" s="99">
        <f>ROUND((Table1[[#This Row],[Total in the game]]/SUM(Table1[Total in the game]))*100,1)</f>
        <v>0.8</v>
      </c>
      <c r="V52" s="154" t="str">
        <f>Table1[[#This Row],[Content Sku]]</f>
        <v>Firefly</v>
      </c>
      <c r="W52" s="158" t="s">
        <v>457</v>
      </c>
      <c r="X52" s="115" t="s">
        <v>328</v>
      </c>
      <c r="Y52" s="119" t="s">
        <v>328</v>
      </c>
      <c r="Z52" s="119" t="s">
        <v>328</v>
      </c>
    </row>
    <row r="53" spans="4:26" x14ac:dyDescent="0.25">
      <c r="D53" s="78" t="s">
        <v>63</v>
      </c>
      <c r="E53" s="78" t="s">
        <v>119</v>
      </c>
      <c r="F53" s="78" t="s">
        <v>58</v>
      </c>
      <c r="G53" s="103">
        <v>100</v>
      </c>
      <c r="H53" s="103">
        <v>100</v>
      </c>
      <c r="I53" s="108">
        <v>2</v>
      </c>
      <c r="J53" s="93">
        <v>25</v>
      </c>
      <c r="K53" s="93">
        <v>0</v>
      </c>
      <c r="L53" s="93">
        <v>0</v>
      </c>
      <c r="M53" s="93" t="s">
        <v>8</v>
      </c>
      <c r="N53" s="104">
        <f>COUNTIF(Table7[Spawner],Table1[[#This Row],[Spawner Prefab]])</f>
        <v>16</v>
      </c>
      <c r="O53" s="96">
        <f>ROUND((Table1[[#This Row],[Total in "Village" scene]]/SUM(Table1[Total in "Village" scene]))*100,1)</f>
        <v>0.7</v>
      </c>
      <c r="P53" s="110">
        <f>COUNTIF(Table15[Spawner],Table1[[#This Row],[Spawner Prefab]])</f>
        <v>4</v>
      </c>
      <c r="Q53" s="100">
        <f>ROUND((Table1[[#This Row],[Total in "Castle" scene]]/SUM(Table1[Total in "Castle" scene]))*100,1)</f>
        <v>0.2</v>
      </c>
      <c r="R53" s="105">
        <f>COUNTIF(Table20[Spawner],Table1[[#This Row],[Spawner Prefab]])</f>
        <v>0</v>
      </c>
      <c r="S53" s="97">
        <f>ROUND((Table1[[#This Row],[Total in "Dark" scene]]/SUM(Table1[Total in "Dark" scene]))*100,1)</f>
        <v>0</v>
      </c>
      <c r="T53" s="111">
        <f>Table1[[#This Row],[Total in "Village" scene]]+Table1[[#This Row],[Total in "Castle" scene]]+Table1[[#This Row],[Total in "Dark" scene]]</f>
        <v>20</v>
      </c>
      <c r="U53" s="99">
        <f>ROUND((Table1[[#This Row],[Total in the game]]/SUM(Table1[Total in the game]))*100,1)</f>
        <v>0.4</v>
      </c>
      <c r="V53" s="154" t="s">
        <v>3847</v>
      </c>
      <c r="W53" s="158" t="s">
        <v>458</v>
      </c>
      <c r="X53" s="115" t="s">
        <v>328</v>
      </c>
      <c r="Y53" s="119" t="s">
        <v>328</v>
      </c>
      <c r="Z53" s="119" t="s">
        <v>328</v>
      </c>
    </row>
    <row r="54" spans="4:26" x14ac:dyDescent="0.25">
      <c r="D54" s="78" t="s">
        <v>64</v>
      </c>
      <c r="E54" s="78" t="s">
        <v>120</v>
      </c>
      <c r="F54" s="78" t="s">
        <v>59</v>
      </c>
      <c r="G54" s="103">
        <v>100</v>
      </c>
      <c r="H54" s="103">
        <v>100</v>
      </c>
      <c r="I54" s="108">
        <v>2</v>
      </c>
      <c r="J54" s="93">
        <v>25</v>
      </c>
      <c r="K54" s="93">
        <v>0</v>
      </c>
      <c r="L54" s="93">
        <v>0</v>
      </c>
      <c r="M54" s="93" t="s">
        <v>8</v>
      </c>
      <c r="N54" s="104">
        <f>COUNTIF(Table7[Spawner],Table1[[#This Row],[Spawner Prefab]])</f>
        <v>0</v>
      </c>
      <c r="O54" s="96">
        <f>ROUND((Table1[[#This Row],[Total in "Village" scene]]/SUM(Table1[Total in "Village" scene]))*100,1)</f>
        <v>0</v>
      </c>
      <c r="P54" s="110">
        <f>COUNTIF(Table15[Spawner],Table1[[#This Row],[Spawner Prefab]])</f>
        <v>2</v>
      </c>
      <c r="Q54" s="100">
        <f>ROUND((Table1[[#This Row],[Total in "Castle" scene]]/SUM(Table1[Total in "Castle" scene]))*100,1)</f>
        <v>0.1</v>
      </c>
      <c r="R54" s="105">
        <f>COUNTIF(Table20[Spawner],Table1[[#This Row],[Spawner Prefab]])</f>
        <v>0</v>
      </c>
      <c r="S54" s="97">
        <f>ROUND((Table1[[#This Row],[Total in "Dark" scene]]/SUM(Table1[Total in "Dark" scene]))*100,1)</f>
        <v>0</v>
      </c>
      <c r="T54" s="111">
        <f>Table1[[#This Row],[Total in "Village" scene]]+Table1[[#This Row],[Total in "Castle" scene]]+Table1[[#This Row],[Total in "Dark" scene]]</f>
        <v>2</v>
      </c>
      <c r="U54" s="99">
        <f>ROUND((Table1[[#This Row],[Total in the game]]/SUM(Table1[Total in the game]))*100,1)</f>
        <v>0</v>
      </c>
      <c r="V54" s="154" t="s">
        <v>3847</v>
      </c>
      <c r="W54" s="158" t="s">
        <v>400</v>
      </c>
      <c r="X54" s="115" t="s">
        <v>327</v>
      </c>
      <c r="Y54" s="119" t="s">
        <v>327</v>
      </c>
      <c r="Z54" s="119" t="s">
        <v>327</v>
      </c>
    </row>
    <row r="55" spans="4:26" x14ac:dyDescent="0.25">
      <c r="D55" s="78" t="s">
        <v>65</v>
      </c>
      <c r="E55" s="78" t="s">
        <v>121</v>
      </c>
      <c r="F55" s="78" t="s">
        <v>60</v>
      </c>
      <c r="G55" s="103">
        <v>100</v>
      </c>
      <c r="H55" s="103">
        <v>100</v>
      </c>
      <c r="I55" s="108">
        <v>2</v>
      </c>
      <c r="J55" s="93">
        <v>25</v>
      </c>
      <c r="K55" s="93">
        <v>0</v>
      </c>
      <c r="L55" s="93">
        <v>0</v>
      </c>
      <c r="M55" s="93" t="s">
        <v>8</v>
      </c>
      <c r="N55" s="104">
        <f>COUNTIF(Table7[Spawner],Table1[[#This Row],[Spawner Prefab]])</f>
        <v>0</v>
      </c>
      <c r="O55" s="96">
        <f>ROUND((Table1[[#This Row],[Total in "Village" scene]]/SUM(Table1[Total in "Village" scene]))*100,1)</f>
        <v>0</v>
      </c>
      <c r="P55" s="110">
        <f>COUNTIF(Table15[Spawner],Table1[[#This Row],[Spawner Prefab]])</f>
        <v>1</v>
      </c>
      <c r="Q55" s="100">
        <f>ROUND((Table1[[#This Row],[Total in "Castle" scene]]/SUM(Table1[Total in "Castle" scene]))*100,1)</f>
        <v>0.1</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v>
      </c>
      <c r="U55" s="99">
        <f>ROUND((Table1[[#This Row],[Total in the game]]/SUM(Table1[Total in the game]))*100,1)</f>
        <v>0</v>
      </c>
      <c r="V55" s="154" t="s">
        <v>3847</v>
      </c>
      <c r="W55" s="158" t="s">
        <v>402</v>
      </c>
      <c r="X55" s="115" t="s">
        <v>327</v>
      </c>
      <c r="Y55" s="119" t="s">
        <v>327</v>
      </c>
      <c r="Z55" s="119" t="s">
        <v>327</v>
      </c>
    </row>
    <row r="56" spans="4:26" ht="15" customHeight="1" x14ac:dyDescent="0.25">
      <c r="D56" s="78" t="s">
        <v>2683</v>
      </c>
      <c r="E56" s="78" t="s">
        <v>2644</v>
      </c>
      <c r="F56" s="78" t="s">
        <v>2688</v>
      </c>
      <c r="G56" s="103">
        <v>240</v>
      </c>
      <c r="H56" s="103">
        <v>240</v>
      </c>
      <c r="I56" s="108">
        <v>14</v>
      </c>
      <c r="J56" s="93">
        <v>50</v>
      </c>
      <c r="K56" s="93">
        <v>0</v>
      </c>
      <c r="L56" s="93">
        <v>0</v>
      </c>
      <c r="M56" s="93" t="s">
        <v>8</v>
      </c>
      <c r="N56" s="104">
        <f>COUNTIF(Table7[Spawner],Table1[[#This Row],[Spawner Prefab]])</f>
        <v>0</v>
      </c>
      <c r="O56" s="96">
        <f>ROUND((Table1[[#This Row],[Total in "Village" scene]]/SUM(Table1[Total in "Village" scene]))*100,1)</f>
        <v>0</v>
      </c>
      <c r="P56" s="110">
        <f>COUNTIF(Table15[Spawner],Table1[[#This Row],[Spawner Prefab]])</f>
        <v>0</v>
      </c>
      <c r="Q56" s="100">
        <f>ROUND((Table1[[#This Row],[Total in "Castle" scene]]/SUM(Table1[Total in "Castle" scene]))*100,1)</f>
        <v>0</v>
      </c>
      <c r="R56" s="105">
        <f>COUNTIF(Table20[Spawner],Table1[[#This Row],[Spawner Prefab]])</f>
        <v>13</v>
      </c>
      <c r="S56" s="97">
        <f>ROUND((Table1[[#This Row],[Total in "Dark" scene]]/SUM(Table1[Total in "Dark" scene]))*100,1)</f>
        <v>1.2</v>
      </c>
      <c r="T56" s="111">
        <f>Table1[[#This Row],[Total in "Village" scene]]+Table1[[#This Row],[Total in "Castle" scene]]+Table1[[#This Row],[Total in "Dark" scene]]</f>
        <v>13</v>
      </c>
      <c r="U56" s="99">
        <f>ROUND((Table1[[#This Row],[Total in the game]]/SUM(Table1[Total in the game]))*100,1)</f>
        <v>0.2</v>
      </c>
      <c r="V56" s="154" t="s">
        <v>3847</v>
      </c>
      <c r="W56" s="160" t="s">
        <v>2664</v>
      </c>
      <c r="X56" s="147" t="s">
        <v>327</v>
      </c>
      <c r="Y56" s="147" t="s">
        <v>327</v>
      </c>
      <c r="Z56" s="147" t="s">
        <v>327</v>
      </c>
    </row>
    <row r="57" spans="4:26" x14ac:dyDescent="0.25">
      <c r="D57" s="78" t="s">
        <v>2686</v>
      </c>
      <c r="E57" s="78" t="s">
        <v>2644</v>
      </c>
      <c r="F57" s="78" t="s">
        <v>2689</v>
      </c>
      <c r="G57" s="103">
        <v>240</v>
      </c>
      <c r="H57" s="103">
        <v>240</v>
      </c>
      <c r="I57" s="108">
        <v>14</v>
      </c>
      <c r="J57" s="93">
        <v>50</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0</v>
      </c>
      <c r="Q57" s="100">
        <f>ROUND((Table1[[#This Row],[Total in "Castle" scene]]/SUM(Table1[Total in "Castle" scene]))*100,1)</f>
        <v>0</v>
      </c>
      <c r="R57" s="105">
        <f>COUNTIF(Table20[Spawner],Table1[[#This Row],[Spawner Prefab]])</f>
        <v>4</v>
      </c>
      <c r="S57" s="97">
        <f>ROUND((Table1[[#This Row],[Total in "Dark" scene]]/SUM(Table1[Total in "Dark" scene]))*100,1)</f>
        <v>0.4</v>
      </c>
      <c r="T57" s="111">
        <f>Table1[[#This Row],[Total in "Village" scene]]+Table1[[#This Row],[Total in "Castle" scene]]+Table1[[#This Row],[Total in "Dark" scene]]</f>
        <v>4</v>
      </c>
      <c r="U57" s="99">
        <f>ROUND((Table1[[#This Row],[Total in the game]]/SUM(Table1[Total in the game]))*100,1)</f>
        <v>0.1</v>
      </c>
      <c r="V57" s="154" t="s">
        <v>3847</v>
      </c>
      <c r="W57" s="158" t="s">
        <v>58</v>
      </c>
      <c r="X57" s="115" t="s">
        <v>327</v>
      </c>
      <c r="Y57" s="119" t="s">
        <v>327</v>
      </c>
      <c r="Z57" s="119" t="s">
        <v>327</v>
      </c>
    </row>
    <row r="58" spans="4:26" x14ac:dyDescent="0.25">
      <c r="D58" s="78" t="s">
        <v>2681</v>
      </c>
      <c r="E58" s="78" t="s">
        <v>2644</v>
      </c>
      <c r="F58" s="78" t="s">
        <v>2690</v>
      </c>
      <c r="G58" s="103">
        <v>240</v>
      </c>
      <c r="H58" s="103">
        <v>240</v>
      </c>
      <c r="I58" s="108">
        <v>14</v>
      </c>
      <c r="J58" s="93">
        <v>50</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0</v>
      </c>
      <c r="Q58" s="100">
        <f>ROUND((Table1[[#This Row],[Total in "Castle" scene]]/SUM(Table1[Total in "Castle" scene]))*100,1)</f>
        <v>0</v>
      </c>
      <c r="R58" s="105">
        <f>COUNTIF(Table20[Spawner],Table1[[#This Row],[Spawner Prefab]])</f>
        <v>14</v>
      </c>
      <c r="S58" s="97">
        <f>ROUND((Table1[[#This Row],[Total in "Dark" scene]]/SUM(Table1[Total in "Dark" scene]))*100,1)</f>
        <v>1.3</v>
      </c>
      <c r="T58" s="111">
        <f>Table1[[#This Row],[Total in "Village" scene]]+Table1[[#This Row],[Total in "Castle" scene]]+Table1[[#This Row],[Total in "Dark" scene]]</f>
        <v>14</v>
      </c>
      <c r="U58" s="99">
        <f>ROUND((Table1[[#This Row],[Total in the game]]/SUM(Table1[Total in the game]))*100,1)</f>
        <v>0.3</v>
      </c>
      <c r="V58" s="154" t="s">
        <v>3847</v>
      </c>
      <c r="W58" s="158" t="s">
        <v>59</v>
      </c>
      <c r="X58" s="115" t="s">
        <v>327</v>
      </c>
      <c r="Y58" s="119" t="s">
        <v>327</v>
      </c>
      <c r="Z58" s="119" t="s">
        <v>327</v>
      </c>
    </row>
    <row r="59" spans="4:26" x14ac:dyDescent="0.25">
      <c r="D59" s="78" t="s">
        <v>392</v>
      </c>
      <c r="E59" s="78" t="s">
        <v>119</v>
      </c>
      <c r="F59" s="78" t="s">
        <v>58</v>
      </c>
      <c r="G59" s="103">
        <v>100</v>
      </c>
      <c r="H59" s="103">
        <v>100</v>
      </c>
      <c r="I59" s="108">
        <v>2</v>
      </c>
      <c r="J59" s="93">
        <v>25</v>
      </c>
      <c r="K59" s="93">
        <v>0</v>
      </c>
      <c r="L59" s="93">
        <v>0</v>
      </c>
      <c r="M59" s="93" t="s">
        <v>8</v>
      </c>
      <c r="N59" s="104">
        <f>COUNTIF(Table7[Spawner],Table1[[#This Row],[Spawner Prefab]])</f>
        <v>22</v>
      </c>
      <c r="O59" s="96">
        <f>ROUND((Table1[[#This Row],[Total in "Village" scene]]/SUM(Table1[Total in "Village" scene]))*100,1)</f>
        <v>0.9</v>
      </c>
      <c r="P59" s="110">
        <f>COUNTIF(Table15[Spawner],Table1[[#This Row],[Spawner Prefab]])</f>
        <v>84</v>
      </c>
      <c r="Q59" s="100">
        <f>ROUND((Table1[[#This Row],[Total in "Castle" scene]]/SUM(Table1[Total in "Castle" scene]))*100,1)</f>
        <v>4.2</v>
      </c>
      <c r="R59" s="105">
        <f>COUNTIF(Table20[Spawner],Table1[[#This Row],[Spawner Prefab]])</f>
        <v>0</v>
      </c>
      <c r="S59" s="97">
        <f>ROUND((Table1[[#This Row],[Total in "Dark" scene]]/SUM(Table1[Total in "Dark" scene]))*100,1)</f>
        <v>0</v>
      </c>
      <c r="T59" s="111">
        <f>Table1[[#This Row],[Total in "Village" scene]]+Table1[[#This Row],[Total in "Castle" scene]]+Table1[[#This Row],[Total in "Dark" scene]]</f>
        <v>106</v>
      </c>
      <c r="U59" s="99">
        <f>ROUND((Table1[[#This Row],[Total in the game]]/SUM(Table1[Total in the game]))*100,1)</f>
        <v>1.9</v>
      </c>
      <c r="V59" s="154" t="s">
        <v>3847</v>
      </c>
      <c r="W59" s="158" t="s">
        <v>60</v>
      </c>
      <c r="X59" s="115" t="s">
        <v>327</v>
      </c>
      <c r="Y59" s="119" t="s">
        <v>327</v>
      </c>
      <c r="Z59" s="119" t="s">
        <v>327</v>
      </c>
    </row>
    <row r="60" spans="4:26" x14ac:dyDescent="0.25">
      <c r="D60" s="78" t="s">
        <v>404</v>
      </c>
      <c r="E60" s="78" t="s">
        <v>403</v>
      </c>
      <c r="F60" s="78" t="s">
        <v>405</v>
      </c>
      <c r="G60" s="103">
        <v>140</v>
      </c>
      <c r="H60" s="103">
        <v>140</v>
      </c>
      <c r="I60" s="108">
        <v>6</v>
      </c>
      <c r="J60" s="93">
        <v>75</v>
      </c>
      <c r="K60" s="93">
        <v>0</v>
      </c>
      <c r="L60" s="93">
        <v>0</v>
      </c>
      <c r="M60" s="93" t="s">
        <v>8</v>
      </c>
      <c r="N60" s="104">
        <f>COUNTIF(Table7[Spawner],Table1[[#This Row],[Spawner Prefab]])</f>
        <v>16</v>
      </c>
      <c r="O60" s="96">
        <f>ROUND((Table1[[#This Row],[Total in "Village" scene]]/SUM(Table1[Total in "Village" scene]))*100,1)</f>
        <v>0.7</v>
      </c>
      <c r="P60" s="110">
        <f>COUNTIF(Table15[Spawner],Table1[[#This Row],[Spawner Prefab]])</f>
        <v>14</v>
      </c>
      <c r="Q60" s="100">
        <f>ROUND((Table1[[#This Row],[Total in "Castle" scene]]/SUM(Table1[Total in "Castle" scene]))*100,1)</f>
        <v>0.7</v>
      </c>
      <c r="R60" s="105">
        <f>COUNTIF(Table20[Spawner],Table1[[#This Row],[Spawner Prefab]])</f>
        <v>0</v>
      </c>
      <c r="S60" s="97">
        <f>ROUND((Table1[[#This Row],[Total in "Dark" scene]]/SUM(Table1[Total in "Dark" scene]))*100,1)</f>
        <v>0</v>
      </c>
      <c r="T60" s="111">
        <f>Table1[[#This Row],[Total in "Village" scene]]+Table1[[#This Row],[Total in "Castle" scene]]+Table1[[#This Row],[Total in "Dark" scene]]</f>
        <v>30</v>
      </c>
      <c r="U60" s="99">
        <f>ROUND((Table1[[#This Row],[Total in the game]]/SUM(Table1[Total in the game]))*100,1)</f>
        <v>0.5</v>
      </c>
      <c r="V60" s="154" t="str">
        <f>Table1[[#This Row],[Content Sku]]</f>
        <v>FlyingBunny</v>
      </c>
      <c r="W60" s="160" t="s">
        <v>2688</v>
      </c>
      <c r="X60" s="147" t="s">
        <v>327</v>
      </c>
      <c r="Y60" s="147" t="s">
        <v>327</v>
      </c>
      <c r="Z60" s="147" t="s">
        <v>327</v>
      </c>
    </row>
    <row r="61" spans="4:26" x14ac:dyDescent="0.25">
      <c r="D61" s="78" t="s">
        <v>46</v>
      </c>
      <c r="E61" s="78" t="s">
        <v>106</v>
      </c>
      <c r="F61" s="78" t="s">
        <v>24</v>
      </c>
      <c r="G61" s="103">
        <v>5000</v>
      </c>
      <c r="H61" s="103">
        <v>5000</v>
      </c>
      <c r="I61" s="108">
        <v>70</v>
      </c>
      <c r="J61" s="93">
        <v>75</v>
      </c>
      <c r="K61" s="93">
        <v>0</v>
      </c>
      <c r="L61" s="93">
        <v>0</v>
      </c>
      <c r="M61" s="93" t="s">
        <v>8</v>
      </c>
      <c r="N61" s="104">
        <f>COUNTIF(Table7[Spawner],Table1[[#This Row],[Spawner Prefab]])</f>
        <v>21</v>
      </c>
      <c r="O61" s="96">
        <f>ROUND((Table1[[#This Row],[Total in "Village" scene]]/SUM(Table1[Total in "Village" scene]))*100,1)</f>
        <v>0.9</v>
      </c>
      <c r="P61" s="110">
        <f>COUNTIF(Table15[Spawner],Table1[[#This Row],[Spawner Prefab]])</f>
        <v>20</v>
      </c>
      <c r="Q61" s="100">
        <f>ROUND((Table1[[#This Row],[Total in "Castle" scene]]/SUM(Table1[Total in "Castle" scene]))*100,1)</f>
        <v>1</v>
      </c>
      <c r="R61" s="105">
        <f>COUNTIF(Table20[Spawner],Table1[[#This Row],[Spawner Prefab]])</f>
        <v>27</v>
      </c>
      <c r="S61" s="97">
        <f>ROUND((Table1[[#This Row],[Total in "Dark" scene]]/SUM(Table1[Total in "Dark" scene]))*100,1)</f>
        <v>2.5</v>
      </c>
      <c r="T61" s="111">
        <f>Table1[[#This Row],[Total in "Village" scene]]+Table1[[#This Row],[Total in "Castle" scene]]+Table1[[#This Row],[Total in "Dark" scene]]</f>
        <v>68</v>
      </c>
      <c r="U61" s="99">
        <f>ROUND((Table1[[#This Row],[Total in the game]]/SUM(Table1[Total in the game]))*100,1)</f>
        <v>1.2</v>
      </c>
      <c r="V61" s="154" t="str">
        <f>Table1[[#This Row],[Content Sku]]</f>
        <v>FlyingPig</v>
      </c>
      <c r="W61" s="160" t="s">
        <v>2689</v>
      </c>
      <c r="X61" s="147" t="s">
        <v>327</v>
      </c>
      <c r="Y61" s="147" t="s">
        <v>327</v>
      </c>
      <c r="Z61" s="147" t="s">
        <v>327</v>
      </c>
    </row>
    <row r="62" spans="4:26" x14ac:dyDescent="0.25">
      <c r="D62" s="78" t="s">
        <v>39</v>
      </c>
      <c r="E62" s="78" t="s">
        <v>107</v>
      </c>
      <c r="F62" s="78" t="s">
        <v>33</v>
      </c>
      <c r="G62" s="103">
        <v>250</v>
      </c>
      <c r="H62" s="103">
        <v>250</v>
      </c>
      <c r="I62" s="108">
        <v>3</v>
      </c>
      <c r="J62" s="93">
        <v>143</v>
      </c>
      <c r="K62" s="93">
        <v>3</v>
      </c>
      <c r="L62" s="93">
        <v>3</v>
      </c>
      <c r="M62" s="93">
        <v>5</v>
      </c>
      <c r="N62" s="104">
        <f>COUNTIF(Table7[Spawner],Table1[[#This Row],[Spawner Prefab]])</f>
        <v>78</v>
      </c>
      <c r="O62" s="96">
        <f>ROUND((Table1[[#This Row],[Total in "Village" scene]]/SUM(Table1[Total in "Village" scene]))*100,1)</f>
        <v>3.2</v>
      </c>
      <c r="P62" s="110">
        <f>COUNTIF(Table15[Spawner],Table1[[#This Row],[Spawner Prefab]])</f>
        <v>26</v>
      </c>
      <c r="Q62" s="100">
        <f>ROUND((Table1[[#This Row],[Total in "Castle" scene]]/SUM(Table1[Total in "Castle" scene]))*100,1)</f>
        <v>1.3</v>
      </c>
      <c r="R62" s="105">
        <f>COUNTIF(Table20[Spawner],Table1[[#This Row],[Spawner Prefab]])</f>
        <v>18</v>
      </c>
      <c r="S62" s="97">
        <f>ROUND((Table1[[#This Row],[Total in "Dark" scene]]/SUM(Table1[Total in "Dark" scene]))*100,1)</f>
        <v>1.7</v>
      </c>
      <c r="T62" s="111">
        <f>Table1[[#This Row],[Total in "Village" scene]]+Table1[[#This Row],[Total in "Castle" scene]]+Table1[[#This Row],[Total in "Dark" scene]]</f>
        <v>122</v>
      </c>
      <c r="U62" s="99">
        <f>ROUND((Table1[[#This Row],[Total in the game]]/SUM(Table1[Total in the game]))*100,1)</f>
        <v>2.2000000000000002</v>
      </c>
      <c r="V62" s="154" t="str">
        <f>Table1[[#This Row],[Content Sku]]</f>
        <v>Ghost01</v>
      </c>
      <c r="W62" s="160" t="s">
        <v>2690</v>
      </c>
      <c r="X62" s="147" t="s">
        <v>327</v>
      </c>
      <c r="Y62" s="147" t="s">
        <v>327</v>
      </c>
      <c r="Z62" s="147" t="s">
        <v>327</v>
      </c>
    </row>
    <row r="63" spans="4:26" x14ac:dyDescent="0.25">
      <c r="D63" s="78" t="s">
        <v>256</v>
      </c>
      <c r="E63" s="78" t="s">
        <v>107</v>
      </c>
      <c r="F63" s="78" t="s">
        <v>260</v>
      </c>
      <c r="G63" s="103">
        <v>250</v>
      </c>
      <c r="H63" s="103">
        <v>250</v>
      </c>
      <c r="I63" s="108">
        <v>3</v>
      </c>
      <c r="J63" s="93">
        <v>143</v>
      </c>
      <c r="K63" s="93">
        <v>3</v>
      </c>
      <c r="L63" s="93">
        <v>3</v>
      </c>
      <c r="M63" s="93">
        <v>7</v>
      </c>
      <c r="N63" s="104">
        <f>COUNTIF(Table7[Spawner],Table1[[#This Row],[Spawner Prefab]])</f>
        <v>26</v>
      </c>
      <c r="O63" s="96">
        <f>ROUND((Table1[[#This Row],[Total in "Village" scene]]/SUM(Table1[Total in "Village" scene]))*100,1)</f>
        <v>1.1000000000000001</v>
      </c>
      <c r="P63" s="110">
        <f>COUNTIF(Table15[Spawner],Table1[[#This Row],[Spawner Prefab]])</f>
        <v>0</v>
      </c>
      <c r="Q63" s="100">
        <f>ROUND((Table1[[#This Row],[Total in "Castle" scene]]/SUM(Table1[Total in "Castle" scene]))*100,1)</f>
        <v>0</v>
      </c>
      <c r="R63" s="105">
        <f>COUNTIF(Table20[Spawner],Table1[[#This Row],[Spawner Prefab]])</f>
        <v>10</v>
      </c>
      <c r="S63" s="97">
        <f>ROUND((Table1[[#This Row],[Total in "Dark" scene]]/SUM(Table1[Total in "Dark" scene]))*100,1)</f>
        <v>0.9</v>
      </c>
      <c r="T63" s="111">
        <f>Table1[[#This Row],[Total in "Village" scene]]+Table1[[#This Row],[Total in "Castle" scene]]+Table1[[#This Row],[Total in "Dark" scene]]</f>
        <v>36</v>
      </c>
      <c r="U63" s="99">
        <f>ROUND((Table1[[#This Row],[Total in the game]]/SUM(Table1[Total in the game]))*100,1)</f>
        <v>0.7</v>
      </c>
      <c r="V63" s="154" t="str">
        <f>Table1[[#This Row],[Content Sku]]</f>
        <v>Ghost01</v>
      </c>
      <c r="W63" s="158" t="s">
        <v>405</v>
      </c>
      <c r="X63" s="115" t="s">
        <v>327</v>
      </c>
      <c r="Y63" s="119" t="s">
        <v>327</v>
      </c>
      <c r="Z63" s="119" t="s">
        <v>327</v>
      </c>
    </row>
    <row r="64" spans="4:26" x14ac:dyDescent="0.25">
      <c r="D64" s="78" t="s">
        <v>40</v>
      </c>
      <c r="E64" s="78" t="s">
        <v>108</v>
      </c>
      <c r="F64" s="78" t="s">
        <v>34</v>
      </c>
      <c r="G64" s="103">
        <v>300</v>
      </c>
      <c r="H64" s="103">
        <v>300</v>
      </c>
      <c r="I64" s="108">
        <v>4</v>
      </c>
      <c r="J64" s="93">
        <v>195</v>
      </c>
      <c r="K64" s="93">
        <v>4</v>
      </c>
      <c r="L64" s="93">
        <v>4</v>
      </c>
      <c r="M64" s="93">
        <v>11</v>
      </c>
      <c r="N64" s="104">
        <f>COUNTIF(Table7[Spawner],Table1[[#This Row],[Spawner Prefab]])</f>
        <v>30</v>
      </c>
      <c r="O64" s="96">
        <f>ROUND((Table1[[#This Row],[Total in "Village" scene]]/SUM(Table1[Total in "Village" scene]))*100,1)</f>
        <v>1.2</v>
      </c>
      <c r="P64" s="110">
        <f>COUNTIF(Table15[Spawner],Table1[[#This Row],[Spawner Prefab]])</f>
        <v>6</v>
      </c>
      <c r="Q64" s="100">
        <f>ROUND((Table1[[#This Row],[Total in "Castle" scene]]/SUM(Table1[Total in "Castle" scene]))*100,1)</f>
        <v>0.3</v>
      </c>
      <c r="R64" s="105">
        <f>COUNTIF(Table20[Spawner],Table1[[#This Row],[Spawner Prefab]])</f>
        <v>18</v>
      </c>
      <c r="S64" s="97">
        <f>ROUND((Table1[[#This Row],[Total in "Dark" scene]]/SUM(Table1[Total in "Dark" scene]))*100,1)</f>
        <v>1.7</v>
      </c>
      <c r="T64" s="111">
        <f>Table1[[#This Row],[Total in "Village" scene]]+Table1[[#This Row],[Total in "Castle" scene]]+Table1[[#This Row],[Total in "Dark" scene]]</f>
        <v>54</v>
      </c>
      <c r="U64" s="99">
        <f>ROUND((Table1[[#This Row],[Total in the game]]/SUM(Table1[Total in the game]))*100,1)</f>
        <v>1</v>
      </c>
      <c r="V64" s="154" t="str">
        <f>Table1[[#This Row],[Content Sku]]</f>
        <v>Ghost02</v>
      </c>
      <c r="W64" s="158" t="s">
        <v>24</v>
      </c>
      <c r="X64" s="115" t="s">
        <v>327</v>
      </c>
      <c r="Y64" s="119" t="s">
        <v>327</v>
      </c>
      <c r="Z64" s="119" t="s">
        <v>327</v>
      </c>
    </row>
    <row r="65" spans="4:26" x14ac:dyDescent="0.25">
      <c r="D65" s="78" t="s">
        <v>257</v>
      </c>
      <c r="E65" s="78" t="s">
        <v>108</v>
      </c>
      <c r="F65" s="78" t="s">
        <v>261</v>
      </c>
      <c r="G65" s="103">
        <v>300</v>
      </c>
      <c r="H65" s="103">
        <v>300</v>
      </c>
      <c r="I65" s="108">
        <v>4</v>
      </c>
      <c r="J65" s="93">
        <v>195</v>
      </c>
      <c r="K65" s="93">
        <v>4</v>
      </c>
      <c r="L65" s="93">
        <v>4</v>
      </c>
      <c r="M65" s="93">
        <v>11</v>
      </c>
      <c r="N65" s="104">
        <f>COUNTIF(Table7[Spawner],Table1[[#This Row],[Spawner Prefab]])</f>
        <v>35</v>
      </c>
      <c r="O65" s="96">
        <f>ROUND((Table1[[#This Row],[Total in "Village" scene]]/SUM(Table1[Total in "Village" scene]))*100,1)</f>
        <v>1.4</v>
      </c>
      <c r="P65" s="110">
        <f>COUNTIF(Table15[Spawner],Table1[[#This Row],[Spawner Prefab]])</f>
        <v>0</v>
      </c>
      <c r="Q65" s="100">
        <f>ROUND((Table1[[#This Row],[Total in "Castle" scene]]/SUM(Table1[Total in "Castle" scene]))*100,1)</f>
        <v>0</v>
      </c>
      <c r="R65" s="105">
        <f>COUNTIF(Table20[Spawner],Table1[[#This Row],[Spawner Prefab]])</f>
        <v>9</v>
      </c>
      <c r="S65" s="97">
        <f>ROUND((Table1[[#This Row],[Total in "Dark" scene]]/SUM(Table1[Total in "Dark" scene]))*100,1)</f>
        <v>0.8</v>
      </c>
      <c r="T65" s="111">
        <f>Table1[[#This Row],[Total in "Village" scene]]+Table1[[#This Row],[Total in "Castle" scene]]+Table1[[#This Row],[Total in "Dark" scene]]</f>
        <v>44</v>
      </c>
      <c r="U65" s="99">
        <f>ROUND((Table1[[#This Row],[Total in the game]]/SUM(Table1[Total in the game]))*100,1)</f>
        <v>0.8</v>
      </c>
      <c r="V65" s="154" t="str">
        <f>Table1[[#This Row],[Content Sku]]</f>
        <v>Ghost02</v>
      </c>
      <c r="W65" s="158" t="s">
        <v>535</v>
      </c>
      <c r="X65" s="115" t="s">
        <v>327</v>
      </c>
      <c r="Y65" s="119" t="s">
        <v>327</v>
      </c>
      <c r="Z65" s="119" t="s">
        <v>327</v>
      </c>
    </row>
    <row r="66" spans="4:26" x14ac:dyDescent="0.25">
      <c r="D66" s="78" t="s">
        <v>41</v>
      </c>
      <c r="E66" s="78" t="s">
        <v>109</v>
      </c>
      <c r="F66" s="78" t="s">
        <v>35</v>
      </c>
      <c r="G66" s="103">
        <v>340</v>
      </c>
      <c r="H66" s="103">
        <v>340</v>
      </c>
      <c r="I66" s="108">
        <v>5</v>
      </c>
      <c r="J66" s="93">
        <v>263</v>
      </c>
      <c r="K66" s="93">
        <v>5</v>
      </c>
      <c r="L66" s="93">
        <v>5</v>
      </c>
      <c r="M66" s="93">
        <v>21</v>
      </c>
      <c r="N66" s="104">
        <f>COUNTIF(Table7[Spawner],Table1[[#This Row],[Spawner Prefab]])</f>
        <v>13</v>
      </c>
      <c r="O66" s="96">
        <f>ROUND((Table1[[#This Row],[Total in "Village" scene]]/SUM(Table1[Total in "Village" scene]))*100,1)</f>
        <v>0.5</v>
      </c>
      <c r="P66" s="110">
        <f>COUNTIF(Table15[Spawner],Table1[[#This Row],[Spawner Prefab]])</f>
        <v>5</v>
      </c>
      <c r="Q66" s="100">
        <f>ROUND((Table1[[#This Row],[Total in "Castle" scene]]/SUM(Table1[Total in "Castle" scene]))*100,1)</f>
        <v>0.3</v>
      </c>
      <c r="R66" s="105">
        <f>COUNTIF(Table20[Spawner],Table1[[#This Row],[Spawner Prefab]])</f>
        <v>17</v>
      </c>
      <c r="S66" s="97">
        <f>ROUND((Table1[[#This Row],[Total in "Dark" scene]]/SUM(Table1[Total in "Dark" scene]))*100,1)</f>
        <v>1.6</v>
      </c>
      <c r="T66" s="111">
        <f>Table1[[#This Row],[Total in "Village" scene]]+Table1[[#This Row],[Total in "Castle" scene]]+Table1[[#This Row],[Total in "Dark" scene]]</f>
        <v>35</v>
      </c>
      <c r="U66" s="99">
        <f>ROUND((Table1[[#This Row],[Total in the game]]/SUM(Table1[Total in the game]))*100,1)</f>
        <v>0.6</v>
      </c>
      <c r="V66" s="154" t="str">
        <f>Table1[[#This Row],[Content Sku]]</f>
        <v>Ghost03</v>
      </c>
      <c r="W66" s="158" t="s">
        <v>33</v>
      </c>
      <c r="X66" s="115" t="s">
        <v>328</v>
      </c>
      <c r="Y66" s="119" t="s">
        <v>328</v>
      </c>
      <c r="Z66" s="119" t="s">
        <v>328</v>
      </c>
    </row>
    <row r="67" spans="4:26" x14ac:dyDescent="0.25">
      <c r="D67" s="78" t="s">
        <v>258</v>
      </c>
      <c r="E67" s="78" t="s">
        <v>109</v>
      </c>
      <c r="F67" s="78" t="s">
        <v>262</v>
      </c>
      <c r="G67" s="103">
        <v>340</v>
      </c>
      <c r="H67" s="103">
        <v>340</v>
      </c>
      <c r="I67" s="108">
        <v>5</v>
      </c>
      <c r="J67" s="93">
        <v>263</v>
      </c>
      <c r="K67" s="93">
        <v>5</v>
      </c>
      <c r="L67" s="93">
        <v>5</v>
      </c>
      <c r="M67" s="93">
        <v>21</v>
      </c>
      <c r="N67" s="104">
        <f>COUNTIF(Table7[Spawner],Table1[[#This Row],[Spawner Prefab]])</f>
        <v>24</v>
      </c>
      <c r="O67" s="96">
        <f>ROUND((Table1[[#This Row],[Total in "Village" scene]]/SUM(Table1[Total in "Village" scene]))*100,1)</f>
        <v>1</v>
      </c>
      <c r="P67" s="110">
        <f>COUNTIF(Table15[Spawner],Table1[[#This Row],[Spawner Prefab]])</f>
        <v>8</v>
      </c>
      <c r="Q67" s="100">
        <f>ROUND((Table1[[#This Row],[Total in "Castle" scene]]/SUM(Table1[Total in "Castle" scene]))*100,1)</f>
        <v>0.4</v>
      </c>
      <c r="R67" s="105">
        <f>COUNTIF(Table20[Spawner],Table1[[#This Row],[Spawner Prefab]])</f>
        <v>21</v>
      </c>
      <c r="S67" s="97">
        <f>ROUND((Table1[[#This Row],[Total in "Dark" scene]]/SUM(Table1[Total in "Dark" scene]))*100,1)</f>
        <v>2</v>
      </c>
      <c r="T67" s="111">
        <f>Table1[[#This Row],[Total in "Village" scene]]+Table1[[#This Row],[Total in "Castle" scene]]+Table1[[#This Row],[Total in "Dark" scene]]</f>
        <v>53</v>
      </c>
      <c r="U67" s="99">
        <f>ROUND((Table1[[#This Row],[Total in the game]]/SUM(Table1[Total in the game]))*100,1)</f>
        <v>1</v>
      </c>
      <c r="V67" s="154" t="str">
        <f>Table1[[#This Row],[Content Sku]]</f>
        <v>Ghost03</v>
      </c>
      <c r="W67" s="158" t="s">
        <v>260</v>
      </c>
      <c r="X67" s="115" t="s">
        <v>328</v>
      </c>
      <c r="Y67" s="119" t="s">
        <v>328</v>
      </c>
      <c r="Z67" s="119" t="s">
        <v>328</v>
      </c>
    </row>
    <row r="68" spans="4:26" x14ac:dyDescent="0.25">
      <c r="D68" s="78" t="s">
        <v>264</v>
      </c>
      <c r="E68" s="78" t="s">
        <v>354</v>
      </c>
      <c r="F68" s="78" t="s">
        <v>272</v>
      </c>
      <c r="G68" s="103">
        <v>210</v>
      </c>
      <c r="H68" s="103">
        <v>210</v>
      </c>
      <c r="I68" s="108">
        <v>10</v>
      </c>
      <c r="J68" s="93">
        <v>83</v>
      </c>
      <c r="K68" s="93">
        <v>1</v>
      </c>
      <c r="L68" s="93">
        <v>1</v>
      </c>
      <c r="M68" s="93" t="s">
        <v>8</v>
      </c>
      <c r="N68" s="104">
        <f>COUNTIF(Table7[Spawner],Table1[[#This Row],[Spawner Prefab]])</f>
        <v>0</v>
      </c>
      <c r="O68" s="96">
        <f>ROUND((Table1[[#This Row],[Total in "Village" scene]]/SUM(Table1[Total in "Village" scene]))*100,1)</f>
        <v>0</v>
      </c>
      <c r="P68" s="110">
        <f>COUNTIF(Table15[Spawner],Table1[[#This Row],[Spawner Prefab]])</f>
        <v>0</v>
      </c>
      <c r="Q68" s="100">
        <f>ROUND((Table1[[#This Row],[Total in "Castle" scene]]/SUM(Table1[Total in "Castle" scene]))*100,1)</f>
        <v>0</v>
      </c>
      <c r="R68" s="105">
        <f>COUNTIF(Table20[Spawner],Table1[[#This Row],[Spawner Prefab]])</f>
        <v>0</v>
      </c>
      <c r="S68" s="97">
        <f>ROUND((Table1[[#This Row],[Total in "Dark" scene]]/SUM(Table1[Total in "Dark" scene]))*100,1)</f>
        <v>0</v>
      </c>
      <c r="T68" s="111">
        <f>Table1[[#This Row],[Total in "Village" scene]]+Table1[[#This Row],[Total in "Castle" scene]]+Table1[[#This Row],[Total in "Dark" scene]]</f>
        <v>0</v>
      </c>
      <c r="U68" s="99">
        <f>ROUND((Table1[[#This Row],[Total in the game]]/SUM(Table1[Total in the game]))*100,1)</f>
        <v>0</v>
      </c>
      <c r="V68" s="154" t="str">
        <f>Table1[[#This Row],[Content Sku]]</f>
        <v>GoblinBoat</v>
      </c>
      <c r="W68" s="158" t="s">
        <v>34</v>
      </c>
      <c r="X68" s="115" t="s">
        <v>328</v>
      </c>
      <c r="Y68" s="119" t="s">
        <v>328</v>
      </c>
      <c r="Z68" s="119" t="s">
        <v>328</v>
      </c>
    </row>
    <row r="69" spans="4:26" x14ac:dyDescent="0.25">
      <c r="D69" s="78" t="s">
        <v>553</v>
      </c>
      <c r="E69" s="78" t="s">
        <v>354</v>
      </c>
      <c r="F69" s="78" t="s">
        <v>554</v>
      </c>
      <c r="G69" s="103">
        <v>210</v>
      </c>
      <c r="H69" s="103">
        <v>210</v>
      </c>
      <c r="I69" s="108">
        <v>10</v>
      </c>
      <c r="J69" s="93">
        <v>83</v>
      </c>
      <c r="K69" s="93">
        <v>1</v>
      </c>
      <c r="L69" s="93">
        <v>1</v>
      </c>
      <c r="M69" s="93" t="s">
        <v>8</v>
      </c>
      <c r="N69" s="104">
        <f>COUNTIF(Table7[Spawner],Table1[[#This Row],[Spawner Prefab]])</f>
        <v>3</v>
      </c>
      <c r="O69" s="96">
        <f>ROUND((Table1[[#This Row],[Total in "Village" scene]]/SUM(Table1[Total in "Village" scene]))*100,1)</f>
        <v>0.1</v>
      </c>
      <c r="P69" s="110">
        <f>COUNTIF(Table15[Spawner],Table1[[#This Row],[Spawner Prefab]])</f>
        <v>0</v>
      </c>
      <c r="Q69" s="100">
        <f>ROUND((Table1[[#This Row],[Total in "Castle" scene]]/SUM(Table1[Total in "Castle" scene]))*100,1)</f>
        <v>0</v>
      </c>
      <c r="R69" s="105">
        <f>COUNTIF(Table20[Spawner],Table1[[#This Row],[Spawner Prefab]])</f>
        <v>0</v>
      </c>
      <c r="S69" s="97">
        <f>ROUND((Table1[[#This Row],[Total in "Dark" scene]]/SUM(Table1[Total in "Dark" scene]))*100,1)</f>
        <v>0</v>
      </c>
      <c r="T69" s="111">
        <f>Table1[[#This Row],[Total in "Village" scene]]+Table1[[#This Row],[Total in "Castle" scene]]+Table1[[#This Row],[Total in "Dark" scene]]</f>
        <v>3</v>
      </c>
      <c r="U69" s="99">
        <f>ROUND((Table1[[#This Row],[Total in the game]]/SUM(Table1[Total in the game]))*100,1)</f>
        <v>0.1</v>
      </c>
      <c r="V69" s="154" t="str">
        <f>Table1[[#This Row],[Content Sku]]</f>
        <v>GoblinBoat</v>
      </c>
      <c r="W69" s="158" t="s">
        <v>261</v>
      </c>
      <c r="X69" s="115" t="s">
        <v>328</v>
      </c>
      <c r="Y69" s="119" t="s">
        <v>328</v>
      </c>
      <c r="Z69" s="119" t="s">
        <v>328</v>
      </c>
    </row>
    <row r="70" spans="4:26" x14ac:dyDescent="0.25">
      <c r="D70" s="78" t="s">
        <v>2724</v>
      </c>
      <c r="E70" s="78" t="s">
        <v>2725</v>
      </c>
      <c r="F70" s="78" t="s">
        <v>2726</v>
      </c>
      <c r="G70" s="103">
        <v>180</v>
      </c>
      <c r="H70" s="103">
        <v>180</v>
      </c>
      <c r="I70" s="108">
        <v>100</v>
      </c>
      <c r="J70" s="93">
        <v>105</v>
      </c>
      <c r="K70" s="93">
        <v>3</v>
      </c>
      <c r="L70" s="93">
        <v>3</v>
      </c>
      <c r="M70" s="93">
        <v>25</v>
      </c>
      <c r="N70" s="104">
        <f>COUNTIF(Table7[Spawner],Table1[[#This Row],[Spawner Prefab]])</f>
        <v>0</v>
      </c>
      <c r="O70" s="96">
        <f>ROUND((Table1[[#This Row],[Total in "Village" scene]]/SUM(Table1[Total in "Village" scene]))*100,1)</f>
        <v>0</v>
      </c>
      <c r="P70" s="110">
        <f>COUNTIF(Table15[Spawner],Table1[[#This Row],[Spawner Prefab]])</f>
        <v>34</v>
      </c>
      <c r="Q70" s="100">
        <f>ROUND((Table1[[#This Row],[Total in "Castle" scene]]/SUM(Table1[Total in "Castle" scene]))*100,1)</f>
        <v>1.7</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34</v>
      </c>
      <c r="U70" s="99">
        <f>ROUND((Table1[[#This Row],[Total in the game]]/SUM(Table1[Total in the game]))*100,1)</f>
        <v>0.6</v>
      </c>
      <c r="V70" s="154" t="str">
        <f>Table1[[#This Row],[Content Sku]]</f>
        <v>GoblinDrone</v>
      </c>
      <c r="W70" s="158" t="s">
        <v>35</v>
      </c>
      <c r="X70" s="115" t="s">
        <v>328</v>
      </c>
      <c r="Y70" s="119" t="s">
        <v>328</v>
      </c>
      <c r="Z70" s="119" t="s">
        <v>328</v>
      </c>
    </row>
    <row r="71" spans="4:26" x14ac:dyDescent="0.25">
      <c r="D71" s="78" t="s">
        <v>2727</v>
      </c>
      <c r="E71" s="78" t="s">
        <v>2728</v>
      </c>
      <c r="F71" s="78" t="s">
        <v>2729</v>
      </c>
      <c r="G71" s="103">
        <v>120</v>
      </c>
      <c r="H71" s="103">
        <v>120</v>
      </c>
      <c r="I71" s="108">
        <v>35</v>
      </c>
      <c r="J71" s="93">
        <v>45</v>
      </c>
      <c r="K71" s="93">
        <v>2</v>
      </c>
      <c r="L71" s="93">
        <v>2</v>
      </c>
      <c r="M71" s="93" t="s">
        <v>8</v>
      </c>
      <c r="N71" s="104">
        <f>COUNTIF(Table7[Spawner],Table1[[#This Row],[Spawner Prefab]])</f>
        <v>0</v>
      </c>
      <c r="O71" s="96">
        <f>ROUND((Table1[[#This Row],[Total in "Village" scene]]/SUM(Table1[Total in "Village" scene]))*100,1)</f>
        <v>0</v>
      </c>
      <c r="P71" s="110">
        <f>COUNTIF(Table15[Spawner],Table1[[#This Row],[Spawner Prefab]])</f>
        <v>74</v>
      </c>
      <c r="Q71" s="100">
        <f>ROUND((Table1[[#This Row],[Total in "Castle" scene]]/SUM(Table1[Total in "Castle" scene]))*100,1)</f>
        <v>3.7</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74</v>
      </c>
      <c r="U71" s="99">
        <f>ROUND((Table1[[#This Row],[Total in the game]]/SUM(Table1[Total in the game]))*100,1)</f>
        <v>1.3</v>
      </c>
      <c r="V71" s="154" t="str">
        <f>Table1[[#This Row],[Content Sku]]</f>
        <v>GoblinDroneFood</v>
      </c>
      <c r="W71" s="158" t="s">
        <v>262</v>
      </c>
      <c r="X71" s="115" t="s">
        <v>328</v>
      </c>
      <c r="Y71" s="119" t="s">
        <v>328</v>
      </c>
      <c r="Z71" s="119" t="s">
        <v>328</v>
      </c>
    </row>
    <row r="72" spans="4:26" x14ac:dyDescent="0.25">
      <c r="D72" s="78" t="s">
        <v>477</v>
      </c>
      <c r="E72" s="78" t="s">
        <v>479</v>
      </c>
      <c r="F72" s="78" t="s">
        <v>480</v>
      </c>
      <c r="G72" s="103">
        <v>300</v>
      </c>
      <c r="H72" s="103">
        <v>300</v>
      </c>
      <c r="I72" s="108">
        <v>200</v>
      </c>
      <c r="J72" s="93">
        <v>83</v>
      </c>
      <c r="K72" s="93">
        <v>1</v>
      </c>
      <c r="L72" s="93">
        <v>1</v>
      </c>
      <c r="M72" s="93">
        <v>25</v>
      </c>
      <c r="N72" s="104">
        <f>COUNTIF(Table7[Spawner],Table1[[#This Row],[Spawner Prefab]])</f>
        <v>1</v>
      </c>
      <c r="O72" s="96">
        <f>ROUND((Table1[[#This Row],[Total in "Village" scene]]/SUM(Table1[Total in "Village" scene]))*100,1)</f>
        <v>0</v>
      </c>
      <c r="P72" s="110">
        <f>COUNTIF(Table15[Spawner],Table1[[#This Row],[Spawner Prefab]])</f>
        <v>3</v>
      </c>
      <c r="Q72" s="100">
        <f>ROUND((Table1[[#This Row],[Total in "Castle" scene]]/SUM(Table1[Total in "Castle" scene]))*100,1)</f>
        <v>0.2</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4</v>
      </c>
      <c r="U72" s="99">
        <f>ROUND((Table1[[#This Row],[Total in the game]]/SUM(Table1[Total in the game]))*100,1)</f>
        <v>0.1</v>
      </c>
      <c r="V72" s="154" t="str">
        <f>Table1[[#This Row],[Content Sku]]</f>
        <v>GoblinWarMachine</v>
      </c>
      <c r="W72" s="158" t="s">
        <v>272</v>
      </c>
      <c r="X72" s="115" t="s">
        <v>327</v>
      </c>
      <c r="Y72" s="119" t="s">
        <v>327</v>
      </c>
      <c r="Z72" s="119" t="s">
        <v>327</v>
      </c>
    </row>
    <row r="73" spans="4:26" x14ac:dyDescent="0.25">
      <c r="D73" s="78" t="s">
        <v>2773</v>
      </c>
      <c r="E73" s="78" t="s">
        <v>479</v>
      </c>
      <c r="F73" s="78" t="s">
        <v>2772</v>
      </c>
      <c r="G73" s="103">
        <v>300</v>
      </c>
      <c r="H73" s="103">
        <v>300</v>
      </c>
      <c r="I73" s="108">
        <v>200</v>
      </c>
      <c r="J73" s="93">
        <v>83</v>
      </c>
      <c r="K73" s="93">
        <v>1</v>
      </c>
      <c r="L73" s="93">
        <v>1</v>
      </c>
      <c r="M73" s="93">
        <v>25</v>
      </c>
      <c r="N73" s="104">
        <f>COUNTIF(Table7[Spawner],Table1[[#This Row],[Spawner Prefab]])</f>
        <v>7</v>
      </c>
      <c r="O73" s="96">
        <f>ROUND((Table1[[#This Row],[Total in "Village" scene]]/SUM(Table1[Total in "Village" scene]))*100,1)</f>
        <v>0.3</v>
      </c>
      <c r="P73" s="110">
        <f>COUNTIF(Table15[Spawner],Table1[[#This Row],[Spawner Prefab]])</f>
        <v>2</v>
      </c>
      <c r="Q73" s="100">
        <f>ROUND((Table1[[#This Row],[Total in "Castle" scene]]/SUM(Table1[Total in "Castle" scene]))*100,1)</f>
        <v>0.1</v>
      </c>
      <c r="R73" s="105">
        <f>COUNTIF(Table20[Spawner],Table1[[#This Row],[Spawner Prefab]])</f>
        <v>2</v>
      </c>
      <c r="S73" s="97">
        <f>ROUND((Table1[[#This Row],[Total in "Dark" scene]]/SUM(Table1[Total in "Dark" scene]))*100,1)</f>
        <v>0.2</v>
      </c>
      <c r="T73" s="111">
        <f>Table1[[#This Row],[Total in "Village" scene]]+Table1[[#This Row],[Total in "Castle" scene]]+Table1[[#This Row],[Total in "Dark" scene]]</f>
        <v>11</v>
      </c>
      <c r="U73" s="99">
        <f>ROUND((Table1[[#This Row],[Total in the game]]/SUM(Table1[Total in the game]))*100,1)</f>
        <v>0.2</v>
      </c>
      <c r="V73" s="154" t="str">
        <f>Table1[[#This Row],[Content Sku]]</f>
        <v>GoblinWarMachine</v>
      </c>
      <c r="W73" s="158" t="s">
        <v>554</v>
      </c>
      <c r="X73" s="115" t="s">
        <v>327</v>
      </c>
      <c r="Y73" s="119" t="s">
        <v>327</v>
      </c>
      <c r="Z73" s="119" t="s">
        <v>327</v>
      </c>
    </row>
    <row r="74" spans="4:26" x14ac:dyDescent="0.25">
      <c r="D74" s="78" t="s">
        <v>2730</v>
      </c>
      <c r="E74" s="78" t="s">
        <v>2731</v>
      </c>
      <c r="F74" s="78" t="s">
        <v>2732</v>
      </c>
      <c r="G74" s="103">
        <v>500</v>
      </c>
      <c r="H74" s="103">
        <v>500</v>
      </c>
      <c r="I74" s="108">
        <v>0</v>
      </c>
      <c r="J74" s="93">
        <v>10</v>
      </c>
      <c r="K74" s="93">
        <v>0</v>
      </c>
      <c r="L74" s="93">
        <v>0</v>
      </c>
      <c r="M74" s="93" t="s">
        <v>8</v>
      </c>
      <c r="N74" s="104">
        <f>COUNTIF(Table7[Spawner],Table1[[#This Row],[Spawner Prefab]])</f>
        <v>10</v>
      </c>
      <c r="O74" s="96">
        <f>ROUND((Table1[[#This Row],[Total in "Village" scene]]/SUM(Table1[Total in "Village" scene]))*100,1)</f>
        <v>0.4</v>
      </c>
      <c r="P74" s="110">
        <f>COUNTIF(Table15[Spawner],Table1[[#This Row],[Spawner Prefab]])</f>
        <v>4</v>
      </c>
      <c r="Q74" s="100">
        <f>ROUND((Table1[[#This Row],[Total in "Castle" scene]]/SUM(Table1[Total in "Castle" scene]))*100,1)</f>
        <v>0.2</v>
      </c>
      <c r="R74" s="105">
        <f>COUNTIF(Table20[Spawner],Table1[[#This Row],[Spawner Prefab]])</f>
        <v>2</v>
      </c>
      <c r="S74" s="97">
        <f>ROUND((Table1[[#This Row],[Total in "Dark" scene]]/SUM(Table1[Total in "Dark" scene]))*100,1)</f>
        <v>0.2</v>
      </c>
      <c r="T74" s="111">
        <f>Table1[[#This Row],[Total in "Village" scene]]+Table1[[#This Row],[Total in "Castle" scene]]+Table1[[#This Row],[Total in "Dark" scene]]</f>
        <v>16</v>
      </c>
      <c r="U74" s="99">
        <f>ROUND((Table1[[#This Row],[Total in the game]]/SUM(Table1[Total in the game]))*100,1)</f>
        <v>0.3</v>
      </c>
      <c r="V74" s="154" t="str">
        <f>Table1[[#This Row],[Content Sku]]</f>
        <v>Boost</v>
      </c>
      <c r="W74" s="161" t="s">
        <v>2726</v>
      </c>
      <c r="X74" s="115" t="s">
        <v>328</v>
      </c>
      <c r="Y74" s="119" t="s">
        <v>328</v>
      </c>
      <c r="Z74" s="119" t="s">
        <v>328</v>
      </c>
    </row>
    <row r="75" spans="4:26" x14ac:dyDescent="0.25">
      <c r="D75" s="78" t="s">
        <v>122</v>
      </c>
      <c r="E75" s="78" t="s">
        <v>79</v>
      </c>
      <c r="F75" s="78" t="s">
        <v>18</v>
      </c>
      <c r="G75" s="103">
        <v>500</v>
      </c>
      <c r="H75" s="103">
        <v>500</v>
      </c>
      <c r="I75" s="108">
        <v>0</v>
      </c>
      <c r="J75" s="93">
        <v>25</v>
      </c>
      <c r="K75" s="93">
        <v>0</v>
      </c>
      <c r="L75" s="93">
        <v>0</v>
      </c>
      <c r="M75" s="93" t="s">
        <v>8</v>
      </c>
      <c r="N75" s="104">
        <f>COUNTIF(Table7[Spawner],Table1[[#This Row],[Spawner Prefab]])</f>
        <v>26</v>
      </c>
      <c r="O75" s="96">
        <f>ROUND((Table1[[#This Row],[Total in "Village" scene]]/SUM(Table1[Total in "Village" scene]))*100,1)</f>
        <v>1.1000000000000001</v>
      </c>
      <c r="P75" s="110">
        <f>COUNTIF(Table15[Spawner],Table1[[#This Row],[Spawner Prefab]])</f>
        <v>60</v>
      </c>
      <c r="Q75" s="100">
        <f>ROUND((Table1[[#This Row],[Total in "Castle" scene]]/SUM(Table1[Total in "Castle" scene]))*100,1)</f>
        <v>3</v>
      </c>
      <c r="R75" s="105">
        <f>COUNTIF(Table20[Spawner],Table1[[#This Row],[Spawner Prefab]])</f>
        <v>24</v>
      </c>
      <c r="S75" s="97">
        <f>ROUND((Table1[[#This Row],[Total in "Dark" scene]]/SUM(Table1[Total in "Dark" scene]))*100,1)</f>
        <v>2.2999999999999998</v>
      </c>
      <c r="T75" s="111">
        <f>Table1[[#This Row],[Total in "Village" scene]]+Table1[[#This Row],[Total in "Castle" scene]]+Table1[[#This Row],[Total in "Dark" scene]]</f>
        <v>110</v>
      </c>
      <c r="U75" s="99">
        <f>ROUND((Table1[[#This Row],[Total in the game]]/SUM(Table1[Total in the game]))*100,1)</f>
        <v>2</v>
      </c>
      <c r="V75" s="154" t="str">
        <f>Table1[[#This Row],[Content Sku]]</f>
        <v>GoodJunkBottle</v>
      </c>
      <c r="W75" s="161" t="s">
        <v>2729</v>
      </c>
      <c r="X75" s="115" t="s">
        <v>327</v>
      </c>
      <c r="Y75" s="119" t="s">
        <v>327</v>
      </c>
      <c r="Z75" s="119" t="s">
        <v>327</v>
      </c>
    </row>
    <row r="76" spans="4:26" x14ac:dyDescent="0.25">
      <c r="D76" s="78" t="s">
        <v>2733</v>
      </c>
      <c r="E76" s="78" t="s">
        <v>2734</v>
      </c>
      <c r="F76" s="78" t="s">
        <v>2735</v>
      </c>
      <c r="G76" s="103">
        <v>180</v>
      </c>
      <c r="H76" s="103">
        <v>180</v>
      </c>
      <c r="I76" s="108">
        <v>0</v>
      </c>
      <c r="J76" s="93">
        <v>10</v>
      </c>
      <c r="K76" s="93">
        <v>0</v>
      </c>
      <c r="L76" s="93">
        <v>0</v>
      </c>
      <c r="M76" s="93" t="s">
        <v>8</v>
      </c>
      <c r="N76" s="104">
        <f>COUNTIF(Table7[Spawner],Table1[[#This Row],[Spawner Prefab]])</f>
        <v>12</v>
      </c>
      <c r="O76" s="96">
        <f>ROUND((Table1[[#This Row],[Total in "Village" scene]]/SUM(Table1[Total in "Village" scene]))*100,1)</f>
        <v>0.5</v>
      </c>
      <c r="P76" s="110">
        <f>COUNTIF(Table15[Spawner],Table1[[#This Row],[Spawner Prefab]])</f>
        <v>6</v>
      </c>
      <c r="Q76" s="100">
        <f>ROUND((Table1[[#This Row],[Total in "Castle" scene]]/SUM(Table1[Total in "Castle" scene]))*100,1)</f>
        <v>0.3</v>
      </c>
      <c r="R76" s="105">
        <f>COUNTIF(Table20[Spawner],Table1[[#This Row],[Spawner Prefab]])</f>
        <v>5</v>
      </c>
      <c r="S76" s="97">
        <f>ROUND((Table1[[#This Row],[Total in "Dark" scene]]/SUM(Table1[Total in "Dark" scene]))*100,1)</f>
        <v>0.5</v>
      </c>
      <c r="T76" s="111">
        <f>Table1[[#This Row],[Total in "Village" scene]]+Table1[[#This Row],[Total in "Castle" scene]]+Table1[[#This Row],[Total in "Dark" scene]]</f>
        <v>23</v>
      </c>
      <c r="U76" s="99">
        <f>ROUND((Table1[[#This Row],[Total in the game]]/SUM(Table1[Total in the game]))*100,1)</f>
        <v>0.4</v>
      </c>
      <c r="V76" s="154" t="str">
        <f>Table1[[#This Row],[Content Sku]]</f>
        <v>GoodJunkRandomCoins</v>
      </c>
      <c r="W76" s="158" t="s">
        <v>480</v>
      </c>
      <c r="X76" s="115" t="s">
        <v>328</v>
      </c>
      <c r="Y76" s="119" t="s">
        <v>328</v>
      </c>
      <c r="Z76" s="119" t="s">
        <v>328</v>
      </c>
    </row>
    <row r="77" spans="4:26" x14ac:dyDescent="0.25">
      <c r="D77" s="78" t="s">
        <v>2736</v>
      </c>
      <c r="E77" s="78" t="s">
        <v>2737</v>
      </c>
      <c r="F77" s="78" t="s">
        <v>2738</v>
      </c>
      <c r="G77" s="103">
        <v>240</v>
      </c>
      <c r="H77" s="103">
        <v>240</v>
      </c>
      <c r="I77" s="108">
        <v>0</v>
      </c>
      <c r="J77" s="93">
        <v>10</v>
      </c>
      <c r="K77" s="93">
        <v>0</v>
      </c>
      <c r="L77" s="93">
        <v>0</v>
      </c>
      <c r="M77" s="93" t="s">
        <v>8</v>
      </c>
      <c r="N77" s="104">
        <f>COUNTIF(Table7[Spawner],Table1[[#This Row],[Spawner Prefab]])</f>
        <v>3</v>
      </c>
      <c r="O77" s="96">
        <f>ROUND((Table1[[#This Row],[Total in "Village" scene]]/SUM(Table1[Total in "Village" scene]))*100,1)</f>
        <v>0.1</v>
      </c>
      <c r="P77" s="110">
        <f>COUNTIF(Table15[Spawner],Table1[[#This Row],[Spawner Prefab]])</f>
        <v>4</v>
      </c>
      <c r="Q77" s="100">
        <f>ROUND((Table1[[#This Row],[Total in "Castle" scene]]/SUM(Table1[Total in "Castle" scene]))*100,1)</f>
        <v>0.2</v>
      </c>
      <c r="R77" s="105">
        <f>COUNTIF(Table20[Spawner],Table1[[#This Row],[Spawner Prefab]])</f>
        <v>0</v>
      </c>
      <c r="S77" s="97">
        <f>ROUND((Table1[[#This Row],[Total in "Dark" scene]]/SUM(Table1[Total in "Dark" scene]))*100,1)</f>
        <v>0</v>
      </c>
      <c r="T77" s="111">
        <f>Table1[[#This Row],[Total in "Village" scene]]+Table1[[#This Row],[Total in "Castle" scene]]+Table1[[#This Row],[Total in "Dark" scene]]</f>
        <v>7</v>
      </c>
      <c r="U77" s="99">
        <f>ROUND((Table1[[#This Row],[Total in the game]]/SUM(Table1[Total in the game]))*100,1)</f>
        <v>0.1</v>
      </c>
      <c r="V77" s="154" t="str">
        <f>Table1[[#This Row],[Content Sku]]</f>
        <v>Ring</v>
      </c>
      <c r="W77" s="161" t="s">
        <v>2772</v>
      </c>
      <c r="X77" s="115" t="s">
        <v>328</v>
      </c>
      <c r="Y77" s="119" t="s">
        <v>328</v>
      </c>
      <c r="Z77" s="119" t="s">
        <v>328</v>
      </c>
    </row>
    <row r="78" spans="4:26" x14ac:dyDescent="0.25">
      <c r="D78" s="78" t="s">
        <v>2739</v>
      </c>
      <c r="E78" s="78" t="s">
        <v>2737</v>
      </c>
      <c r="F78" s="78" t="s">
        <v>2740</v>
      </c>
      <c r="G78" s="103">
        <v>240</v>
      </c>
      <c r="H78" s="103">
        <v>240</v>
      </c>
      <c r="I78" s="108">
        <v>0</v>
      </c>
      <c r="J78" s="93">
        <v>10</v>
      </c>
      <c r="K78" s="93">
        <v>0</v>
      </c>
      <c r="L78" s="93">
        <v>0</v>
      </c>
      <c r="M78" s="93" t="s">
        <v>8</v>
      </c>
      <c r="N78" s="104">
        <f>COUNTIF(Table7[Spawner],Table1[[#This Row],[Spawner Prefab]])</f>
        <v>20</v>
      </c>
      <c r="O78" s="96">
        <f>ROUND((Table1[[#This Row],[Total in "Village" scene]]/SUM(Table1[Total in "Village" scene]))*100,1)</f>
        <v>0.8</v>
      </c>
      <c r="P78" s="110">
        <f>COUNTIF(Table15[Spawner],Table1[[#This Row],[Spawner Prefab]])</f>
        <v>4</v>
      </c>
      <c r="Q78" s="100">
        <f>ROUND((Table1[[#This Row],[Total in "Castle" scene]]/SUM(Table1[Total in "Castle" scene]))*100,1)</f>
        <v>0.2</v>
      </c>
      <c r="R78" s="105">
        <f>COUNTIF(Table20[Spawner],Table1[[#This Row],[Spawner Prefab]])</f>
        <v>1</v>
      </c>
      <c r="S78" s="97">
        <f>ROUND((Table1[[#This Row],[Total in "Dark" scene]]/SUM(Table1[Total in "Dark" scene]))*100,1)</f>
        <v>0.1</v>
      </c>
      <c r="T78" s="111">
        <f>Table1[[#This Row],[Total in "Village" scene]]+Table1[[#This Row],[Total in "Castle" scene]]+Table1[[#This Row],[Total in "Dark" scene]]</f>
        <v>25</v>
      </c>
      <c r="U78" s="99">
        <f>ROUND((Table1[[#This Row],[Total in the game]]/SUM(Table1[Total in the game]))*100,1)</f>
        <v>0.5</v>
      </c>
      <c r="V78" s="154" t="str">
        <f>Table1[[#This Row],[Content Sku]]</f>
        <v>Ring</v>
      </c>
      <c r="W78" s="158" t="s">
        <v>18</v>
      </c>
      <c r="X78" s="115" t="s">
        <v>327</v>
      </c>
      <c r="Y78" s="119" t="s">
        <v>327</v>
      </c>
      <c r="Z78" s="119" t="s">
        <v>327</v>
      </c>
    </row>
    <row r="79" spans="4:26" x14ac:dyDescent="0.25">
      <c r="D79" s="78" t="s">
        <v>2741</v>
      </c>
      <c r="E79" s="78" t="s">
        <v>2737</v>
      </c>
      <c r="F79" s="78" t="s">
        <v>2742</v>
      </c>
      <c r="G79" s="103">
        <v>240</v>
      </c>
      <c r="H79" s="103">
        <v>240</v>
      </c>
      <c r="I79" s="108">
        <v>0</v>
      </c>
      <c r="J79" s="93">
        <v>10</v>
      </c>
      <c r="K79" s="93">
        <v>0</v>
      </c>
      <c r="L79" s="93">
        <v>0</v>
      </c>
      <c r="M79" s="93" t="s">
        <v>8</v>
      </c>
      <c r="N79" s="104">
        <f>COUNTIF(Table7[Spawner],Table1[[#This Row],[Spawner Prefab]])</f>
        <v>5</v>
      </c>
      <c r="O79" s="96">
        <f>ROUND((Table1[[#This Row],[Total in "Village" scene]]/SUM(Table1[Total in "Village" scene]))*100,1)</f>
        <v>0.2</v>
      </c>
      <c r="P79" s="110">
        <f>COUNTIF(Table15[Spawner],Table1[[#This Row],[Spawner Prefab]])</f>
        <v>1</v>
      </c>
      <c r="Q79" s="100">
        <f>ROUND((Table1[[#This Row],[Total in "Castle" scene]]/SUM(Table1[Total in "Castle" scene]))*100,1)</f>
        <v>0.1</v>
      </c>
      <c r="R79" s="105">
        <f>COUNTIF(Table20[Spawner],Table1[[#This Row],[Spawner Prefab]])</f>
        <v>1</v>
      </c>
      <c r="S79" s="97">
        <f>ROUND((Table1[[#This Row],[Total in "Dark" scene]]/SUM(Table1[Total in "Dark" scene]))*100,1)</f>
        <v>0.1</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2735</v>
      </c>
      <c r="X79" s="115" t="s">
        <v>327</v>
      </c>
      <c r="Y79" s="119" t="s">
        <v>327</v>
      </c>
      <c r="Z79" s="119" t="s">
        <v>327</v>
      </c>
    </row>
    <row r="80" spans="4:26" x14ac:dyDescent="0.25">
      <c r="D80" s="78" t="s">
        <v>2743</v>
      </c>
      <c r="E80" s="78" t="s">
        <v>2737</v>
      </c>
      <c r="F80" s="78" t="s">
        <v>2744</v>
      </c>
      <c r="G80" s="103">
        <v>240</v>
      </c>
      <c r="H80" s="103">
        <v>240</v>
      </c>
      <c r="I80" s="108">
        <v>0</v>
      </c>
      <c r="J80" s="93">
        <v>10</v>
      </c>
      <c r="K80" s="93">
        <v>0</v>
      </c>
      <c r="L80" s="93">
        <v>0</v>
      </c>
      <c r="M80" s="93" t="s">
        <v>8</v>
      </c>
      <c r="N80" s="104">
        <f>COUNTIF(Table7[Spawner],Table1[[#This Row],[Spawner Prefab]])</f>
        <v>9</v>
      </c>
      <c r="O80" s="96">
        <f>ROUND((Table1[[#This Row],[Total in "Village" scene]]/SUM(Table1[Total in "Village" scene]))*100,1)</f>
        <v>0.4</v>
      </c>
      <c r="P80" s="110">
        <f>COUNTIF(Table15[Spawner],Table1[[#This Row],[Spawner Prefab]])</f>
        <v>14</v>
      </c>
      <c r="Q80" s="100">
        <f>ROUND((Table1[[#This Row],[Total in "Castle" scene]]/SUM(Table1[Total in "Castle" scene]))*100,1)</f>
        <v>0.7</v>
      </c>
      <c r="R80" s="105">
        <f>COUNTIF(Table20[Spawner],Table1[[#This Row],[Spawner Prefab]])</f>
        <v>10</v>
      </c>
      <c r="S80" s="97">
        <f>ROUND((Table1[[#This Row],[Total in "Dark" scene]]/SUM(Table1[Total in "Dark" scene]))*100,1)</f>
        <v>0.9</v>
      </c>
      <c r="T80" s="111">
        <f>Table1[[#This Row],[Total in "Village" scene]]+Table1[[#This Row],[Total in "Castle" scene]]+Table1[[#This Row],[Total in "Dark" scene]]</f>
        <v>33</v>
      </c>
      <c r="U80" s="99">
        <f>ROUND((Table1[[#This Row],[Total in the game]]/SUM(Table1[Total in the game]))*100,1)</f>
        <v>0.6</v>
      </c>
      <c r="V80" s="154" t="str">
        <f>Table1[[#This Row],[Content Sku]]</f>
        <v>Ring</v>
      </c>
      <c r="W80" s="161" t="s">
        <v>2764</v>
      </c>
      <c r="X80" s="115" t="s">
        <v>327</v>
      </c>
      <c r="Y80" s="119" t="s">
        <v>327</v>
      </c>
      <c r="Z80" s="119" t="s">
        <v>327</v>
      </c>
    </row>
    <row r="81" spans="4:26" x14ac:dyDescent="0.25">
      <c r="D81" s="78" t="s">
        <v>2745</v>
      </c>
      <c r="E81" s="78" t="s">
        <v>2746</v>
      </c>
      <c r="F81" s="78" t="s">
        <v>2747</v>
      </c>
      <c r="G81" s="103">
        <v>240</v>
      </c>
      <c r="H81" s="103">
        <v>240</v>
      </c>
      <c r="I81" s="108">
        <v>0</v>
      </c>
      <c r="J81" s="93">
        <v>10</v>
      </c>
      <c r="K81" s="93">
        <v>0</v>
      </c>
      <c r="L81" s="93">
        <v>0</v>
      </c>
      <c r="M81" s="93" t="s">
        <v>8</v>
      </c>
      <c r="N81" s="104">
        <f>COUNTIF(Table7[Spawner],Table1[[#This Row],[Spawner Prefab]])</f>
        <v>13</v>
      </c>
      <c r="O81" s="96">
        <f>ROUND((Table1[[#This Row],[Total in "Village" scene]]/SUM(Table1[Total in "Village" scene]))*100,1)</f>
        <v>0.5</v>
      </c>
      <c r="P81" s="110">
        <f>COUNTIF(Table15[Spawner],Table1[[#This Row],[Spawner Prefab]])</f>
        <v>2</v>
      </c>
      <c r="Q81" s="100">
        <f>ROUND((Table1[[#This Row],[Total in "Castle" scene]]/SUM(Table1[Total in "Castle" scene]))*100,1)</f>
        <v>0.1</v>
      </c>
      <c r="R81" s="105">
        <f>COUNTIF(Table20[Spawner],Table1[[#This Row],[Spawner Prefab]])</f>
        <v>7</v>
      </c>
      <c r="S81" s="97">
        <f>ROUND((Table1[[#This Row],[Total in "Dark" scene]]/SUM(Table1[Total in "Dark" scene]))*100,1)</f>
        <v>0.7</v>
      </c>
      <c r="T81" s="111">
        <f>Table1[[#This Row],[Total in "Village" scene]]+Table1[[#This Row],[Total in "Castle" scene]]+Table1[[#This Row],[Total in "Dark" scene]]</f>
        <v>22</v>
      </c>
      <c r="U81" s="99">
        <f>ROUND((Table1[[#This Row],[Total in the game]]/SUM(Table1[Total in the game]))*100,1)</f>
        <v>0.4</v>
      </c>
      <c r="V81" s="154" t="str">
        <f>Table1[[#This Row],[Content Sku]]</f>
        <v>RouletteCoins</v>
      </c>
      <c r="W81" s="161" t="s">
        <v>2765</v>
      </c>
      <c r="X81" s="115" t="s">
        <v>327</v>
      </c>
      <c r="Y81" s="119" t="s">
        <v>327</v>
      </c>
      <c r="Z81" s="119" t="s">
        <v>327</v>
      </c>
    </row>
    <row r="82" spans="4:26" x14ac:dyDescent="0.25">
      <c r="D82" s="78" t="s">
        <v>551</v>
      </c>
      <c r="E82" s="78" t="s">
        <v>550</v>
      </c>
      <c r="F82" s="78" t="s">
        <v>552</v>
      </c>
      <c r="G82" s="103">
        <v>500</v>
      </c>
      <c r="H82" s="103">
        <v>500</v>
      </c>
      <c r="I82" s="108">
        <v>0</v>
      </c>
      <c r="J82" s="93">
        <v>50</v>
      </c>
      <c r="K82" s="93">
        <v>0</v>
      </c>
      <c r="L82" s="93">
        <v>0</v>
      </c>
      <c r="M82" s="93" t="s">
        <v>8</v>
      </c>
      <c r="N82" s="104">
        <f>COUNTIF(Table7[Spawner],Table1[[#This Row],[Spawner Prefab]])</f>
        <v>38</v>
      </c>
      <c r="O82" s="96">
        <f>ROUND((Table1[[#This Row],[Total in "Village" scene]]/SUM(Table1[Total in "Village" scene]))*100,1)</f>
        <v>1.5</v>
      </c>
      <c r="P82" s="110">
        <f>COUNTIF(Table15[Spawner],Table1[[#This Row],[Spawner Prefab]])</f>
        <v>43</v>
      </c>
      <c r="Q82" s="100">
        <f>ROUND((Table1[[#This Row],[Total in "Castle" scene]]/SUM(Table1[Total in "Castle" scene]))*100,1)</f>
        <v>2.2000000000000002</v>
      </c>
      <c r="R82" s="105">
        <f>COUNTIF(Table20[Spawner],Table1[[#This Row],[Spawner Prefab]])</f>
        <v>27</v>
      </c>
      <c r="S82" s="97">
        <f>ROUND((Table1[[#This Row],[Total in "Dark" scene]]/SUM(Table1[Total in "Dark" scene]))*100,1)</f>
        <v>2.5</v>
      </c>
      <c r="T82" s="111">
        <f>Table1[[#This Row],[Total in "Village" scene]]+Table1[[#This Row],[Total in "Castle" scene]]+Table1[[#This Row],[Total in "Dark" scene]]</f>
        <v>108</v>
      </c>
      <c r="U82" s="99">
        <f>ROUND((Table1[[#This Row],[Total in the game]]/SUM(Table1[Total in the game]))*100,1)</f>
        <v>2</v>
      </c>
      <c r="V82" s="154" t="str">
        <f>Table1[[#This Row],[Content Sku]]</f>
        <v>GoodJunkScore</v>
      </c>
      <c r="W82" s="161" t="s">
        <v>2766</v>
      </c>
      <c r="X82" s="115" t="s">
        <v>327</v>
      </c>
      <c r="Y82" s="119" t="s">
        <v>327</v>
      </c>
      <c r="Z82" s="119" t="s">
        <v>327</v>
      </c>
    </row>
    <row r="83" spans="4:26" x14ac:dyDescent="0.25">
      <c r="D83" s="78" t="s">
        <v>2748</v>
      </c>
      <c r="E83" s="78" t="s">
        <v>3860</v>
      </c>
      <c r="F83" s="78" t="s">
        <v>2749</v>
      </c>
      <c r="G83" s="103">
        <v>500</v>
      </c>
      <c r="H83" s="103">
        <v>500</v>
      </c>
      <c r="I83" s="108">
        <v>0</v>
      </c>
      <c r="J83" s="93">
        <v>50</v>
      </c>
      <c r="K83" s="93">
        <v>0</v>
      </c>
      <c r="L83" s="93">
        <v>0</v>
      </c>
      <c r="M83" s="93" t="s">
        <v>8</v>
      </c>
      <c r="N83" s="104">
        <f>COUNTIF(Table7[Spawner],Table1[[#This Row],[Spawner Prefab]])</f>
        <v>201</v>
      </c>
      <c r="O83" s="96">
        <f>ROUND((Table1[[#This Row],[Total in "Village" scene]]/SUM(Table1[Total in "Village" scene]))*100,1)</f>
        <v>8.1999999999999993</v>
      </c>
      <c r="P83" s="110">
        <f>COUNTIF(Table15[Spawner],Table1[[#This Row],[Spawner Prefab]])</f>
        <v>18</v>
      </c>
      <c r="Q83" s="100">
        <f>ROUND((Table1[[#This Row],[Total in "Castle" scene]]/SUM(Table1[Total in "Castle" scene]))*100,1)</f>
        <v>0.9</v>
      </c>
      <c r="R83" s="105">
        <f>COUNTIF(Table20[Spawner],Table1[[#This Row],[Spawner Prefab]])</f>
        <v>101</v>
      </c>
      <c r="S83" s="97">
        <f>ROUND((Table1[[#This Row],[Total in "Dark" scene]]/SUM(Table1[Total in "Dark" scene]))*100,1)</f>
        <v>9.5</v>
      </c>
      <c r="T83" s="111">
        <f>Table1[[#This Row],[Total in "Village" scene]]+Table1[[#This Row],[Total in "Castle" scene]]+Table1[[#This Row],[Total in "Dark" scene]]</f>
        <v>320</v>
      </c>
      <c r="U83" s="99">
        <f>ROUND((Table1[[#This Row],[Total in the game]]/SUM(Table1[Total in the game]))*100,1)</f>
        <v>5.8</v>
      </c>
      <c r="V83" s="154" t="str">
        <f>Table1[[#This Row],[Content Sku]]</f>
        <v>StarSky</v>
      </c>
      <c r="W83" s="159" t="s">
        <v>552</v>
      </c>
      <c r="X83" s="146" t="s">
        <v>327</v>
      </c>
      <c r="Y83" s="147" t="s">
        <v>327</v>
      </c>
      <c r="Z83" s="147" t="s">
        <v>327</v>
      </c>
    </row>
    <row r="84" spans="4:26" x14ac:dyDescent="0.25">
      <c r="D84" s="78" t="s">
        <v>417</v>
      </c>
      <c r="E84" s="78" t="s">
        <v>416</v>
      </c>
      <c r="F84" s="78" t="s">
        <v>517</v>
      </c>
      <c r="G84" s="103">
        <v>200</v>
      </c>
      <c r="H84" s="103">
        <v>200</v>
      </c>
      <c r="I84" s="108">
        <v>20</v>
      </c>
      <c r="J84" s="93">
        <v>25</v>
      </c>
      <c r="K84" s="93">
        <v>0</v>
      </c>
      <c r="L84" s="93">
        <v>0</v>
      </c>
      <c r="M84" s="93" t="s">
        <v>8</v>
      </c>
      <c r="N84" s="104">
        <f>COUNTIF(Table7[Spawner],Table1[[#This Row],[Spawner Prefab]])</f>
        <v>5</v>
      </c>
      <c r="O84" s="96">
        <f>ROUND((Table1[[#This Row],[Total in "Village" scene]]/SUM(Table1[Total in "Village" scene]))*100,1)</f>
        <v>0.2</v>
      </c>
      <c r="P84" s="110">
        <f>COUNTIF(Table15[Spawner],Table1[[#This Row],[Spawner Prefab]])</f>
        <v>0</v>
      </c>
      <c r="Q84" s="100">
        <f>ROUND((Table1[[#This Row],[Total in "Castle" scene]]/SUM(Table1[Total in "Castle" scene]))*100,1)</f>
        <v>0</v>
      </c>
      <c r="R84" s="105">
        <f>COUNTIF(Table20[Spawner],Table1[[#This Row],[Spawner Prefab]])</f>
        <v>11</v>
      </c>
      <c r="S84" s="97">
        <f>ROUND((Table1[[#This Row],[Total in "Dark" scene]]/SUM(Table1[Total in "Dark" scene]))*100,1)</f>
        <v>1</v>
      </c>
      <c r="T84" s="111">
        <f>Table1[[#This Row],[Total in "Village" scene]]+Table1[[#This Row],[Total in "Castle" scene]]+Table1[[#This Row],[Total in "Dark" scene]]</f>
        <v>16</v>
      </c>
      <c r="U84" s="99">
        <f>ROUND((Table1[[#This Row],[Total in the game]]/SUM(Table1[Total in the game]))*100,1)</f>
        <v>0.3</v>
      </c>
      <c r="V84" s="154" t="s">
        <v>416</v>
      </c>
      <c r="W84" s="158" t="s">
        <v>453</v>
      </c>
      <c r="X84" s="115" t="s">
        <v>328</v>
      </c>
      <c r="Y84" s="119" t="s">
        <v>328</v>
      </c>
      <c r="Z84" s="119" t="s">
        <v>328</v>
      </c>
    </row>
    <row r="85" spans="4:26" x14ac:dyDescent="0.25">
      <c r="D85" s="78" t="s">
        <v>537</v>
      </c>
      <c r="E85" s="78" t="s">
        <v>536</v>
      </c>
      <c r="F85" s="78" t="s">
        <v>538</v>
      </c>
      <c r="G85" s="103">
        <v>200</v>
      </c>
      <c r="H85" s="103">
        <v>200</v>
      </c>
      <c r="I85" s="108">
        <v>15</v>
      </c>
      <c r="J85" s="93">
        <v>95</v>
      </c>
      <c r="K85" s="93">
        <v>0</v>
      </c>
      <c r="L85" s="93">
        <v>0</v>
      </c>
      <c r="M85" s="93" t="s">
        <v>8</v>
      </c>
      <c r="N85" s="104">
        <f>COUNTIF(Table7[Spawner],Table1[[#This Row],[Spawner Prefab]])</f>
        <v>0</v>
      </c>
      <c r="O85" s="96">
        <f>ROUND((Table1[[#This Row],[Total in "Village" scene]]/SUM(Table1[Total in "Village" scene]))*100,1)</f>
        <v>0</v>
      </c>
      <c r="P85" s="110">
        <f>COUNTIF(Table15[Spawner],Table1[[#This Row],[Spawner Prefab]])</f>
        <v>0</v>
      </c>
      <c r="Q85" s="100">
        <f>ROUND((Table1[[#This Row],[Total in "Castle" scene]]/SUM(Table1[Total in "Castle" scene]))*100,1)</f>
        <v>0</v>
      </c>
      <c r="R85" s="105">
        <f>COUNTIF(Table20[Spawner],Table1[[#This Row],[Spawner Prefab]])</f>
        <v>0</v>
      </c>
      <c r="S85" s="97">
        <f>ROUND((Table1[[#This Row],[Total in "Dark" scene]]/SUM(Table1[Total in "Dark" scene]))*100,1)</f>
        <v>0</v>
      </c>
      <c r="T85" s="111">
        <f>Table1[[#This Row],[Total in "Village" scene]]+Table1[[#This Row],[Total in "Castle" scene]]+Table1[[#This Row],[Total in "Dark" scene]]</f>
        <v>0</v>
      </c>
      <c r="U85" s="99">
        <f>ROUND((Table1[[#This Row],[Total in the game]]/SUM(Table1[Total in the game]))*100,1)</f>
        <v>0</v>
      </c>
      <c r="V85" s="154" t="s">
        <v>416</v>
      </c>
      <c r="W85" s="159" t="s">
        <v>23</v>
      </c>
      <c r="X85" s="146" t="s">
        <v>327</v>
      </c>
      <c r="Y85" s="147" t="s">
        <v>327</v>
      </c>
      <c r="Z85" s="147" t="s">
        <v>327</v>
      </c>
    </row>
    <row r="86" spans="4:26" x14ac:dyDescent="0.25">
      <c r="D86" s="78" t="s">
        <v>556</v>
      </c>
      <c r="E86" s="78" t="s">
        <v>416</v>
      </c>
      <c r="F86" s="78" t="s">
        <v>517</v>
      </c>
      <c r="G86" s="103">
        <v>200</v>
      </c>
      <c r="H86" s="103">
        <v>200</v>
      </c>
      <c r="I86" s="108">
        <v>20</v>
      </c>
      <c r="J86" s="93">
        <v>25</v>
      </c>
      <c r="K86" s="93">
        <v>0</v>
      </c>
      <c r="L86" s="93">
        <v>0</v>
      </c>
      <c r="M86" s="93" t="s">
        <v>8</v>
      </c>
      <c r="N86" s="104">
        <f>COUNTIF(Table7[Spawner],Table1[[#This Row],[Spawner Prefab]])</f>
        <v>0</v>
      </c>
      <c r="O86" s="96">
        <f>ROUND((Table1[[#This Row],[Total in "Village" scene]]/SUM(Table1[Total in "Village" scene]))*100,1)</f>
        <v>0</v>
      </c>
      <c r="P86" s="110">
        <f>COUNTIF(Table15[Spawner],Table1[[#This Row],[Spawner Prefab]])</f>
        <v>0</v>
      </c>
      <c r="Q86" s="100">
        <f>ROUND((Table1[[#This Row],[Total in "Castle" scene]]/SUM(Table1[Total in "Castle" scene]))*100,1)</f>
        <v>0</v>
      </c>
      <c r="R86" s="105">
        <f>COUNTIF(Table20[Spawner],Table1[[#This Row],[Spawner Prefab]])</f>
        <v>7</v>
      </c>
      <c r="S86" s="97">
        <f>ROUND((Table1[[#This Row],[Total in "Dark" scene]]/SUM(Table1[Total in "Dark" scene]))*100,1)</f>
        <v>0.7</v>
      </c>
      <c r="T86" s="111">
        <f>Table1[[#This Row],[Total in "Village" scene]]+Table1[[#This Row],[Total in "Castle" scene]]+Table1[[#This Row],[Total in "Dark" scene]]</f>
        <v>7</v>
      </c>
      <c r="U86" s="99">
        <f>ROUND((Table1[[#This Row],[Total in the game]]/SUM(Table1[Total in the game]))*100,1)</f>
        <v>0.1</v>
      </c>
      <c r="V86" s="154" t="s">
        <v>416</v>
      </c>
      <c r="W86" s="158" t="s">
        <v>25</v>
      </c>
      <c r="X86" s="115" t="s">
        <v>328</v>
      </c>
      <c r="Y86" s="119" t="s">
        <v>328</v>
      </c>
      <c r="Z86" s="119" t="s">
        <v>328</v>
      </c>
    </row>
    <row r="87" spans="4:26" x14ac:dyDescent="0.25">
      <c r="D87" s="78" t="s">
        <v>452</v>
      </c>
      <c r="E87" s="78" t="s">
        <v>481</v>
      </c>
      <c r="F87" s="78" t="s">
        <v>453</v>
      </c>
      <c r="G87" s="103">
        <v>310</v>
      </c>
      <c r="H87" s="103">
        <v>310</v>
      </c>
      <c r="I87" s="108">
        <v>400</v>
      </c>
      <c r="J87" s="93">
        <v>103</v>
      </c>
      <c r="K87" s="93">
        <v>1</v>
      </c>
      <c r="L87" s="93">
        <v>2</v>
      </c>
      <c r="M87" s="93">
        <v>60</v>
      </c>
      <c r="N87" s="104">
        <f>COUNTIF(Table7[Spawner],Table1[[#This Row],[Spawner Prefab]])</f>
        <v>0</v>
      </c>
      <c r="O87" s="96">
        <f>ROUND((Table1[[#This Row],[Total in "Village" scene]]/SUM(Table1[Total in "Village" scene]))*100,1)</f>
        <v>0</v>
      </c>
      <c r="P87" s="110">
        <f>COUNTIF(Table15[Spawner],Table1[[#This Row],[Spawner Prefab]])</f>
        <v>13</v>
      </c>
      <c r="Q87" s="100">
        <f>ROUND((Table1[[#This Row],[Total in "Castle" scene]]/SUM(Table1[Total in "Castle" scene]))*100,1)</f>
        <v>0.7</v>
      </c>
      <c r="R87" s="105">
        <f>COUNTIF(Table20[Spawner],Table1[[#This Row],[Spawner Prefab]])</f>
        <v>0</v>
      </c>
      <c r="S87" s="97">
        <f>ROUND((Table1[[#This Row],[Total in "Dark" scene]]/SUM(Table1[Total in "Dark" scene]))*100,1)</f>
        <v>0</v>
      </c>
      <c r="T87" s="111">
        <f>Table1[[#This Row],[Total in "Village" scene]]+Table1[[#This Row],[Total in "Castle" scene]]+Table1[[#This Row],[Total in "Dark" scene]]</f>
        <v>13</v>
      </c>
      <c r="U87" s="99">
        <f>ROUND((Table1[[#This Row],[Total in the game]]/SUM(Table1[Total in the game]))*100,1)</f>
        <v>0.2</v>
      </c>
      <c r="V87" s="154" t="str">
        <f>Table1[[#This Row],[Content Sku]]</f>
        <v>Guardian</v>
      </c>
      <c r="W87" s="158" t="s">
        <v>2663</v>
      </c>
      <c r="X87" s="115" t="s">
        <v>327</v>
      </c>
      <c r="Y87" s="119" t="s">
        <v>327</v>
      </c>
      <c r="Z87" s="119" t="s">
        <v>327</v>
      </c>
    </row>
    <row r="88" spans="4:26" x14ac:dyDescent="0.25">
      <c r="D88" s="78" t="s">
        <v>137</v>
      </c>
      <c r="E88" s="78" t="s">
        <v>8</v>
      </c>
      <c r="F88" s="78" t="s">
        <v>23</v>
      </c>
      <c r="G88" s="103">
        <v>450</v>
      </c>
      <c r="H88" s="103">
        <v>450</v>
      </c>
      <c r="I88" s="108" t="s">
        <v>8</v>
      </c>
      <c r="J88" s="93"/>
      <c r="K88" s="93"/>
      <c r="L88" s="93"/>
      <c r="M88" s="93"/>
      <c r="N88" s="104">
        <f>COUNTIF(Table7[Spawner],Table1[[#This Row],[Spawner Prefab]])</f>
        <v>6</v>
      </c>
      <c r="O88" s="96">
        <f>ROUND((Table1[[#This Row],[Total in "Village" scene]]/SUM(Table1[Total in "Village" scene]))*100,1)</f>
        <v>0.2</v>
      </c>
      <c r="P88" s="110">
        <f>COUNTIF(Table15[Spawner],Table1[[#This Row],[Spawner Prefab]])</f>
        <v>7</v>
      </c>
      <c r="Q88" s="100">
        <f>ROUND((Table1[[#This Row],[Total in "Castle" scene]]/SUM(Table1[Total in "Castle" scene]))*100,1)</f>
        <v>0.4</v>
      </c>
      <c r="R88" s="105">
        <f>COUNTIF(Table20[Spawner],Table1[[#This Row],[Spawner Prefab]])</f>
        <v>7</v>
      </c>
      <c r="S88" s="97">
        <f>ROUND((Table1[[#This Row],[Total in "Dark" scene]]/SUM(Table1[Total in "Dark" scene]))*100,1)</f>
        <v>0.7</v>
      </c>
      <c r="T88" s="111">
        <f>Table1[[#This Row],[Total in "Village" scene]]+Table1[[#This Row],[Total in "Castle" scene]]+Table1[[#This Row],[Total in "Dark" scene]]</f>
        <v>20</v>
      </c>
      <c r="U88" s="99">
        <f>ROUND((Table1[[#This Row],[Total in the game]]/SUM(Table1[Total in the game]))*100,1)</f>
        <v>0.4</v>
      </c>
      <c r="V88" s="154" t="str">
        <f>Table1[[#This Row],[Content Sku]]</f>
        <v>-</v>
      </c>
      <c r="W88" s="160" t="s">
        <v>2662</v>
      </c>
      <c r="X88" s="147" t="s">
        <v>327</v>
      </c>
      <c r="Y88" s="147" t="s">
        <v>327</v>
      </c>
      <c r="Z88" s="147" t="s">
        <v>327</v>
      </c>
    </row>
    <row r="89" spans="4:26" x14ac:dyDescent="0.25">
      <c r="D89" s="78" t="s">
        <v>45</v>
      </c>
      <c r="E89" s="78" t="s">
        <v>110</v>
      </c>
      <c r="F89" s="78" t="s">
        <v>25</v>
      </c>
      <c r="G89" s="103">
        <v>180</v>
      </c>
      <c r="H89" s="103">
        <v>180</v>
      </c>
      <c r="I89" s="108">
        <v>20</v>
      </c>
      <c r="J89" s="93">
        <v>25</v>
      </c>
      <c r="K89" s="93">
        <v>0</v>
      </c>
      <c r="L89" s="93">
        <v>0</v>
      </c>
      <c r="M89" s="93">
        <v>25</v>
      </c>
      <c r="N89" s="104">
        <f>COUNTIF(Table7[Spawner],Table1[[#This Row],[Spawner Prefab]])</f>
        <v>17</v>
      </c>
      <c r="O89" s="96">
        <f>ROUND((Table1[[#This Row],[Total in "Village" scene]]/SUM(Table1[Total in "Village" scene]))*100,1)</f>
        <v>0.7</v>
      </c>
      <c r="P89" s="110">
        <f>COUNTIF(Table15[Spawner],Table1[[#This Row],[Spawner Prefab]])</f>
        <v>8</v>
      </c>
      <c r="Q89" s="100">
        <f>ROUND((Table1[[#This Row],[Total in "Castle" scene]]/SUM(Table1[Total in "Castle" scene]))*100,1)</f>
        <v>0.4</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25</v>
      </c>
      <c r="U89" s="99">
        <f>ROUND((Table1[[#This Row],[Total in the game]]/SUM(Table1[Total in the game]))*100,1)</f>
        <v>0.5</v>
      </c>
      <c r="V89" s="154" t="str">
        <f>Table1[[#This Row],[Content Sku]]</f>
        <v>Hawk</v>
      </c>
      <c r="W89" s="160" t="s">
        <v>2661</v>
      </c>
      <c r="X89" s="147" t="s">
        <v>327</v>
      </c>
      <c r="Y89" s="147" t="s">
        <v>327</v>
      </c>
      <c r="Z89" s="147" t="s">
        <v>327</v>
      </c>
    </row>
    <row r="90" spans="4:26" x14ac:dyDescent="0.25">
      <c r="D90" s="78" t="s">
        <v>2687</v>
      </c>
      <c r="E90" s="78" t="s">
        <v>2645</v>
      </c>
      <c r="F90" s="78" t="s">
        <v>2663</v>
      </c>
      <c r="G90" s="103">
        <v>90</v>
      </c>
      <c r="H90" s="103">
        <v>90</v>
      </c>
      <c r="I90" s="108">
        <v>18</v>
      </c>
      <c r="J90" s="93">
        <v>25</v>
      </c>
      <c r="K90" s="93">
        <v>2</v>
      </c>
      <c r="L90" s="93">
        <v>2</v>
      </c>
      <c r="M90" s="93" t="s">
        <v>8</v>
      </c>
      <c r="N90" s="104">
        <f>COUNTIF(Table7[Spawner],Table1[[#This Row],[Spawner Prefab]])</f>
        <v>0</v>
      </c>
      <c r="O90" s="96">
        <f>ROUND((Table1[[#This Row],[Total in "Village" scene]]/SUM(Table1[Total in "Village" scene]))*100,1)</f>
        <v>0</v>
      </c>
      <c r="P90" s="110">
        <f>COUNTIF(Table15[Spawner],Table1[[#This Row],[Spawner Prefab]])</f>
        <v>0</v>
      </c>
      <c r="Q90" s="100">
        <f>ROUND((Table1[[#This Row],[Total in "Castle" scene]]/SUM(Table1[Total in "Castle" scene]))*100,1)</f>
        <v>0</v>
      </c>
      <c r="R90" s="105">
        <f>COUNTIF(Table20[Spawner],Table1[[#This Row],[Spawner Prefab]])</f>
        <v>17</v>
      </c>
      <c r="S90" s="97">
        <f>ROUND((Table1[[#This Row],[Total in "Dark" scene]]/SUM(Table1[Total in "Dark" scene]))*100,1)</f>
        <v>1.6</v>
      </c>
      <c r="T90" s="111">
        <f>Table1[[#This Row],[Total in "Village" scene]]+Table1[[#This Row],[Total in "Castle" scene]]+Table1[[#This Row],[Total in "Dark" scene]]</f>
        <v>17</v>
      </c>
      <c r="U90" s="99">
        <f>ROUND((Table1[[#This Row],[Total in the game]]/SUM(Table1[Total in the game]))*100,1)</f>
        <v>0.3</v>
      </c>
      <c r="V90" s="154" t="str">
        <f>Table1[[#This Row],[Content Sku]]</f>
        <v>HermitCrabBlueBig</v>
      </c>
      <c r="W90" s="160" t="s">
        <v>2691</v>
      </c>
      <c r="X90" s="147" t="s">
        <v>328</v>
      </c>
      <c r="Y90" s="147" t="s">
        <v>328</v>
      </c>
      <c r="Z90" s="147" t="s">
        <v>328</v>
      </c>
    </row>
    <row r="91" spans="4:26" x14ac:dyDescent="0.25">
      <c r="D91" s="78" t="s">
        <v>2674</v>
      </c>
      <c r="E91" s="78" t="s">
        <v>2646</v>
      </c>
      <c r="F91" s="78" t="s">
        <v>2662</v>
      </c>
      <c r="G91" s="103">
        <v>80</v>
      </c>
      <c r="H91" s="103">
        <v>80</v>
      </c>
      <c r="I91" s="108">
        <v>13</v>
      </c>
      <c r="J91" s="93">
        <v>25</v>
      </c>
      <c r="K91" s="93">
        <v>2</v>
      </c>
      <c r="L91" s="93">
        <v>2</v>
      </c>
      <c r="M91" s="93" t="s">
        <v>8</v>
      </c>
      <c r="N91" s="104">
        <f>COUNTIF(Table7[Spawner],Table1[[#This Row],[Spawner Prefab]])</f>
        <v>0</v>
      </c>
      <c r="O91" s="96">
        <f>ROUND((Table1[[#This Row],[Total in "Village" scene]]/SUM(Table1[Total in "Village" scene]))*100,1)</f>
        <v>0</v>
      </c>
      <c r="P91" s="110">
        <f>COUNTIF(Table15[Spawner],Table1[[#This Row],[Spawner Prefab]])</f>
        <v>0</v>
      </c>
      <c r="Q91" s="100">
        <f>ROUND((Table1[[#This Row],[Total in "Castle" scene]]/SUM(Table1[Total in "Castle" scene]))*100,1)</f>
        <v>0</v>
      </c>
      <c r="R91" s="105">
        <f>COUNTIF(Table20[Spawner],Table1[[#This Row],[Spawner Prefab]])</f>
        <v>39</v>
      </c>
      <c r="S91" s="97">
        <f>ROUND((Table1[[#This Row],[Total in "Dark" scene]]/SUM(Table1[Total in "Dark" scene]))*100,1)</f>
        <v>3.7</v>
      </c>
      <c r="T91" s="111">
        <f>Table1[[#This Row],[Total in "Village" scene]]+Table1[[#This Row],[Total in "Castle" scene]]+Table1[[#This Row],[Total in "Dark" scene]]</f>
        <v>39</v>
      </c>
      <c r="U91" s="99">
        <f>ROUND((Table1[[#This Row],[Total in the game]]/SUM(Table1[Total in the game]))*100,1)</f>
        <v>0.7</v>
      </c>
      <c r="V91" s="154" t="s">
        <v>2646</v>
      </c>
      <c r="W91" s="159" t="s">
        <v>7</v>
      </c>
      <c r="X91" s="146" t="s">
        <v>327</v>
      </c>
      <c r="Y91" s="147" t="s">
        <v>327</v>
      </c>
      <c r="Z91" s="147" t="s">
        <v>327</v>
      </c>
    </row>
    <row r="92" spans="4:26" x14ac:dyDescent="0.25">
      <c r="D92" s="78" t="s">
        <v>2671</v>
      </c>
      <c r="E92" s="78" t="s">
        <v>2647</v>
      </c>
      <c r="F92" s="78" t="s">
        <v>2661</v>
      </c>
      <c r="G92" s="103">
        <v>80</v>
      </c>
      <c r="H92" s="103">
        <v>80</v>
      </c>
      <c r="I92" s="108">
        <v>13</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1.6</v>
      </c>
      <c r="T92" s="111">
        <f>Table1[[#This Row],[Total in "Village" scene]]+Table1[[#This Row],[Total in "Castle" scene]]+Table1[[#This Row],[Total in "Dark" scene]]</f>
        <v>17</v>
      </c>
      <c r="U92" s="99">
        <f>ROUND((Table1[[#This Row],[Total in the game]]/SUM(Table1[Total in the game]))*100,1)</f>
        <v>0.3</v>
      </c>
      <c r="V92" s="154" t="s">
        <v>2646</v>
      </c>
      <c r="W92" s="158" t="s">
        <v>16</v>
      </c>
      <c r="X92" s="115" t="s">
        <v>327</v>
      </c>
      <c r="Y92" s="119" t="s">
        <v>327</v>
      </c>
      <c r="Z92" s="119" t="s">
        <v>327</v>
      </c>
    </row>
    <row r="93" spans="4:26" x14ac:dyDescent="0.25">
      <c r="D93" s="78" t="s">
        <v>2684</v>
      </c>
      <c r="E93" s="78" t="s">
        <v>2648</v>
      </c>
      <c r="F93" s="78" t="s">
        <v>2691</v>
      </c>
      <c r="G93" s="103">
        <v>150</v>
      </c>
      <c r="H93" s="103">
        <v>150</v>
      </c>
      <c r="I93" s="108">
        <v>18</v>
      </c>
      <c r="J93" s="93">
        <v>55</v>
      </c>
      <c r="K93" s="93">
        <v>2</v>
      </c>
      <c r="L93" s="93">
        <v>2</v>
      </c>
      <c r="M93" s="93">
        <v>10</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7</v>
      </c>
      <c r="S93" s="97">
        <f>ROUND((Table1[[#This Row],[Total in "Dark" scene]]/SUM(Table1[Total in "Dark" scene]))*100,1)</f>
        <v>0.7</v>
      </c>
      <c r="T93" s="111">
        <f>Table1[[#This Row],[Total in "Village" scene]]+Table1[[#This Row],[Total in "Castle" scene]]+Table1[[#This Row],[Total in "Dark" scene]]</f>
        <v>7</v>
      </c>
      <c r="U93" s="99">
        <f>ROUND((Table1[[#This Row],[Total in the game]]/SUM(Table1[Total in the game]))*100,1)</f>
        <v>0.1</v>
      </c>
      <c r="V93" s="154" t="str">
        <f>Table1[[#This Row],[Content Sku]]</f>
        <v>HermitCrabRedTurret</v>
      </c>
      <c r="W93" s="160" t="s">
        <v>2660</v>
      </c>
      <c r="X93" s="147" t="s">
        <v>328</v>
      </c>
      <c r="Y93" s="147" t="s">
        <v>328</v>
      </c>
      <c r="Z93" s="147" t="s">
        <v>328</v>
      </c>
    </row>
    <row r="94" spans="4:26" x14ac:dyDescent="0.25">
      <c r="D94" s="78" t="s">
        <v>15</v>
      </c>
      <c r="E94" s="78" t="s">
        <v>71</v>
      </c>
      <c r="F94" s="78" t="s">
        <v>7</v>
      </c>
      <c r="G94" s="103">
        <v>220</v>
      </c>
      <c r="H94" s="103">
        <v>220</v>
      </c>
      <c r="I94" s="108">
        <v>25</v>
      </c>
      <c r="J94" s="93">
        <v>83</v>
      </c>
      <c r="K94" s="93">
        <v>1</v>
      </c>
      <c r="L94" s="93">
        <v>1</v>
      </c>
      <c r="M94" s="93" t="s">
        <v>8</v>
      </c>
      <c r="N94" s="104">
        <f>COUNTIF(Table7[Spawner],Table1[[#This Row],[Spawner Prefab]])</f>
        <v>4</v>
      </c>
      <c r="O94" s="96">
        <f>ROUND((Table1[[#This Row],[Total in "Village" scene]]/SUM(Table1[Total in "Village" scene]))*100,1)</f>
        <v>0.2</v>
      </c>
      <c r="P94" s="110">
        <f>COUNTIF(Table15[Spawner],Table1[[#This Row],[Spawner Prefab]])</f>
        <v>0</v>
      </c>
      <c r="Q94" s="100">
        <f>ROUND((Table1[[#This Row],[Total in "Castle" scene]]/SUM(Table1[Total in "Castle" scene]))*100,1)</f>
        <v>0</v>
      </c>
      <c r="R94" s="105">
        <f>COUNTIF(Table20[Spawner],Table1[[#This Row],[Spawner Prefab]])</f>
        <v>0</v>
      </c>
      <c r="S94" s="97">
        <f>ROUND((Table1[[#This Row],[Total in "Dark" scene]]/SUM(Table1[Total in "Dark" scene]))*100,1)</f>
        <v>0</v>
      </c>
      <c r="T94" s="111">
        <f>Table1[[#This Row],[Total in "Village" scene]]+Table1[[#This Row],[Total in "Castle" scene]]+Table1[[#This Row],[Total in "Dark" scene]]</f>
        <v>4</v>
      </c>
      <c r="U94" s="99">
        <f>ROUND((Table1[[#This Row],[Total in the game]]/SUM(Table1[Total in the game]))*100,1)</f>
        <v>0.1</v>
      </c>
      <c r="V94" s="154" t="str">
        <f>Table1[[#This Row],[Content Sku]]</f>
        <v>Horse</v>
      </c>
      <c r="W94" s="160" t="s">
        <v>2692</v>
      </c>
      <c r="X94" s="147" t="s">
        <v>328</v>
      </c>
      <c r="Y94" s="147" t="s">
        <v>328</v>
      </c>
      <c r="Z94" s="147" t="s">
        <v>328</v>
      </c>
    </row>
    <row r="95" spans="4:26" x14ac:dyDescent="0.25">
      <c r="D95" s="78" t="s">
        <v>17</v>
      </c>
      <c r="E95" s="78" t="s">
        <v>71</v>
      </c>
      <c r="F95" s="78" t="s">
        <v>16</v>
      </c>
      <c r="G95" s="103">
        <v>220</v>
      </c>
      <c r="H95" s="103">
        <v>220</v>
      </c>
      <c r="I95" s="108">
        <v>25</v>
      </c>
      <c r="J95" s="93">
        <v>83</v>
      </c>
      <c r="K95" s="93">
        <v>1</v>
      </c>
      <c r="L95" s="93">
        <v>1</v>
      </c>
      <c r="M95" s="93" t="s">
        <v>8</v>
      </c>
      <c r="N95" s="104">
        <f>COUNTIF(Table7[Spawner],Table1[[#This Row],[Spawner Prefab]])</f>
        <v>5</v>
      </c>
      <c r="O95" s="96">
        <f>ROUND((Table1[[#This Row],[Total in "Village" scene]]/SUM(Table1[Total in "Village" scene]))*100,1)</f>
        <v>0.2</v>
      </c>
      <c r="P95" s="110">
        <f>COUNTIF(Table15[Spawner],Table1[[#This Row],[Spawner Prefab]])</f>
        <v>3</v>
      </c>
      <c r="Q95" s="100">
        <f>ROUND((Table1[[#This Row],[Total in "Castle" scene]]/SUM(Table1[Total in "Castle" scene]))*100,1)</f>
        <v>0.2</v>
      </c>
      <c r="R95" s="105">
        <f>COUNTIF(Table20[Spawner],Table1[[#This Row],[Spawner Prefab]])</f>
        <v>0</v>
      </c>
      <c r="S95" s="97">
        <f>ROUND((Table1[[#This Row],[Total in "Dark" scene]]/SUM(Table1[Total in "Dark" scene]))*100,1)</f>
        <v>0</v>
      </c>
      <c r="T95" s="111">
        <f>Table1[[#This Row],[Total in "Village" scene]]+Table1[[#This Row],[Total in "Castle" scene]]+Table1[[#This Row],[Total in "Dark" scene]]</f>
        <v>8</v>
      </c>
      <c r="U95" s="99">
        <f>ROUND((Table1[[#This Row],[Total in the game]]/SUM(Table1[Total in the game]))*100,1)</f>
        <v>0.1</v>
      </c>
      <c r="V95" s="154" t="str">
        <f>Table1[[#This Row],[Content Sku]]</f>
        <v>Horse</v>
      </c>
      <c r="W95" s="160" t="s">
        <v>2659</v>
      </c>
      <c r="X95" s="147" t="s">
        <v>328</v>
      </c>
      <c r="Y95" s="147" t="s">
        <v>328</v>
      </c>
      <c r="Z95" s="147" t="s">
        <v>328</v>
      </c>
    </row>
    <row r="96" spans="4:26" x14ac:dyDescent="0.25">
      <c r="D96" s="78" t="s">
        <v>2680</v>
      </c>
      <c r="E96" s="78" t="s">
        <v>2649</v>
      </c>
      <c r="F96" s="78" t="s">
        <v>2660</v>
      </c>
      <c r="G96" s="103">
        <v>200</v>
      </c>
      <c r="H96" s="103">
        <v>200</v>
      </c>
      <c r="I96" s="108">
        <v>10</v>
      </c>
      <c r="J96" s="93">
        <v>130</v>
      </c>
      <c r="K96" s="93">
        <v>4</v>
      </c>
      <c r="L96" s="93">
        <v>4</v>
      </c>
      <c r="M96" s="93">
        <v>21</v>
      </c>
      <c r="N96" s="104">
        <f>COUNTIF(Table7[Spawner],Table1[[#This Row],[Spawner Prefab]])</f>
        <v>0</v>
      </c>
      <c r="O96" s="96">
        <f>ROUND((Table1[[#This Row],[Total in "Village" scene]]/SUM(Table1[Total in "Village" scene]))*100,1)</f>
        <v>0</v>
      </c>
      <c r="P96" s="110">
        <f>COUNTIF(Table15[Spawner],Table1[[#This Row],[Spawner Prefab]])</f>
        <v>0</v>
      </c>
      <c r="Q96" s="100">
        <f>ROUND((Table1[[#This Row],[Total in "Castle" scene]]/SUM(Table1[Total in "Castle" scene]))*100,1)</f>
        <v>0</v>
      </c>
      <c r="R96" s="105">
        <f>COUNTIF(Table20[Spawner],Table1[[#This Row],[Spawner Prefab]])</f>
        <v>25</v>
      </c>
      <c r="S96" s="97">
        <f>ROUND((Table1[[#This Row],[Total in "Dark" scene]]/SUM(Table1[Total in "Dark" scene]))*100,1)</f>
        <v>2.2999999999999998</v>
      </c>
      <c r="T96" s="111">
        <f>Table1[[#This Row],[Total in "Village" scene]]+Table1[[#This Row],[Total in "Castle" scene]]+Table1[[#This Row],[Total in "Dark" scene]]</f>
        <v>25</v>
      </c>
      <c r="U96" s="99">
        <f>ROUND((Table1[[#This Row],[Total in the game]]/SUM(Table1[Total in the game]))*100,1)</f>
        <v>0.5</v>
      </c>
      <c r="V96" s="154" t="str">
        <f>Table1[[#This Row],[Content Sku]]</f>
        <v>JellyfishBlue</v>
      </c>
      <c r="W96" s="160" t="s">
        <v>2694</v>
      </c>
      <c r="X96" s="147" t="s">
        <v>328</v>
      </c>
      <c r="Y96" s="147" t="s">
        <v>328</v>
      </c>
      <c r="Z96" s="147" t="s">
        <v>328</v>
      </c>
    </row>
    <row r="97" spans="4:26" x14ac:dyDescent="0.25">
      <c r="D97" s="78" t="s">
        <v>2672</v>
      </c>
      <c r="E97" s="78" t="s">
        <v>2649</v>
      </c>
      <c r="F97" s="78" t="s">
        <v>2692</v>
      </c>
      <c r="G97" s="103">
        <v>200</v>
      </c>
      <c r="H97" s="103">
        <v>200</v>
      </c>
      <c r="I97" s="108">
        <v>10</v>
      </c>
      <c r="J97" s="93">
        <v>130</v>
      </c>
      <c r="K97" s="93">
        <v>4</v>
      </c>
      <c r="L97" s="93">
        <v>4</v>
      </c>
      <c r="M97" s="93">
        <v>21</v>
      </c>
      <c r="N97" s="104">
        <f>COUNTIF(Table7[Spawner],Table1[[#This Row],[Spawner Prefab]])</f>
        <v>0</v>
      </c>
      <c r="O97" s="96">
        <f>ROUND((Table1[[#This Row],[Total in "Village" scene]]/SUM(Table1[Total in "Village" scene]))*100,1)</f>
        <v>0</v>
      </c>
      <c r="P97" s="110">
        <f>COUNTIF(Table15[Spawner],Table1[[#This Row],[Spawner Prefab]])</f>
        <v>0</v>
      </c>
      <c r="Q97" s="100">
        <f>ROUND((Table1[[#This Row],[Total in "Castle" scene]]/SUM(Table1[Total in "Castle" scene]))*100,1)</f>
        <v>0</v>
      </c>
      <c r="R97" s="105">
        <f>COUNTIF(Table20[Spawner],Table1[[#This Row],[Spawner Prefab]])</f>
        <v>7</v>
      </c>
      <c r="S97" s="97">
        <f>ROUND((Table1[[#This Row],[Total in "Dark" scene]]/SUM(Table1[Total in "Dark" scene]))*100,1)</f>
        <v>0.7</v>
      </c>
      <c r="T97" s="111">
        <f>Table1[[#This Row],[Total in "Village" scene]]+Table1[[#This Row],[Total in "Castle" scene]]+Table1[[#This Row],[Total in "Dark" scene]]</f>
        <v>7</v>
      </c>
      <c r="U97" s="99">
        <f>ROUND((Table1[[#This Row],[Total in the game]]/SUM(Table1[Total in the game]))*100,1)</f>
        <v>0.1</v>
      </c>
      <c r="V97" s="154" t="str">
        <f>Table1[[#This Row],[Content Sku]]</f>
        <v>JellyfishBlue</v>
      </c>
      <c r="W97" s="158" t="s">
        <v>20</v>
      </c>
      <c r="X97" s="115" t="s">
        <v>328</v>
      </c>
      <c r="Y97" s="119" t="s">
        <v>328</v>
      </c>
      <c r="Z97" s="119" t="s">
        <v>328</v>
      </c>
    </row>
    <row r="98" spans="4:26" x14ac:dyDescent="0.25">
      <c r="D98" s="78" t="s">
        <v>2679</v>
      </c>
      <c r="E98" s="78" t="s">
        <v>2650</v>
      </c>
      <c r="F98" s="78" t="s">
        <v>2659</v>
      </c>
      <c r="G98" s="103">
        <v>250</v>
      </c>
      <c r="H98" s="103">
        <v>250</v>
      </c>
      <c r="I98" s="108">
        <v>12</v>
      </c>
      <c r="J98" s="93">
        <v>263</v>
      </c>
      <c r="K98" s="93">
        <v>5</v>
      </c>
      <c r="L98" s="93">
        <v>5</v>
      </c>
      <c r="M98" s="93">
        <v>25</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18</v>
      </c>
      <c r="S98" s="97">
        <f>ROUND((Table1[[#This Row],[Total in "Dark" scene]]/SUM(Table1[Total in "Dark" scene]))*100,1)</f>
        <v>1.7</v>
      </c>
      <c r="T98" s="111">
        <f>Table1[[#This Row],[Total in "Village" scene]]+Table1[[#This Row],[Total in "Castle" scene]]+Table1[[#This Row],[Total in "Dark" scene]]</f>
        <v>18</v>
      </c>
      <c r="U98" s="99">
        <f>ROUND((Table1[[#This Row],[Total in the game]]/SUM(Table1[Total in the game]))*100,1)</f>
        <v>0.3</v>
      </c>
      <c r="V98" s="154" t="str">
        <f>Table1[[#This Row],[Content Sku]]</f>
        <v>JellyfishRed</v>
      </c>
      <c r="W98" s="158" t="s">
        <v>26</v>
      </c>
      <c r="X98" s="115" t="s">
        <v>328</v>
      </c>
      <c r="Y98" s="119" t="s">
        <v>327</v>
      </c>
      <c r="Z98" s="119" t="s">
        <v>327</v>
      </c>
    </row>
    <row r="99" spans="4:26" ht="15" customHeight="1" x14ac:dyDescent="0.25">
      <c r="D99" s="78" t="s">
        <v>2693</v>
      </c>
      <c r="E99" s="78" t="s">
        <v>2650</v>
      </c>
      <c r="F99" s="78" t="s">
        <v>2694</v>
      </c>
      <c r="G99" s="103">
        <v>250</v>
      </c>
      <c r="H99" s="103">
        <v>250</v>
      </c>
      <c r="I99" s="108">
        <v>12</v>
      </c>
      <c r="J99" s="93">
        <v>263</v>
      </c>
      <c r="K99" s="93">
        <v>5</v>
      </c>
      <c r="L99" s="93">
        <v>5</v>
      </c>
      <c r="M99" s="93">
        <v>25</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6</v>
      </c>
      <c r="S99" s="97">
        <f>ROUND((Table1[[#This Row],[Total in "Dark" scene]]/SUM(Table1[Total in "Dark" scene]))*100,1)</f>
        <v>0.6</v>
      </c>
      <c r="T99" s="111">
        <f>Table1[[#This Row],[Total in "Village" scene]]+Table1[[#This Row],[Total in "Castle" scene]]+Table1[[#This Row],[Total in "Dark" scene]]</f>
        <v>6</v>
      </c>
      <c r="U99" s="99">
        <f>ROUND((Table1[[#This Row],[Total in the game]]/SUM(Table1[Total in the game]))*100,1)</f>
        <v>0.1</v>
      </c>
      <c r="V99" s="154" t="str">
        <f>Table1[[#This Row],[Content Sku]]</f>
        <v>JellyfishRed</v>
      </c>
      <c r="W99" s="158" t="s">
        <v>27</v>
      </c>
      <c r="X99" s="115" t="s">
        <v>328</v>
      </c>
      <c r="Y99" s="119" t="s">
        <v>328</v>
      </c>
      <c r="Z99" s="119" t="s">
        <v>328</v>
      </c>
    </row>
    <row r="100" spans="4:26" ht="15.75" customHeight="1" x14ac:dyDescent="0.25">
      <c r="D100" s="78" t="s">
        <v>22</v>
      </c>
      <c r="E100" s="78" t="s">
        <v>81</v>
      </c>
      <c r="F100" s="78" t="s">
        <v>20</v>
      </c>
      <c r="G100" s="103">
        <v>200</v>
      </c>
      <c r="H100" s="103">
        <v>200</v>
      </c>
      <c r="I100" s="108">
        <v>32</v>
      </c>
      <c r="J100" s="93">
        <v>75</v>
      </c>
      <c r="K100" s="93">
        <v>0</v>
      </c>
      <c r="L100" s="93">
        <v>0</v>
      </c>
      <c r="M100" s="93">
        <v>40</v>
      </c>
      <c r="N100" s="104">
        <f>COUNTIF(Table7[Spawner],Table1[[#This Row],[Spawner Prefab]])</f>
        <v>18</v>
      </c>
      <c r="O100" s="96">
        <f>ROUND((Table1[[#This Row],[Total in "Village" scene]]/SUM(Table1[Total in "Village" scene]))*100,1)</f>
        <v>0.7</v>
      </c>
      <c r="P100" s="110">
        <f>COUNTIF(Table15[Spawner],Table1[[#This Row],[Spawner Prefab]])</f>
        <v>26</v>
      </c>
      <c r="Q100" s="100">
        <f>ROUND((Table1[[#This Row],[Total in "Castle" scene]]/SUM(Table1[Total in "Castle" scene]))*100,1)</f>
        <v>1.3</v>
      </c>
      <c r="R100" s="105">
        <f>COUNTIF(Table20[Spawner],Table1[[#This Row],[Spawner Prefab]])</f>
        <v>0</v>
      </c>
      <c r="S100" s="97">
        <f>ROUND((Table1[[#This Row],[Total in "Dark" scene]]/SUM(Table1[Total in "Dark" scene]))*100,1)</f>
        <v>0</v>
      </c>
      <c r="T100" s="111">
        <f>Table1[[#This Row],[Total in "Village" scene]]+Table1[[#This Row],[Total in "Castle" scene]]+Table1[[#This Row],[Total in "Dark" scene]]</f>
        <v>44</v>
      </c>
      <c r="U100" s="99">
        <f>ROUND((Table1[[#This Row],[Total in the game]]/SUM(Table1[Total in the game]))*100,1)</f>
        <v>0.8</v>
      </c>
      <c r="V100" s="154" t="str">
        <f>Table1[[#This Row],[Content Sku]]</f>
        <v>Kamikaze</v>
      </c>
      <c r="W100" s="158" t="s">
        <v>28</v>
      </c>
      <c r="X100" s="115" t="s">
        <v>328</v>
      </c>
      <c r="Y100" s="119" t="s">
        <v>328</v>
      </c>
      <c r="Z100" s="119" t="s">
        <v>328</v>
      </c>
    </row>
    <row r="101" spans="4:26" x14ac:dyDescent="0.25">
      <c r="D101" s="78" t="s">
        <v>123</v>
      </c>
      <c r="E101" s="78" t="s">
        <v>111</v>
      </c>
      <c r="F101" s="78" t="s">
        <v>26</v>
      </c>
      <c r="G101" s="103">
        <v>170</v>
      </c>
      <c r="H101" s="103">
        <v>170</v>
      </c>
      <c r="I101" s="108">
        <v>10</v>
      </c>
      <c r="J101" s="93">
        <v>70</v>
      </c>
      <c r="K101" s="93">
        <v>2</v>
      </c>
      <c r="L101" s="93">
        <v>2</v>
      </c>
      <c r="M101" s="93">
        <v>5</v>
      </c>
      <c r="N101" s="104">
        <f>COUNTIF(Table7[Spawner],Table1[[#This Row],[Spawner Prefab]])</f>
        <v>34</v>
      </c>
      <c r="O101" s="96">
        <f>ROUND((Table1[[#This Row],[Total in "Village" scene]]/SUM(Table1[Total in "Village" scene]))*100,1)</f>
        <v>1.4</v>
      </c>
      <c r="P101" s="110">
        <f>COUNTIF(Table15[Spawner],Table1[[#This Row],[Spawner Prefab]])</f>
        <v>49</v>
      </c>
      <c r="Q101" s="100">
        <f>ROUND((Table1[[#This Row],[Total in "Castle" scene]]/SUM(Table1[Total in "Castle" scene]))*100,1)</f>
        <v>2.5</v>
      </c>
      <c r="R101" s="105">
        <f>COUNTIF(Table20[Spawner],Table1[[#This Row],[Spawner Prefab]])</f>
        <v>0</v>
      </c>
      <c r="S101" s="97">
        <f>ROUND((Table1[[#This Row],[Total in "Dark" scene]]/SUM(Table1[Total in "Dark" scene]))*100,1)</f>
        <v>0</v>
      </c>
      <c r="T101" s="111">
        <f>Table1[[#This Row],[Total in "Village" scene]]+Table1[[#This Row],[Total in "Castle" scene]]+Table1[[#This Row],[Total in "Dark" scene]]</f>
        <v>83</v>
      </c>
      <c r="U101" s="99">
        <f>ROUND((Table1[[#This Row],[Total in the game]]/SUM(Table1[Total in the game]))*100,1)</f>
        <v>1.5</v>
      </c>
      <c r="V101" s="154" t="str">
        <f>Table1[[#This Row],[Content Sku]]</f>
        <v>LionBird</v>
      </c>
      <c r="W101" s="158" t="s">
        <v>29</v>
      </c>
      <c r="X101" s="115" t="s">
        <v>328</v>
      </c>
      <c r="Y101" s="119" t="s">
        <v>328</v>
      </c>
      <c r="Z101" s="119" t="s">
        <v>328</v>
      </c>
    </row>
    <row r="102" spans="4:26" x14ac:dyDescent="0.25">
      <c r="D102" s="78" t="s">
        <v>4438</v>
      </c>
      <c r="E102" s="78" t="s">
        <v>4465</v>
      </c>
      <c r="F102" s="78" t="s">
        <v>4466</v>
      </c>
      <c r="G102" s="103">
        <v>5000</v>
      </c>
      <c r="H102" s="103">
        <v>5000</v>
      </c>
      <c r="I102" s="108">
        <v>1</v>
      </c>
      <c r="J102" s="93">
        <v>25</v>
      </c>
      <c r="K102" s="93">
        <v>0</v>
      </c>
      <c r="L102" s="93">
        <v>0</v>
      </c>
      <c r="M102" s="93" t="s">
        <v>8</v>
      </c>
      <c r="N102" s="104">
        <f>COUNTIF(Table7[Spawner],Table1[[#This Row],[Spawner Prefab]])</f>
        <v>22</v>
      </c>
      <c r="O102" s="96">
        <f>ROUND((Table1[[#This Row],[Total in "Village" scene]]/SUM(Table1[Total in "Village" scene]))*100,1)</f>
        <v>0.9</v>
      </c>
      <c r="P102" s="110">
        <f>COUNTIF(Table15[Spawner],Table1[[#This Row],[Spawner Prefab]])</f>
        <v>13</v>
      </c>
      <c r="Q102" s="100">
        <f>ROUND((Table1[[#This Row],[Total in "Castle" scene]]/SUM(Table1[Total in "Castle" scene]))*100,1)</f>
        <v>0.7</v>
      </c>
      <c r="R102" s="105">
        <f>COUNTIF(Table20[Spawner],Table1[[#This Row],[Spawner Prefab]])</f>
        <v>12</v>
      </c>
      <c r="S102" s="97">
        <f>ROUND((Table1[[#This Row],[Total in "Dark" scene]]/SUM(Table1[Total in "Dark" scene]))*100,1)</f>
        <v>1.1000000000000001</v>
      </c>
      <c r="T102" s="111">
        <f>Table1[[#This Row],[Total in "Village" scene]]+Table1[[#This Row],[Total in "Castle" scene]]+Table1[[#This Row],[Total in "Dark" scene]]</f>
        <v>47</v>
      </c>
      <c r="U102" s="99">
        <f>ROUND((Table1[[#This Row],[Total in the game]]/SUM(Table1[Total in the game]))*100,1)</f>
        <v>0.9</v>
      </c>
      <c r="V102" s="154" t="str">
        <f>Table1[[#This Row],[Content Sku]]</f>
        <v>MexicanPepper</v>
      </c>
      <c r="W102" s="158" t="s">
        <v>274</v>
      </c>
      <c r="X102" s="115" t="s">
        <v>328</v>
      </c>
      <c r="Y102" s="119" t="s">
        <v>328</v>
      </c>
      <c r="Z102" s="119" t="s">
        <v>328</v>
      </c>
    </row>
    <row r="103" spans="4:26" x14ac:dyDescent="0.25">
      <c r="D103" s="78" t="s">
        <v>42</v>
      </c>
      <c r="E103" s="78" t="s">
        <v>112</v>
      </c>
      <c r="F103" s="78" t="s">
        <v>27</v>
      </c>
      <c r="G103" s="103">
        <v>2500</v>
      </c>
      <c r="H103" s="103">
        <v>2500</v>
      </c>
      <c r="I103" s="108">
        <v>0</v>
      </c>
      <c r="J103" s="93">
        <v>263</v>
      </c>
      <c r="K103" s="93">
        <v>5</v>
      </c>
      <c r="L103" s="93">
        <v>5</v>
      </c>
      <c r="M103" s="93">
        <v>350</v>
      </c>
      <c r="N103" s="104">
        <f>COUNTIF(Table7[Spawner],Table1[[#This Row],[Spawner Prefab]])</f>
        <v>11</v>
      </c>
      <c r="O103" s="96">
        <f>ROUND((Table1[[#This Row],[Total in "Village" scene]]/SUM(Table1[Total in "Village" scene]))*100,1)</f>
        <v>0.4</v>
      </c>
      <c r="P103" s="110">
        <f>COUNTIF(Table15[Spawner],Table1[[#This Row],[Spawner Prefab]])</f>
        <v>1</v>
      </c>
      <c r="Q103" s="100">
        <f>ROUND((Table1[[#This Row],[Total in "Castle" scene]]/SUM(Table1[Total in "Castle" scene]))*100,1)</f>
        <v>0.1</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v>
      </c>
      <c r="U103" s="99">
        <f>ROUND((Table1[[#This Row],[Total in the game]]/SUM(Table1[Total in the game]))*100,1)</f>
        <v>0.2</v>
      </c>
      <c r="V103" s="154" t="str">
        <f>Table1[[#This Row],[Content Sku]]</f>
        <v>MineBig</v>
      </c>
      <c r="W103" s="158" t="s">
        <v>277</v>
      </c>
      <c r="X103" s="115" t="s">
        <v>328</v>
      </c>
      <c r="Y103" s="119" t="s">
        <v>328</v>
      </c>
      <c r="Z103" s="119" t="s">
        <v>328</v>
      </c>
    </row>
    <row r="104" spans="4:26" x14ac:dyDescent="0.25">
      <c r="D104" s="78" t="s">
        <v>43</v>
      </c>
      <c r="E104" s="78" t="s">
        <v>112</v>
      </c>
      <c r="F104" s="78" t="s">
        <v>28</v>
      </c>
      <c r="G104" s="103">
        <v>2500</v>
      </c>
      <c r="H104" s="103">
        <v>2500</v>
      </c>
      <c r="I104" s="108">
        <v>0</v>
      </c>
      <c r="J104" s="93">
        <v>263</v>
      </c>
      <c r="K104" s="93">
        <v>5</v>
      </c>
      <c r="L104" s="93">
        <v>5</v>
      </c>
      <c r="M104" s="93">
        <v>350</v>
      </c>
      <c r="N104" s="104">
        <f>COUNTIF(Table7[Spawner],Table1[[#This Row],[Spawner Prefab]])</f>
        <v>8</v>
      </c>
      <c r="O104" s="96">
        <f>ROUND((Table1[[#This Row],[Total in "Village" scene]]/SUM(Table1[Total in "Village" scene]))*100,1)</f>
        <v>0.3</v>
      </c>
      <c r="P104" s="110">
        <f>COUNTIF(Table15[Spawner],Table1[[#This Row],[Spawner Prefab]])</f>
        <v>9</v>
      </c>
      <c r="Q104" s="100">
        <f>ROUND((Table1[[#This Row],[Total in "Castle" scene]]/SUM(Table1[Total in "Castle" scene]))*100,1)</f>
        <v>0.5</v>
      </c>
      <c r="R104" s="105">
        <f>COUNTIF(Table20[Spawner],Table1[[#This Row],[Spawner Prefab]])</f>
        <v>0</v>
      </c>
      <c r="S104" s="97">
        <f>ROUND((Table1[[#This Row],[Total in "Dark" scene]]/SUM(Table1[Total in "Dark" scene]))*100,1)</f>
        <v>0</v>
      </c>
      <c r="T104" s="111">
        <f>Table1[[#This Row],[Total in "Village" scene]]+Table1[[#This Row],[Total in "Castle" scene]]+Table1[[#This Row],[Total in "Dark" scene]]</f>
        <v>17</v>
      </c>
      <c r="U104" s="99">
        <f>ROUND((Table1[[#This Row],[Total in the game]]/SUM(Table1[Total in the game]))*100,1)</f>
        <v>0.3</v>
      </c>
      <c r="V104" s="154" t="str">
        <f>Table1[[#This Row],[Content Sku]]</f>
        <v>MineBig</v>
      </c>
      <c r="W104" s="158" t="s">
        <v>279</v>
      </c>
      <c r="X104" s="115" t="s">
        <v>328</v>
      </c>
      <c r="Y104" s="119" t="s">
        <v>328</v>
      </c>
      <c r="Z104" s="119" t="s">
        <v>328</v>
      </c>
    </row>
    <row r="105" spans="4:26" x14ac:dyDescent="0.25">
      <c r="D105" s="78" t="s">
        <v>44</v>
      </c>
      <c r="E105" s="78" t="s">
        <v>113</v>
      </c>
      <c r="F105" s="78" t="s">
        <v>29</v>
      </c>
      <c r="G105" s="103">
        <v>2000</v>
      </c>
      <c r="H105" s="103">
        <v>2000</v>
      </c>
      <c r="I105" s="108">
        <v>0</v>
      </c>
      <c r="J105" s="93">
        <v>175</v>
      </c>
      <c r="K105" s="93">
        <v>5</v>
      </c>
      <c r="L105" s="93">
        <v>5</v>
      </c>
      <c r="M105" s="93">
        <v>150</v>
      </c>
      <c r="N105" s="104">
        <f>COUNTIF(Table7[Spawner],Table1[[#This Row],[Spawner Prefab]])</f>
        <v>11</v>
      </c>
      <c r="O105" s="96">
        <f>ROUND((Table1[[#This Row],[Total in "Village" scene]]/SUM(Table1[Total in "Village" scene]))*100,1)</f>
        <v>0.4</v>
      </c>
      <c r="P105" s="110">
        <f>COUNTIF(Table15[Spawner],Table1[[#This Row],[Spawner Prefab]])</f>
        <v>8</v>
      </c>
      <c r="Q105" s="100">
        <f>ROUND((Table1[[#This Row],[Total in "Castle" scene]]/SUM(Table1[Total in "Castle" scene]))*100,1)</f>
        <v>0.4</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19</v>
      </c>
      <c r="U105" s="99">
        <f>ROUND((Table1[[#This Row],[Total in the game]]/SUM(Table1[Total in the game]))*100,1)</f>
        <v>0.3</v>
      </c>
      <c r="V105" s="154" t="str">
        <f>Table1[[#This Row],[Content Sku]]</f>
        <v>MineMedium</v>
      </c>
      <c r="W105" s="158" t="s">
        <v>541</v>
      </c>
      <c r="X105" s="115" t="s">
        <v>328</v>
      </c>
      <c r="Y105" s="119" t="s">
        <v>328</v>
      </c>
      <c r="Z105" s="119" t="s">
        <v>328</v>
      </c>
    </row>
    <row r="106" spans="4:26" x14ac:dyDescent="0.25">
      <c r="D106" s="78" t="s">
        <v>273</v>
      </c>
      <c r="E106" s="78" t="s">
        <v>113</v>
      </c>
      <c r="F106" s="78" t="s">
        <v>274</v>
      </c>
      <c r="G106" s="103">
        <v>2000</v>
      </c>
      <c r="H106" s="103">
        <v>2000</v>
      </c>
      <c r="I106" s="108">
        <v>0</v>
      </c>
      <c r="J106" s="93">
        <v>175</v>
      </c>
      <c r="K106" s="93">
        <v>5</v>
      </c>
      <c r="L106" s="93">
        <v>5</v>
      </c>
      <c r="M106" s="93">
        <v>150</v>
      </c>
      <c r="N106" s="104">
        <f>COUNTIF(Table7[Spawner],Table1[[#This Row],[Spawner Prefab]])</f>
        <v>17</v>
      </c>
      <c r="O106" s="96">
        <f>ROUND((Table1[[#This Row],[Total in "Village" scene]]/SUM(Table1[Total in "Village" scene]))*100,1)</f>
        <v>0.7</v>
      </c>
      <c r="P106" s="110">
        <f>COUNTIF(Table15[Spawner],Table1[[#This Row],[Spawner Prefab]])</f>
        <v>9</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26</v>
      </c>
      <c r="U106" s="99">
        <f>ROUND((Table1[[#This Row],[Total in the game]]/SUM(Table1[Total in the game]))*100,1)</f>
        <v>0.5</v>
      </c>
      <c r="V106" s="154" t="str">
        <f>Table1[[#This Row],[Content Sku]]</f>
        <v>MineMedium</v>
      </c>
      <c r="W106" s="161" t="s">
        <v>2751</v>
      </c>
      <c r="X106" s="115" t="s">
        <v>328</v>
      </c>
      <c r="Y106" s="119" t="s">
        <v>328</v>
      </c>
      <c r="Z106" s="119" t="s">
        <v>328</v>
      </c>
    </row>
    <row r="107" spans="4:26" x14ac:dyDescent="0.25">
      <c r="D107" s="78" t="s">
        <v>459</v>
      </c>
      <c r="E107" s="78" t="s">
        <v>5015</v>
      </c>
      <c r="F107" s="78" t="s">
        <v>460</v>
      </c>
      <c r="G107" s="103">
        <v>200</v>
      </c>
      <c r="H107" s="103">
        <v>200</v>
      </c>
      <c r="I107" s="108">
        <v>12</v>
      </c>
      <c r="J107" s="93">
        <v>90</v>
      </c>
      <c r="K107" s="93">
        <v>0</v>
      </c>
      <c r="L107" s="93">
        <v>0</v>
      </c>
      <c r="M107" s="93" t="s">
        <v>8</v>
      </c>
      <c r="N107" s="104">
        <f>COUNTIF(Table7[Spawner],Table1[[#This Row],[Spawner Prefab]])</f>
        <v>0</v>
      </c>
      <c r="O107" s="96">
        <f>ROUND((Table1[[#This Row],[Total in "Village" scene]]/SUM(Table1[Total in "Village" scene]))*100,1)</f>
        <v>0</v>
      </c>
      <c r="P107" s="110">
        <f>COUNTIF(Table15[Spawner],Table1[[#This Row],[Spawner Prefab]])</f>
        <v>155</v>
      </c>
      <c r="Q107" s="100">
        <f>ROUND((Table1[[#This Row],[Total in "Castle" scene]]/SUM(Table1[Total in "Castle" scene]))*100,1)</f>
        <v>7.8</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155</v>
      </c>
      <c r="U107" s="99">
        <f>ROUND((Table1[[#This Row],[Total in the game]]/SUM(Table1[Total in the game]))*100,1)</f>
        <v>2.8</v>
      </c>
      <c r="V107" s="154" t="str">
        <f>Table1[[#This Row],[Content Sku]]</f>
        <v>Miner</v>
      </c>
      <c r="W107" s="160" t="s">
        <v>2658</v>
      </c>
      <c r="X107" s="147" t="s">
        <v>327</v>
      </c>
      <c r="Y107" s="147" t="s">
        <v>327</v>
      </c>
      <c r="Z107" s="147" t="s">
        <v>327</v>
      </c>
    </row>
    <row r="108" spans="4:26" x14ac:dyDescent="0.25">
      <c r="D108" s="78" t="s">
        <v>461</v>
      </c>
      <c r="E108" s="78" t="s">
        <v>5015</v>
      </c>
      <c r="F108" s="78" t="s">
        <v>460</v>
      </c>
      <c r="G108" s="103">
        <v>200</v>
      </c>
      <c r="H108" s="103">
        <v>200</v>
      </c>
      <c r="I108" s="108">
        <v>12</v>
      </c>
      <c r="J108" s="93">
        <v>90</v>
      </c>
      <c r="K108" s="93">
        <v>0</v>
      </c>
      <c r="L108" s="93">
        <v>0</v>
      </c>
      <c r="M108" s="93" t="s">
        <v>8</v>
      </c>
      <c r="N108" s="104">
        <f>COUNTIF(Table7[Spawner],Table1[[#This Row],[Spawner Prefab]])</f>
        <v>0</v>
      </c>
      <c r="O108" s="96">
        <f>ROUND((Table1[[#This Row],[Total in "Village" scene]]/SUM(Table1[Total in "Village" scene]))*100,1)</f>
        <v>0</v>
      </c>
      <c r="P108" s="110">
        <f>COUNTIF(Table15[Spawner],Table1[[#This Row],[Spawner Prefab]])</f>
        <v>15</v>
      </c>
      <c r="Q108" s="100">
        <f>ROUND((Table1[[#This Row],[Total in "Castle" scene]]/SUM(Table1[Total in "Castle" scene]))*100,1)</f>
        <v>0.8</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15</v>
      </c>
      <c r="U108" s="99">
        <f>ROUND((Table1[[#This Row],[Total in the game]]/SUM(Table1[Total in the game]))*100,1)</f>
        <v>0.3</v>
      </c>
      <c r="V108" s="154" t="str">
        <f>Table1[[#This Row],[Content Sku]]</f>
        <v>Miner</v>
      </c>
      <c r="W108" s="158" t="s">
        <v>281</v>
      </c>
      <c r="X108" s="115" t="s">
        <v>327</v>
      </c>
      <c r="Y108" s="119" t="s">
        <v>327</v>
      </c>
      <c r="Z108" s="119" t="s">
        <v>327</v>
      </c>
    </row>
    <row r="109" spans="4:26" x14ac:dyDescent="0.25">
      <c r="D109" s="78" t="s">
        <v>462</v>
      </c>
      <c r="E109" s="78" t="s">
        <v>5015</v>
      </c>
      <c r="F109" s="78" t="s">
        <v>460</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43</v>
      </c>
      <c r="Q109" s="100">
        <f>ROUND((Table1[[#This Row],[Total in "Castle" scene]]/SUM(Table1[Total in "Castle" scene]))*100,1)</f>
        <v>2.2000000000000002</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43</v>
      </c>
      <c r="U109" s="99">
        <f>ROUND((Table1[[#This Row],[Total in the game]]/SUM(Table1[Total in the game]))*100,1)</f>
        <v>0.8</v>
      </c>
      <c r="V109" s="154" t="str">
        <f>Table1[[#This Row],[Content Sku]]</f>
        <v>Miner</v>
      </c>
      <c r="W109" s="161" t="s">
        <v>2753</v>
      </c>
      <c r="X109" s="115" t="s">
        <v>327</v>
      </c>
      <c r="Y109" s="119" t="s">
        <v>327</v>
      </c>
      <c r="Z109" s="119" t="s">
        <v>327</v>
      </c>
    </row>
    <row r="110" spans="4:26" x14ac:dyDescent="0.25">
      <c r="D110" s="78" t="s">
        <v>276</v>
      </c>
      <c r="E110" s="78" t="s">
        <v>275</v>
      </c>
      <c r="F110" s="78" t="s">
        <v>277</v>
      </c>
      <c r="G110" s="103">
        <v>1500</v>
      </c>
      <c r="H110" s="103">
        <v>1500</v>
      </c>
      <c r="I110" s="108">
        <v>2</v>
      </c>
      <c r="J110" s="93">
        <v>130</v>
      </c>
      <c r="K110" s="93">
        <v>4</v>
      </c>
      <c r="L110" s="93">
        <v>4</v>
      </c>
      <c r="M110" s="93">
        <v>25</v>
      </c>
      <c r="N110" s="104">
        <f>COUNTIF(Table7[Spawner],Table1[[#This Row],[Spawner Prefab]])</f>
        <v>25</v>
      </c>
      <c r="O110" s="96">
        <f>ROUND((Table1[[#This Row],[Total in "Village" scene]]/SUM(Table1[Total in "Village" scene]))*100,1)</f>
        <v>1</v>
      </c>
      <c r="P110" s="110">
        <f>COUNTIF(Table15[Spawner],Table1[[#This Row],[Spawner Prefab]])</f>
        <v>5</v>
      </c>
      <c r="Q110" s="100">
        <f>ROUND((Table1[[#This Row],[Total in "Castle" scene]]/SUM(Table1[Total in "Castle" scene]))*100,1)</f>
        <v>0.3</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30</v>
      </c>
      <c r="U110" s="99">
        <f>ROUND((Table1[[#This Row],[Total in the game]]/SUM(Table1[Total in the game]))*100,1)</f>
        <v>0.5</v>
      </c>
      <c r="V110" s="154" t="str">
        <f>Table1[[#This Row],[Content Sku]]</f>
        <v>MineSmall</v>
      </c>
      <c r="W110" s="158" t="s">
        <v>284</v>
      </c>
      <c r="X110" s="115" t="s">
        <v>328</v>
      </c>
      <c r="Y110" s="119" t="s">
        <v>328</v>
      </c>
      <c r="Z110" s="119" t="s">
        <v>328</v>
      </c>
    </row>
    <row r="111" spans="4:26" x14ac:dyDescent="0.25">
      <c r="D111" s="78" t="s">
        <v>278</v>
      </c>
      <c r="E111" s="78" t="s">
        <v>275</v>
      </c>
      <c r="F111" s="78" t="s">
        <v>279</v>
      </c>
      <c r="G111" s="103">
        <v>1500</v>
      </c>
      <c r="H111" s="103">
        <v>1500</v>
      </c>
      <c r="I111" s="108">
        <v>2</v>
      </c>
      <c r="J111" s="93">
        <v>130</v>
      </c>
      <c r="K111" s="93">
        <v>4</v>
      </c>
      <c r="L111" s="93">
        <v>4</v>
      </c>
      <c r="M111" s="93">
        <v>25</v>
      </c>
      <c r="N111" s="104">
        <f>COUNTIF(Table7[Spawner],Table1[[#This Row],[Spawner Prefab]])</f>
        <v>31</v>
      </c>
      <c r="O111" s="96">
        <f>ROUND((Table1[[#This Row],[Total in "Village" scene]]/SUM(Table1[Total in "Village" scene]))*100,1)</f>
        <v>1.3</v>
      </c>
      <c r="P111" s="110">
        <f>COUNTIF(Table15[Spawner],Table1[[#This Row],[Spawner Prefab]])</f>
        <v>22</v>
      </c>
      <c r="Q111" s="100">
        <f>ROUND((Table1[[#This Row],[Total in "Castle" scene]]/SUM(Table1[Total in "Castle" scene]))*100,1)</f>
        <v>1.1000000000000001</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53</v>
      </c>
      <c r="U111" s="99">
        <f>ROUND((Table1[[#This Row],[Total in the game]]/SUM(Table1[Total in the game]))*100,1)</f>
        <v>1</v>
      </c>
      <c r="V111" s="154" t="str">
        <f>Table1[[#This Row],[Content Sku]]</f>
        <v>MineSmall</v>
      </c>
      <c r="W111" s="160" t="s">
        <v>2655</v>
      </c>
      <c r="X111" s="147" t="s">
        <v>328</v>
      </c>
      <c r="Y111" s="147" t="s">
        <v>328</v>
      </c>
      <c r="Z111" s="147" t="s">
        <v>328</v>
      </c>
    </row>
    <row r="112" spans="4:26" x14ac:dyDescent="0.25">
      <c r="D112" s="78" t="s">
        <v>540</v>
      </c>
      <c r="E112" s="78" t="s">
        <v>539</v>
      </c>
      <c r="F112" s="78" t="s">
        <v>541</v>
      </c>
      <c r="G112" s="103">
        <v>210</v>
      </c>
      <c r="H112" s="103">
        <v>210</v>
      </c>
      <c r="I112" s="108">
        <v>15</v>
      </c>
      <c r="J112" s="93">
        <v>65</v>
      </c>
      <c r="K112" s="93">
        <v>4</v>
      </c>
      <c r="L112" s="93">
        <v>4</v>
      </c>
      <c r="M112" s="93">
        <v>15</v>
      </c>
      <c r="N112" s="104">
        <f>COUNTIF(Table7[Spawner],Table1[[#This Row],[Spawner Prefab]])</f>
        <v>0</v>
      </c>
      <c r="O112" s="96">
        <f>ROUND((Table1[[#This Row],[Total in "Village" scene]]/SUM(Table1[Total in "Village" scene]))*100,1)</f>
        <v>0</v>
      </c>
      <c r="P112" s="110">
        <f>COUNTIF(Table15[Spawner],Table1[[#This Row],[Spawner Prefab]])</f>
        <v>0</v>
      </c>
      <c r="Q112" s="100">
        <f>ROUND((Table1[[#This Row],[Total in "Castle" scene]]/SUM(Table1[Total in "Castle" scene]))*100,1)</f>
        <v>0</v>
      </c>
      <c r="R112" s="105">
        <f>COUNTIF(Table20[Spawner],Table1[[#This Row],[Spawner Prefab]])</f>
        <v>5</v>
      </c>
      <c r="S112" s="97">
        <f>ROUND((Table1[[#This Row],[Total in "Dark" scene]]/SUM(Table1[Total in "Dark" scene]))*100,1)</f>
        <v>0.5</v>
      </c>
      <c r="T112" s="111">
        <f>Table1[[#This Row],[Total in "Village" scene]]+Table1[[#This Row],[Total in "Castle" scene]]+Table1[[#This Row],[Total in "Dark" scene]]</f>
        <v>5</v>
      </c>
      <c r="U112" s="99">
        <f>ROUND((Table1[[#This Row],[Total in the game]]/SUM(Table1[Total in the game]))*100,1)</f>
        <v>0.1</v>
      </c>
      <c r="V112" s="154" t="str">
        <f>Table1[[#This Row],[Content Sku]]</f>
        <v>Mushroom</v>
      </c>
      <c r="W112" s="158" t="s">
        <v>287</v>
      </c>
      <c r="X112" s="115" t="s">
        <v>328</v>
      </c>
      <c r="Y112" s="119" t="s">
        <v>327</v>
      </c>
      <c r="Z112" s="119" t="s">
        <v>327</v>
      </c>
    </row>
    <row r="113" spans="4:26" x14ac:dyDescent="0.25">
      <c r="D113" s="78" t="s">
        <v>2750</v>
      </c>
      <c r="E113" s="78" t="s">
        <v>539</v>
      </c>
      <c r="F113" s="78" t="s">
        <v>2751</v>
      </c>
      <c r="G113" s="103">
        <v>210</v>
      </c>
      <c r="H113" s="103">
        <v>210</v>
      </c>
      <c r="I113" s="108">
        <v>15</v>
      </c>
      <c r="J113" s="93">
        <v>65</v>
      </c>
      <c r="K113" s="93">
        <v>4</v>
      </c>
      <c r="L113" s="93">
        <v>4</v>
      </c>
      <c r="M113" s="93">
        <v>15</v>
      </c>
      <c r="N113" s="104">
        <f>COUNTIF(Table7[Spawner],Table1[[#This Row],[Spawner Prefab]])</f>
        <v>0</v>
      </c>
      <c r="O113" s="96">
        <f>ROUND((Table1[[#This Row],[Total in "Village" scene]]/SUM(Table1[Total in "Village" scene]))*100,1)</f>
        <v>0</v>
      </c>
      <c r="P113" s="110">
        <f>COUNTIF(Table15[Spawner],Table1[[#This Row],[Spawner Prefab]])</f>
        <v>0</v>
      </c>
      <c r="Q113" s="100">
        <f>ROUND((Table1[[#This Row],[Total in "Castle" scene]]/SUM(Table1[Total in "Castle" scene]))*100,1)</f>
        <v>0</v>
      </c>
      <c r="R113" s="105">
        <f>COUNTIF(Table20[Spawner],Table1[[#This Row],[Spawner Prefab]])</f>
        <v>3</v>
      </c>
      <c r="S113" s="97">
        <f>ROUND((Table1[[#This Row],[Total in "Dark" scene]]/SUM(Table1[Total in "Dark" scene]))*100,1)</f>
        <v>0.3</v>
      </c>
      <c r="T113" s="111">
        <f>Table1[[#This Row],[Total in "Village" scene]]+Table1[[#This Row],[Total in "Castle" scene]]+Table1[[#This Row],[Total in "Dark" scene]]</f>
        <v>3</v>
      </c>
      <c r="U113" s="99">
        <f>ROUND((Table1[[#This Row],[Total in the game]]/SUM(Table1[Total in the game]))*100,1)</f>
        <v>0.1</v>
      </c>
      <c r="V113" s="154" t="str">
        <f>Table1[[#This Row],[Content Sku]]</f>
        <v>Mushroom</v>
      </c>
      <c r="W113" s="158" t="s">
        <v>290</v>
      </c>
      <c r="X113" s="115" t="s">
        <v>327</v>
      </c>
      <c r="Y113" s="119" t="s">
        <v>327</v>
      </c>
      <c r="Z113" s="119" t="s">
        <v>327</v>
      </c>
    </row>
    <row r="114" spans="4:26" x14ac:dyDescent="0.25">
      <c r="D114" s="78" t="s">
        <v>2682</v>
      </c>
      <c r="E114" s="78" t="s">
        <v>2651</v>
      </c>
      <c r="F114" s="78" t="s">
        <v>2658</v>
      </c>
      <c r="G114" s="103">
        <v>210</v>
      </c>
      <c r="H114" s="103">
        <v>210</v>
      </c>
      <c r="I114" s="108">
        <v>14</v>
      </c>
      <c r="J114" s="93">
        <v>50</v>
      </c>
      <c r="K114" s="93">
        <v>2</v>
      </c>
      <c r="L114" s="93">
        <v>2</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7</v>
      </c>
      <c r="S114" s="97">
        <f>ROUND((Table1[[#This Row],[Total in "Dark" scene]]/SUM(Table1[Total in "Dark" scene]))*100,1)</f>
        <v>0.7</v>
      </c>
      <c r="T114" s="111">
        <f>Table1[[#This Row],[Total in "Village" scene]]+Table1[[#This Row],[Total in "Castle" scene]]+Table1[[#This Row],[Total in "Dark" scene]]</f>
        <v>7</v>
      </c>
      <c r="U114" s="99">
        <f>ROUND((Table1[[#This Row],[Total in the game]]/SUM(Table1[Total in the game]))*100,1)</f>
        <v>0.1</v>
      </c>
      <c r="V114" s="154" t="str">
        <f>Table1[[#This Row],[Content Sku]]</f>
        <v>MushroomPrey</v>
      </c>
      <c r="W114" s="158" t="s">
        <v>589</v>
      </c>
      <c r="X114" s="115" t="s">
        <v>327</v>
      </c>
      <c r="Y114" s="119" t="s">
        <v>327</v>
      </c>
      <c r="Z114" s="119" t="s">
        <v>327</v>
      </c>
    </row>
    <row r="115" spans="4:26" x14ac:dyDescent="0.25">
      <c r="D115" s="78" t="s">
        <v>280</v>
      </c>
      <c r="E115" s="78" t="s">
        <v>115</v>
      </c>
      <c r="F115" s="78" t="s">
        <v>281</v>
      </c>
      <c r="G115" s="103">
        <v>200</v>
      </c>
      <c r="H115" s="103">
        <v>200</v>
      </c>
      <c r="I115" s="108">
        <v>10</v>
      </c>
      <c r="J115" s="93">
        <v>28</v>
      </c>
      <c r="K115" s="93">
        <v>1</v>
      </c>
      <c r="L115" s="93">
        <v>1</v>
      </c>
      <c r="M115" s="93" t="s">
        <v>8</v>
      </c>
      <c r="N115" s="104">
        <f>COUNTIF(Table7[Spawner],Table1[[#This Row],[Spawner Prefab]])</f>
        <v>32</v>
      </c>
      <c r="O115" s="96">
        <f>ROUND((Table1[[#This Row],[Total in "Village" scene]]/SUM(Table1[Total in "Village" scene]))*100,1)</f>
        <v>1.3</v>
      </c>
      <c r="P115" s="110">
        <f>COUNTIF(Table15[Spawner],Table1[[#This Row],[Spawner Prefab]])</f>
        <v>28</v>
      </c>
      <c r="Q115" s="100">
        <f>ROUND((Table1[[#This Row],[Total in "Castle" scene]]/SUM(Table1[Total in "Castle" scene]))*100,1)</f>
        <v>1.4</v>
      </c>
      <c r="R115" s="105">
        <f>COUNTIF(Table20[Spawner],Table1[[#This Row],[Spawner Prefab]])</f>
        <v>0</v>
      </c>
      <c r="S115" s="97">
        <f>ROUND((Table1[[#This Row],[Total in "Dark" scene]]/SUM(Table1[Total in "Dark" scene]))*100,1)</f>
        <v>0</v>
      </c>
      <c r="T115" s="111">
        <f>Table1[[#This Row],[Total in "Village" scene]]+Table1[[#This Row],[Total in "Castle" scene]]+Table1[[#This Row],[Total in "Dark" scene]]</f>
        <v>60</v>
      </c>
      <c r="U115" s="99">
        <f>ROUND((Table1[[#This Row],[Total in the game]]/SUM(Table1[Total in the game]))*100,1)</f>
        <v>1.1000000000000001</v>
      </c>
      <c r="V115" s="154" t="s">
        <v>8041</v>
      </c>
      <c r="W115" s="158" t="s">
        <v>519</v>
      </c>
      <c r="X115" s="115" t="s">
        <v>327</v>
      </c>
      <c r="Y115" s="119" t="s">
        <v>327</v>
      </c>
      <c r="Z115" s="119" t="s">
        <v>327</v>
      </c>
    </row>
    <row r="116" spans="4:26" x14ac:dyDescent="0.25">
      <c r="D116" s="78" t="s">
        <v>2752</v>
      </c>
      <c r="E116" s="78" t="s">
        <v>3859</v>
      </c>
      <c r="F116" s="78" t="s">
        <v>2753</v>
      </c>
      <c r="G116" s="103">
        <v>150</v>
      </c>
      <c r="H116" s="103">
        <v>150</v>
      </c>
      <c r="I116" s="108">
        <v>14</v>
      </c>
      <c r="J116" s="93">
        <v>50</v>
      </c>
      <c r="K116" s="93">
        <v>0</v>
      </c>
      <c r="L116" s="93">
        <v>0</v>
      </c>
      <c r="M116" s="93" t="s">
        <v>8</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0.7</v>
      </c>
      <c r="T116" s="111">
        <f>Table1[[#This Row],[Total in "Village" scene]]+Table1[[#This Row],[Total in "Castle" scene]]+Table1[[#This Row],[Total in "Dark" scene]]</f>
        <v>7</v>
      </c>
      <c r="U116" s="99">
        <f>ROUND((Table1[[#This Row],[Total in the game]]/SUM(Table1[Total in the game]))*100,1)</f>
        <v>0.1</v>
      </c>
      <c r="V116" s="154" t="s">
        <v>8041</v>
      </c>
      <c r="W116" s="173" t="s">
        <v>4437</v>
      </c>
      <c r="X116" s="115" t="s">
        <v>327</v>
      </c>
      <c r="Y116" s="115" t="s">
        <v>327</v>
      </c>
      <c r="Z116" s="115" t="s">
        <v>327</v>
      </c>
    </row>
    <row r="117" spans="4:26" x14ac:dyDescent="0.25">
      <c r="D117" s="78" t="s">
        <v>283</v>
      </c>
      <c r="E117" s="78" t="s">
        <v>282</v>
      </c>
      <c r="F117" s="78" t="s">
        <v>284</v>
      </c>
      <c r="G117" s="103">
        <v>170</v>
      </c>
      <c r="H117" s="103">
        <v>170</v>
      </c>
      <c r="I117" s="108">
        <v>5</v>
      </c>
      <c r="J117" s="93">
        <v>28</v>
      </c>
      <c r="K117" s="93">
        <v>1</v>
      </c>
      <c r="L117" s="93">
        <v>1</v>
      </c>
      <c r="M117" s="93">
        <v>2</v>
      </c>
      <c r="N117" s="104">
        <f>COUNTIF(Table7[Spawner],Table1[[#This Row],[Spawner Prefab]])</f>
        <v>18</v>
      </c>
      <c r="O117" s="96">
        <f>ROUND((Table1[[#This Row],[Total in "Village" scene]]/SUM(Table1[Total in "Village" scene]))*100,1)</f>
        <v>0.7</v>
      </c>
      <c r="P117" s="110">
        <f>COUNTIF(Table15[Spawner],Table1[[#This Row],[Spawner Prefab]])</f>
        <v>18</v>
      </c>
      <c r="Q117" s="100">
        <f>ROUND((Table1[[#This Row],[Total in "Castle" scene]]/SUM(Table1[Total in "Castle" scene]))*100,1)</f>
        <v>0.9</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36</v>
      </c>
      <c r="U117" s="99">
        <f>ROUND((Table1[[#This Row],[Total in the game]]/SUM(Table1[Total in the game]))*100,1)</f>
        <v>0.7</v>
      </c>
      <c r="V117" s="154" t="s">
        <v>282</v>
      </c>
      <c r="W117" s="158" t="s">
        <v>420</v>
      </c>
      <c r="X117" s="115" t="s">
        <v>328</v>
      </c>
      <c r="Y117" s="119" t="s">
        <v>328</v>
      </c>
      <c r="Z117" s="119" t="s">
        <v>328</v>
      </c>
    </row>
    <row r="118" spans="4:26" x14ac:dyDescent="0.25">
      <c r="D118" s="78" t="s">
        <v>2673</v>
      </c>
      <c r="E118" s="78" t="s">
        <v>2652</v>
      </c>
      <c r="F118" s="78" t="s">
        <v>2655</v>
      </c>
      <c r="G118" s="103">
        <v>170</v>
      </c>
      <c r="H118" s="103">
        <v>170</v>
      </c>
      <c r="I118" s="108">
        <v>10</v>
      </c>
      <c r="J118" s="93">
        <v>70</v>
      </c>
      <c r="K118" s="93">
        <v>2</v>
      </c>
      <c r="L118" s="93">
        <v>2</v>
      </c>
      <c r="M118" s="93">
        <v>2</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5</v>
      </c>
      <c r="S118" s="97">
        <f>ROUND((Table1[[#This Row],[Total in "Dark" scene]]/SUM(Table1[Total in "Dark" scene]))*100,1)</f>
        <v>0.5</v>
      </c>
      <c r="T118" s="111">
        <f>Table1[[#This Row],[Total in "Village" scene]]+Table1[[#This Row],[Total in "Castle" scene]]+Table1[[#This Row],[Total in "Dark" scene]]</f>
        <v>5</v>
      </c>
      <c r="U118" s="99">
        <f>ROUND((Table1[[#This Row],[Total in the game]]/SUM(Table1[Total in the game]))*100,1)</f>
        <v>0.1</v>
      </c>
      <c r="V118" s="154" t="s">
        <v>282</v>
      </c>
      <c r="W118" s="160" t="s">
        <v>2452</v>
      </c>
      <c r="X118" s="147" t="s">
        <v>327</v>
      </c>
      <c r="Y118" s="147" t="s">
        <v>327</v>
      </c>
      <c r="Z118" s="147" t="s">
        <v>327</v>
      </c>
    </row>
    <row r="119" spans="4:26" x14ac:dyDescent="0.25">
      <c r="D119" s="78" t="s">
        <v>286</v>
      </c>
      <c r="E119" s="78" t="s">
        <v>285</v>
      </c>
      <c r="F119" s="78" t="s">
        <v>287</v>
      </c>
      <c r="G119" s="103">
        <v>220</v>
      </c>
      <c r="H119" s="103">
        <v>220</v>
      </c>
      <c r="I119" s="108">
        <v>8</v>
      </c>
      <c r="J119" s="93">
        <v>25</v>
      </c>
      <c r="K119" s="93">
        <v>0</v>
      </c>
      <c r="L119" s="93">
        <v>0</v>
      </c>
      <c r="M119" s="93">
        <v>8</v>
      </c>
      <c r="N119" s="104">
        <f>COUNTIF(Table7[Spawner],Table1[[#This Row],[Spawner Prefab]])</f>
        <v>30</v>
      </c>
      <c r="O119" s="96">
        <f>ROUND((Table1[[#This Row],[Total in "Village" scene]]/SUM(Table1[Total in "Village" scene]))*100,1)</f>
        <v>1.2</v>
      </c>
      <c r="P119" s="110">
        <f>COUNTIF(Table15[Spawner],Table1[[#This Row],[Spawner Prefab]])</f>
        <v>27</v>
      </c>
      <c r="Q119" s="100">
        <f>ROUND((Table1[[#This Row],[Total in "Castle" scene]]/SUM(Table1[Total in "Castle" scene]))*100,1)</f>
        <v>1.4</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57</v>
      </c>
      <c r="U119" s="99">
        <f>ROUND((Table1[[#This Row],[Total in the game]]/SUM(Table1[Total in the game]))*100,1)</f>
        <v>1</v>
      </c>
      <c r="V119" s="154" t="str">
        <f>Table1[[#This Row],[Content Sku]]</f>
        <v>PufferBird</v>
      </c>
      <c r="W119" s="158" t="s">
        <v>292</v>
      </c>
      <c r="X119" s="115" t="s">
        <v>327</v>
      </c>
      <c r="Y119" s="119" t="s">
        <v>327</v>
      </c>
      <c r="Z119" s="119" t="s">
        <v>327</v>
      </c>
    </row>
    <row r="120" spans="4:26" x14ac:dyDescent="0.25">
      <c r="D120" s="78" t="s">
        <v>289</v>
      </c>
      <c r="E120" s="78" t="s">
        <v>288</v>
      </c>
      <c r="F120" s="78" t="s">
        <v>290</v>
      </c>
      <c r="G120" s="103">
        <v>120</v>
      </c>
      <c r="H120" s="103">
        <v>120</v>
      </c>
      <c r="I120" s="108">
        <v>2</v>
      </c>
      <c r="J120" s="93">
        <v>25</v>
      </c>
      <c r="K120" s="93">
        <v>0</v>
      </c>
      <c r="L120" s="93">
        <v>0</v>
      </c>
      <c r="M120" s="93" t="s">
        <v>8</v>
      </c>
      <c r="N120" s="104">
        <f>COUNTIF(Table7[Spawner],Table1[[#This Row],[Spawner Prefab]])</f>
        <v>49</v>
      </c>
      <c r="O120" s="96">
        <f>ROUND((Table1[[#This Row],[Total in "Village" scene]]/SUM(Table1[Total in "Village" scene]))*100,1)</f>
        <v>2</v>
      </c>
      <c r="P120" s="110">
        <f>COUNTIF(Table15[Spawner],Table1[[#This Row],[Spawner Prefab]])</f>
        <v>54</v>
      </c>
      <c r="Q120" s="100">
        <f>ROUND((Table1[[#This Row],[Total in "Castle" scene]]/SUM(Table1[Total in "Castle" scene]))*100,1)</f>
        <v>2.7</v>
      </c>
      <c r="R120" s="105">
        <f>COUNTIF(Table20[Spawner],Table1[[#This Row],[Spawner Prefab]])</f>
        <v>0</v>
      </c>
      <c r="S120" s="97">
        <f>ROUND((Table1[[#This Row],[Total in "Dark" scene]]/SUM(Table1[Total in "Dark" scene]))*100,1)</f>
        <v>0</v>
      </c>
      <c r="T120" s="111">
        <f>Table1[[#This Row],[Total in "Village" scene]]+Table1[[#This Row],[Total in "Castle" scene]]+Table1[[#This Row],[Total in "Dark" scene]]</f>
        <v>103</v>
      </c>
      <c r="U120" s="99">
        <f>ROUND((Table1[[#This Row],[Total in the game]]/SUM(Table1[Total in the game]))*100,1)</f>
        <v>1.9</v>
      </c>
      <c r="V120" s="154" t="s">
        <v>288</v>
      </c>
      <c r="W120" s="158" t="s">
        <v>294</v>
      </c>
      <c r="X120" s="115" t="s">
        <v>327</v>
      </c>
      <c r="Y120" s="119" t="s">
        <v>327</v>
      </c>
      <c r="Z120" s="119" t="s">
        <v>327</v>
      </c>
    </row>
    <row r="121" spans="4:26" x14ac:dyDescent="0.25">
      <c r="D121" s="78" t="s">
        <v>4436</v>
      </c>
      <c r="E121" s="78" t="s">
        <v>4467</v>
      </c>
      <c r="F121" s="78" t="s">
        <v>4437</v>
      </c>
      <c r="G121" s="103">
        <v>120</v>
      </c>
      <c r="H121" s="103">
        <v>120</v>
      </c>
      <c r="I121" s="108">
        <v>5</v>
      </c>
      <c r="J121" s="93">
        <v>40</v>
      </c>
      <c r="K121" s="93">
        <v>0</v>
      </c>
      <c r="L121" s="93">
        <v>0</v>
      </c>
      <c r="M121" s="93" t="s">
        <v>8</v>
      </c>
      <c r="N121" s="104">
        <f>COUNTIF(Table7[Spawner],Table1[[#This Row],[Spawner Prefab]])</f>
        <v>0</v>
      </c>
      <c r="O121" s="96">
        <f>ROUND((Table1[[#This Row],[Total in "Village" scene]]/SUM(Table1[Total in "Village" scene]))*100,1)</f>
        <v>0</v>
      </c>
      <c r="P121" s="110">
        <f>COUNTIF(Table15[Spawner],Table1[[#This Row],[Spawner Prefab]])</f>
        <v>0</v>
      </c>
      <c r="Q121" s="100">
        <f>ROUND((Table1[[#This Row],[Total in "Castle" scene]]/SUM(Table1[Total in "Castle" scene]))*100,1)</f>
        <v>0</v>
      </c>
      <c r="R121" s="105">
        <f>COUNTIF(Table20[Spawner],Table1[[#This Row],[Spawner Prefab]])</f>
        <v>12</v>
      </c>
      <c r="S121" s="97">
        <f>ROUND((Table1[[#This Row],[Total in "Dark" scene]]/SUM(Table1[Total in "Dark" scene]))*100,1)</f>
        <v>1.1000000000000001</v>
      </c>
      <c r="T121" s="111">
        <f>Table1[[#This Row],[Total in "Village" scene]]+Table1[[#This Row],[Total in "Castle" scene]]+Table1[[#This Row],[Total in "Dark" scene]]</f>
        <v>12</v>
      </c>
      <c r="U121" s="99">
        <f>ROUND((Table1[[#This Row],[Total in the game]]/SUM(Table1[Total in the game]))*100,1)</f>
        <v>0.2</v>
      </c>
      <c r="V121" s="154" t="s">
        <v>288</v>
      </c>
      <c r="W121" s="161" t="s">
        <v>2738</v>
      </c>
      <c r="X121" s="115" t="s">
        <v>327</v>
      </c>
      <c r="Y121" s="119" t="s">
        <v>327</v>
      </c>
      <c r="Z121" s="119" t="s">
        <v>327</v>
      </c>
    </row>
    <row r="122" spans="4:26" x14ac:dyDescent="0.25">
      <c r="D122" s="78" t="s">
        <v>518</v>
      </c>
      <c r="E122" s="78" t="s">
        <v>288</v>
      </c>
      <c r="F122" s="78" t="s">
        <v>519</v>
      </c>
      <c r="G122" s="103">
        <v>120</v>
      </c>
      <c r="H122" s="103">
        <v>120</v>
      </c>
      <c r="I122" s="108">
        <v>2</v>
      </c>
      <c r="J122" s="93">
        <v>25</v>
      </c>
      <c r="K122" s="93">
        <v>0</v>
      </c>
      <c r="L122" s="93">
        <v>0</v>
      </c>
      <c r="M122" s="93" t="s">
        <v>8</v>
      </c>
      <c r="N122" s="104">
        <f>COUNTIF(Table7[Spawner],Table1[[#This Row],[Spawner Prefab]])</f>
        <v>3</v>
      </c>
      <c r="O122" s="96">
        <f>ROUND((Table1[[#This Row],[Total in "Village" scene]]/SUM(Table1[Total in "Village" scene]))*100,1)</f>
        <v>0.1</v>
      </c>
      <c r="P122" s="110">
        <f>COUNTIF(Table15[Spawner],Table1[[#This Row],[Spawner Prefab]])</f>
        <v>0</v>
      </c>
      <c r="Q122" s="100">
        <f>ROUND((Table1[[#This Row],[Total in "Castle" scene]]/SUM(Table1[Total in "Castle" scene]))*100,1)</f>
        <v>0</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3</v>
      </c>
      <c r="U122" s="99">
        <f>ROUND((Table1[[#This Row],[Total in the game]]/SUM(Table1[Total in the game]))*100,1)</f>
        <v>0.1</v>
      </c>
      <c r="V122" s="154" t="s">
        <v>288</v>
      </c>
      <c r="W122" s="161" t="s">
        <v>2740</v>
      </c>
      <c r="X122" s="115" t="s">
        <v>327</v>
      </c>
      <c r="Y122" s="119" t="s">
        <v>327</v>
      </c>
      <c r="Z122" s="119" t="s">
        <v>327</v>
      </c>
    </row>
    <row r="123" spans="4:26" x14ac:dyDescent="0.25">
      <c r="D123" s="78" t="s">
        <v>587</v>
      </c>
      <c r="E123" s="78" t="s">
        <v>288</v>
      </c>
      <c r="F123" s="78" t="s">
        <v>589</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288</v>
      </c>
      <c r="W123" s="161" t="s">
        <v>2742</v>
      </c>
      <c r="X123" s="115" t="s">
        <v>327</v>
      </c>
      <c r="Y123" s="119" t="s">
        <v>327</v>
      </c>
      <c r="Z123" s="119" t="s">
        <v>327</v>
      </c>
    </row>
    <row r="124" spans="4:26" x14ac:dyDescent="0.25">
      <c r="D124" s="78" t="s">
        <v>419</v>
      </c>
      <c r="E124" s="78" t="s">
        <v>418</v>
      </c>
      <c r="F124" s="78" t="s">
        <v>420</v>
      </c>
      <c r="G124" s="103">
        <v>280</v>
      </c>
      <c r="H124" s="103">
        <v>280</v>
      </c>
      <c r="I124" s="108">
        <v>20</v>
      </c>
      <c r="J124" s="93">
        <v>70</v>
      </c>
      <c r="K124" s="93">
        <v>2</v>
      </c>
      <c r="L124" s="93">
        <v>2</v>
      </c>
      <c r="M124" s="93" t="s">
        <v>8</v>
      </c>
      <c r="N124" s="104">
        <f>COUNTIF(Table7[Spawner],Table1[[#This Row],[Spawner Prefab]])</f>
        <v>12</v>
      </c>
      <c r="O124" s="96">
        <f>ROUND((Table1[[#This Row],[Total in "Village" scene]]/SUM(Table1[Total in "Village" scene]))*100,1)</f>
        <v>0.5</v>
      </c>
      <c r="P124" s="110">
        <f>COUNTIF(Table15[Spawner],Table1[[#This Row],[Spawner Prefab]])</f>
        <v>6</v>
      </c>
      <c r="Q124" s="100">
        <f>ROUND((Table1[[#This Row],[Total in "Castle" scene]]/SUM(Table1[Total in "Castle" scene]))*100,1)</f>
        <v>0.3</v>
      </c>
      <c r="R124" s="105">
        <f>COUNTIF(Table20[Spawner],Table1[[#This Row],[Spawner Prefab]])</f>
        <v>5</v>
      </c>
      <c r="S124" s="97">
        <f>ROUND((Table1[[#This Row],[Total in "Dark" scene]]/SUM(Table1[Total in "Dark" scene]))*100,1)</f>
        <v>0.5</v>
      </c>
      <c r="T124" s="111">
        <f>Table1[[#This Row],[Total in "Village" scene]]+Table1[[#This Row],[Total in "Castle" scene]]+Table1[[#This Row],[Total in "Dark" scene]]</f>
        <v>23</v>
      </c>
      <c r="U124" s="99">
        <f>ROUND((Table1[[#This Row],[Total in the game]]/SUM(Table1[Total in the game]))*100,1)</f>
        <v>0.4</v>
      </c>
      <c r="V124" s="154" t="str">
        <f>Table1[[#This Row],[Content Sku]]</f>
        <v>Razorback</v>
      </c>
      <c r="W124" s="161" t="s">
        <v>2744</v>
      </c>
      <c r="X124" s="115" t="s">
        <v>327</v>
      </c>
      <c r="Y124" s="119" t="s">
        <v>327</v>
      </c>
      <c r="Z124" s="119" t="s">
        <v>327</v>
      </c>
    </row>
    <row r="125" spans="4:26" x14ac:dyDescent="0.25">
      <c r="D125" s="78" t="s">
        <v>2450</v>
      </c>
      <c r="E125" s="78" t="s">
        <v>2451</v>
      </c>
      <c r="F125" s="78" t="s">
        <v>2452</v>
      </c>
      <c r="G125" s="103">
        <v>240</v>
      </c>
      <c r="H125" s="103">
        <v>240</v>
      </c>
      <c r="I125" s="108">
        <v>12</v>
      </c>
      <c r="J125" s="93">
        <v>75</v>
      </c>
      <c r="K125" s="93">
        <v>0</v>
      </c>
      <c r="L125" s="93">
        <v>0</v>
      </c>
      <c r="M125" s="93" t="s">
        <v>8</v>
      </c>
      <c r="N125" s="104">
        <f>COUNTIF(Table7[Spawner],Table1[[#This Row],[Spawner Prefab]])</f>
        <v>6</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6</v>
      </c>
      <c r="U125" s="99">
        <f>ROUND((Table1[[#This Row],[Total in the game]]/SUM(Table1[Total in the game]))*100,1)</f>
        <v>0.1</v>
      </c>
      <c r="V125" s="154" t="str">
        <f>Table1[[#This Row],[Content Sku]]</f>
        <v>RazorbackBaby</v>
      </c>
      <c r="W125" s="161" t="s">
        <v>2747</v>
      </c>
      <c r="X125" s="115" t="s">
        <v>327</v>
      </c>
      <c r="Y125" s="119" t="s">
        <v>327</v>
      </c>
      <c r="Z125" s="119" t="s">
        <v>327</v>
      </c>
    </row>
    <row r="126" spans="4:26" x14ac:dyDescent="0.25">
      <c r="D126" s="78" t="s">
        <v>291</v>
      </c>
      <c r="E126" s="78" t="s">
        <v>72</v>
      </c>
      <c r="F126" s="78" t="s">
        <v>292</v>
      </c>
      <c r="G126" s="103">
        <v>260</v>
      </c>
      <c r="H126" s="103">
        <v>260</v>
      </c>
      <c r="I126" s="108">
        <v>15</v>
      </c>
      <c r="J126" s="93">
        <v>50</v>
      </c>
      <c r="K126" s="93">
        <v>0</v>
      </c>
      <c r="L126" s="93">
        <v>0</v>
      </c>
      <c r="M126" s="93" t="s">
        <v>8</v>
      </c>
      <c r="N126" s="104">
        <f>COUNTIF(Table7[Spawner],Table1[[#This Row],[Spawner Prefab]])</f>
        <v>0</v>
      </c>
      <c r="O126" s="96">
        <f>ROUND((Table1[[#This Row],[Total in "Village" scene]]/SUM(Table1[Total in "Village" scene]))*100,1)</f>
        <v>0</v>
      </c>
      <c r="P126" s="110">
        <f>COUNTIF(Table15[Spawner],Table1[[#This Row],[Spawner Prefab]])</f>
        <v>7</v>
      </c>
      <c r="Q126" s="100">
        <f>ROUND((Table1[[#This Row],[Total in "Castle" scene]]/SUM(Table1[Total in "Castle" scene]))*100,1)</f>
        <v>0.4</v>
      </c>
      <c r="R126" s="105">
        <f>COUNTIF(Table20[Spawner],Table1[[#This Row],[Spawner Prefab]])</f>
        <v>0</v>
      </c>
      <c r="S126" s="97">
        <f>ROUND((Table1[[#This Row],[Total in "Dark" scene]]/SUM(Table1[Total in "Dark" scene]))*100,1)</f>
        <v>0</v>
      </c>
      <c r="T126" s="111">
        <f>Table1[[#This Row],[Total in "Village" scene]]+Table1[[#This Row],[Total in "Castle" scene]]+Table1[[#This Row],[Total in "Dark" scene]]</f>
        <v>7</v>
      </c>
      <c r="U126" s="99">
        <f>ROUND((Table1[[#This Row],[Total in the game]]/SUM(Table1[Total in the game]))*100,1)</f>
        <v>0.1</v>
      </c>
      <c r="V126" s="154" t="str">
        <f>Table1[[#This Row],[Content Sku]]</f>
        <v>RichMan</v>
      </c>
      <c r="W126" s="161" t="s">
        <v>2767</v>
      </c>
      <c r="X126" s="147" t="s">
        <v>328</v>
      </c>
      <c r="Y126" s="147" t="s">
        <v>328</v>
      </c>
      <c r="Z126" s="147" t="s">
        <v>328</v>
      </c>
    </row>
    <row r="127" spans="4:26" x14ac:dyDescent="0.25">
      <c r="D127" s="78" t="s">
        <v>293</v>
      </c>
      <c r="E127" s="78" t="s">
        <v>72</v>
      </c>
      <c r="F127" s="78" t="s">
        <v>294</v>
      </c>
      <c r="G127" s="103">
        <v>260</v>
      </c>
      <c r="H127" s="103">
        <v>260</v>
      </c>
      <c r="I127" s="108">
        <v>15</v>
      </c>
      <c r="J127" s="93">
        <v>50</v>
      </c>
      <c r="K127" s="93">
        <v>0</v>
      </c>
      <c r="L127" s="93">
        <v>0</v>
      </c>
      <c r="M127" s="93" t="s">
        <v>8</v>
      </c>
      <c r="N127" s="104">
        <f>COUNTIF(Table7[Spawner],Table1[[#This Row],[Spawner Prefab]])</f>
        <v>0</v>
      </c>
      <c r="O127" s="96">
        <f>ROUND((Table1[[#This Row],[Total in "Village" scene]]/SUM(Table1[Total in "Village" scene]))*100,1)</f>
        <v>0</v>
      </c>
      <c r="P127" s="110">
        <f>COUNTIF(Table15[Spawner],Table1[[#This Row],[Spawner Prefab]])</f>
        <v>16</v>
      </c>
      <c r="Q127" s="100">
        <f>ROUND((Table1[[#This Row],[Total in "Castle" scene]]/SUM(Table1[Total in "Castle" scene]))*100,1)</f>
        <v>0.8</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16</v>
      </c>
      <c r="U127" s="99">
        <f>ROUND((Table1[[#This Row],[Total in the game]]/SUM(Table1[Total in the game]))*100,1)</f>
        <v>0.3</v>
      </c>
      <c r="V127" s="154" t="str">
        <f>Table1[[#This Row],[Content Sku]]</f>
        <v>RichMan</v>
      </c>
      <c r="W127" s="161" t="s">
        <v>2768</v>
      </c>
      <c r="X127" s="115" t="s">
        <v>327</v>
      </c>
      <c r="Y127" s="119" t="s">
        <v>327</v>
      </c>
      <c r="Z127" s="119" t="s">
        <v>327</v>
      </c>
    </row>
    <row r="128" spans="4:26" x14ac:dyDescent="0.25">
      <c r="D128" s="78" t="s">
        <v>2670</v>
      </c>
      <c r="E128" s="78" t="s">
        <v>2653</v>
      </c>
      <c r="F128" s="78" t="s">
        <v>2656</v>
      </c>
      <c r="G128" s="103">
        <v>110</v>
      </c>
      <c r="H128" s="103">
        <v>110</v>
      </c>
      <c r="I128" s="108">
        <v>20</v>
      </c>
      <c r="J128" s="93">
        <v>105</v>
      </c>
      <c r="K128" s="93">
        <v>2</v>
      </c>
      <c r="L128" s="93">
        <v>2</v>
      </c>
      <c r="M128" s="93" t="s">
        <v>8</v>
      </c>
      <c r="N128" s="104">
        <f>COUNTIF(Table7[Spawner],Table1[[#This Row],[Spawner Prefab]])</f>
        <v>0</v>
      </c>
      <c r="O128" s="96">
        <f>ROUND((Table1[[#This Row],[Total in "Village" scene]]/SUM(Table1[Total in "Village" scene]))*100,1)</f>
        <v>0</v>
      </c>
      <c r="P128" s="110">
        <f>COUNTIF(Table15[Spawner],Table1[[#This Row],[Spawner Prefab]])</f>
        <v>0</v>
      </c>
      <c r="Q128" s="100">
        <f>ROUND((Table1[[#This Row],[Total in "Castle" scene]]/SUM(Table1[Total in "Castle" scene]))*100,1)</f>
        <v>0</v>
      </c>
      <c r="R128" s="105">
        <f>COUNTIF(Table20[Spawner],Table1[[#This Row],[Spawner Prefab]])</f>
        <v>16</v>
      </c>
      <c r="S128" s="97">
        <f>ROUND((Table1[[#This Row],[Total in "Dark" scene]]/SUM(Table1[Total in "Dark" scene]))*100,1)</f>
        <v>1.5</v>
      </c>
      <c r="T128" s="111">
        <f>Table1[[#This Row],[Total in "Village" scene]]+Table1[[#This Row],[Total in "Castle" scene]]+Table1[[#This Row],[Total in "Dark" scene]]</f>
        <v>16</v>
      </c>
      <c r="U128" s="99">
        <f>ROUND((Table1[[#This Row],[Total in the game]]/SUM(Table1[Total in the game]))*100,1)</f>
        <v>0.3</v>
      </c>
      <c r="V128" s="154" t="str">
        <f>Table1[[#This Row],[Content Sku]]</f>
        <v>Scarab</v>
      </c>
      <c r="W128" s="161" t="s">
        <v>2769</v>
      </c>
      <c r="X128" s="115" t="s">
        <v>327</v>
      </c>
      <c r="Y128" s="119" t="s">
        <v>327</v>
      </c>
      <c r="Z128" s="119" t="s">
        <v>327</v>
      </c>
    </row>
    <row r="129" spans="4:26" x14ac:dyDescent="0.25">
      <c r="D129" s="78" t="s">
        <v>333</v>
      </c>
      <c r="E129" s="78" t="s">
        <v>69</v>
      </c>
      <c r="F129" s="78" t="s">
        <v>334</v>
      </c>
      <c r="G129" s="103">
        <v>130</v>
      </c>
      <c r="H129" s="103">
        <v>130</v>
      </c>
      <c r="I129" s="108">
        <v>15</v>
      </c>
      <c r="J129" s="93">
        <v>50</v>
      </c>
      <c r="K129" s="93">
        <v>0</v>
      </c>
      <c r="L129" s="93">
        <v>0</v>
      </c>
      <c r="M129" s="93" t="s">
        <v>8</v>
      </c>
      <c r="N129" s="104">
        <f>COUNTIF(Table7[Spawner],Table1[[#This Row],[Spawner Prefab]])</f>
        <v>2</v>
      </c>
      <c r="O129" s="96">
        <f>ROUND((Table1[[#This Row],[Total in "Village" scene]]/SUM(Table1[Total in "Village" scene]))*100,1)</f>
        <v>0.1</v>
      </c>
      <c r="P129" s="110">
        <f>COUNTIF(Table15[Spawner],Table1[[#This Row],[Spawner Prefab]])</f>
        <v>0</v>
      </c>
      <c r="Q129" s="100">
        <f>ROUND((Table1[[#This Row],[Total in "Castle" scene]]/SUM(Table1[Total in "Castle" scene]))*100,1)</f>
        <v>0</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2</v>
      </c>
      <c r="U129" s="99">
        <f>ROUND((Table1[[#This Row],[Total in the game]]/SUM(Table1[Total in the game]))*100,1)</f>
        <v>0</v>
      </c>
      <c r="V129" s="154" t="str">
        <f>Table1[[#This Row],[Content Sku]]</f>
        <v>BoatFisher</v>
      </c>
      <c r="W129" s="160" t="s">
        <v>2656</v>
      </c>
      <c r="X129" s="147" t="s">
        <v>327</v>
      </c>
      <c r="Y129" s="147" t="s">
        <v>327</v>
      </c>
      <c r="Z129" s="147" t="s">
        <v>327</v>
      </c>
    </row>
    <row r="130" spans="4:26" x14ac:dyDescent="0.25">
      <c r="D130" s="78" t="s">
        <v>2676</v>
      </c>
      <c r="E130" s="78" t="s">
        <v>2654</v>
      </c>
      <c r="F130" s="78" t="s">
        <v>2657</v>
      </c>
      <c r="G130" s="103">
        <v>180</v>
      </c>
      <c r="H130" s="103">
        <v>180</v>
      </c>
      <c r="I130" s="108">
        <v>150</v>
      </c>
      <c r="J130" s="93">
        <v>195</v>
      </c>
      <c r="K130" s="93">
        <v>4</v>
      </c>
      <c r="L130" s="93">
        <v>4</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8</v>
      </c>
      <c r="S130" s="97">
        <f>ROUND((Table1[[#This Row],[Total in "Dark" scene]]/SUM(Table1[Total in "Dark" scene]))*100,1)</f>
        <v>0.8</v>
      </c>
      <c r="T130" s="111">
        <f>Table1[[#This Row],[Total in "Village" scene]]+Table1[[#This Row],[Total in "Castle" scene]]+Table1[[#This Row],[Total in "Dark" scene]]</f>
        <v>8</v>
      </c>
      <c r="U130" s="99">
        <f>ROUND((Table1[[#This Row],[Total in the game]]/SUM(Table1[Total in the game]))*100,1)</f>
        <v>0.1</v>
      </c>
      <c r="V130" s="154" t="str">
        <f>Table1[[#This Row],[Content Sku]]</f>
        <v>Shark</v>
      </c>
      <c r="W130" s="158" t="s">
        <v>334</v>
      </c>
      <c r="X130" s="115" t="s">
        <v>327</v>
      </c>
      <c r="Y130" s="119" t="s">
        <v>327</v>
      </c>
      <c r="Z130" s="119" t="s">
        <v>327</v>
      </c>
    </row>
    <row r="131" spans="4:26" x14ac:dyDescent="0.25">
      <c r="D131" s="78" t="s">
        <v>295</v>
      </c>
      <c r="E131" s="78" t="s">
        <v>73</v>
      </c>
      <c r="F131" s="78" t="s">
        <v>296</v>
      </c>
      <c r="G131" s="103">
        <v>200</v>
      </c>
      <c r="H131" s="103">
        <v>200</v>
      </c>
      <c r="I131" s="108">
        <v>7</v>
      </c>
      <c r="J131" s="93">
        <v>75</v>
      </c>
      <c r="K131" s="93">
        <v>0</v>
      </c>
      <c r="L131" s="93">
        <v>0</v>
      </c>
      <c r="M131" s="93" t="s">
        <v>8</v>
      </c>
      <c r="N131" s="104">
        <f>COUNTIF(Table7[Spawner],Table1[[#This Row],[Spawner Prefab]])</f>
        <v>44</v>
      </c>
      <c r="O131" s="96">
        <f>ROUND((Table1[[#This Row],[Total in "Village" scene]]/SUM(Table1[Total in "Village" scene]))*100,1)</f>
        <v>1.8</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44</v>
      </c>
      <c r="U131" s="99">
        <f>ROUND((Table1[[#This Row],[Total in the game]]/SUM(Table1[Total in the game]))*100,1)</f>
        <v>0.8</v>
      </c>
      <c r="V131" s="154" t="str">
        <f>Table1[[#This Row],[Content Sku]]</f>
        <v>Sheep</v>
      </c>
      <c r="W131" s="161" t="s">
        <v>2771</v>
      </c>
      <c r="X131" s="115" t="s">
        <v>327</v>
      </c>
      <c r="Y131" s="119" t="s">
        <v>327</v>
      </c>
      <c r="Z131" s="119" t="s">
        <v>327</v>
      </c>
    </row>
    <row r="132" spans="4:26" x14ac:dyDescent="0.25">
      <c r="D132" s="78" t="s">
        <v>297</v>
      </c>
      <c r="E132" s="78" t="s">
        <v>73</v>
      </c>
      <c r="F132" s="78" t="s">
        <v>298</v>
      </c>
      <c r="G132" s="103">
        <v>200</v>
      </c>
      <c r="H132" s="103">
        <v>200</v>
      </c>
      <c r="I132" s="108">
        <v>7</v>
      </c>
      <c r="J132" s="93">
        <v>75</v>
      </c>
      <c r="K132" s="93">
        <v>0</v>
      </c>
      <c r="L132" s="93">
        <v>0</v>
      </c>
      <c r="M132" s="93" t="s">
        <v>8</v>
      </c>
      <c r="N132" s="104">
        <f>COUNTIF(Table7[Spawner],Table1[[#This Row],[Spawner Prefab]])</f>
        <v>1</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0</v>
      </c>
      <c r="S132" s="97">
        <f>ROUND((Table1[[#This Row],[Total in "Dark" scene]]/SUM(Table1[Total in "Dark" scene]))*100,1)</f>
        <v>0</v>
      </c>
      <c r="T132" s="111">
        <f>Table1[[#This Row],[Total in "Village" scene]]+Table1[[#This Row],[Total in "Castle" scene]]+Table1[[#This Row],[Total in "Dark" scene]]</f>
        <v>1</v>
      </c>
      <c r="U132" s="99">
        <f>ROUND((Table1[[#This Row],[Total in the game]]/SUM(Table1[Total in the game]))*100,1)</f>
        <v>0</v>
      </c>
      <c r="V132" s="154" t="str">
        <f>Table1[[#This Row],[Content Sku]]</f>
        <v>Sheep</v>
      </c>
      <c r="W132" s="160" t="s">
        <v>2657</v>
      </c>
      <c r="X132" s="147" t="s">
        <v>328</v>
      </c>
      <c r="Y132" s="147" t="s">
        <v>328</v>
      </c>
      <c r="Z132" s="147" t="s">
        <v>328</v>
      </c>
    </row>
    <row r="133" spans="4:26" x14ac:dyDescent="0.25">
      <c r="D133" s="78" t="s">
        <v>300</v>
      </c>
      <c r="E133" s="78" t="s">
        <v>299</v>
      </c>
      <c r="F133" s="78" t="s">
        <v>301</v>
      </c>
      <c r="G133" s="103">
        <v>300</v>
      </c>
      <c r="H133" s="103">
        <v>300</v>
      </c>
      <c r="I133" s="108">
        <v>30</v>
      </c>
      <c r="J133" s="93">
        <v>105</v>
      </c>
      <c r="K133" s="93">
        <v>2</v>
      </c>
      <c r="L133" s="93">
        <v>2</v>
      </c>
      <c r="M133" s="93" t="s">
        <v>8</v>
      </c>
      <c r="N133" s="104">
        <f>COUNTIF(Table7[Spawner],Table1[[#This Row],[Spawner Prefab]])</f>
        <v>0</v>
      </c>
      <c r="O133" s="96">
        <f>ROUND((Table1[[#This Row],[Total in "Village" scene]]/SUM(Table1[Total in "Village" scene]))*100,1)</f>
        <v>0</v>
      </c>
      <c r="P133" s="110">
        <f>COUNTIF(Table15[Spawner],Table1[[#This Row],[Spawner Prefab]])</f>
        <v>6</v>
      </c>
      <c r="Q133" s="100">
        <f>ROUND((Table1[[#This Row],[Total in "Castle" scene]]/SUM(Table1[Total in "Castle" scene]))*100,1)</f>
        <v>0.3</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6</v>
      </c>
      <c r="U133" s="99">
        <f>ROUND((Table1[[#This Row],[Total in the game]]/SUM(Table1[Total in the game]))*100,1)</f>
        <v>0.1</v>
      </c>
      <c r="V133" s="154" t="str">
        <f>Table1[[#This Row],[Content Sku]]</f>
        <v>ShieldMan</v>
      </c>
      <c r="W133" s="158" t="s">
        <v>296</v>
      </c>
      <c r="X133" s="115" t="s">
        <v>327</v>
      </c>
      <c r="Y133" s="119" t="s">
        <v>327</v>
      </c>
      <c r="Z133" s="119" t="s">
        <v>327</v>
      </c>
    </row>
    <row r="134" spans="4:26" x14ac:dyDescent="0.25">
      <c r="D134" s="78" t="s">
        <v>543</v>
      </c>
      <c r="E134" s="78" t="s">
        <v>542</v>
      </c>
      <c r="F134" s="78" t="s">
        <v>544</v>
      </c>
      <c r="G134" s="103">
        <v>120</v>
      </c>
      <c r="H134" s="103">
        <v>120</v>
      </c>
      <c r="I134" s="108">
        <v>5</v>
      </c>
      <c r="J134" s="93">
        <v>35</v>
      </c>
      <c r="K134" s="93">
        <v>2</v>
      </c>
      <c r="L134" s="93">
        <v>2</v>
      </c>
      <c r="M134" s="93" t="s">
        <v>8</v>
      </c>
      <c r="N134" s="104">
        <f>COUNTIF(Table7[Spawner],Table1[[#This Row],[Spawner Prefab]])</f>
        <v>0</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21</v>
      </c>
      <c r="S134" s="97">
        <f>ROUND((Table1[[#This Row],[Total in "Dark" scene]]/SUM(Table1[Total in "Dark" scene]))*100,1)</f>
        <v>2</v>
      </c>
      <c r="T134" s="111">
        <f>Table1[[#This Row],[Total in "Village" scene]]+Table1[[#This Row],[Total in "Castle" scene]]+Table1[[#This Row],[Total in "Dark" scene]]</f>
        <v>21</v>
      </c>
      <c r="U134" s="99">
        <f>ROUND((Table1[[#This Row],[Total in the game]]/SUM(Table1[Total in the game]))*100,1)</f>
        <v>0.4</v>
      </c>
      <c r="V134" s="154" t="str">
        <f>Table1[[#This Row],[Content Sku]]</f>
        <v>Slime</v>
      </c>
      <c r="W134" s="158" t="s">
        <v>298</v>
      </c>
      <c r="X134" s="115" t="s">
        <v>327</v>
      </c>
      <c r="Y134" s="119" t="s">
        <v>327</v>
      </c>
      <c r="Z134" s="119" t="s">
        <v>327</v>
      </c>
    </row>
    <row r="135" spans="4:26" x14ac:dyDescent="0.25">
      <c r="D135" s="78" t="s">
        <v>546</v>
      </c>
      <c r="E135" s="78" t="s">
        <v>545</v>
      </c>
      <c r="F135" s="78" t="s">
        <v>547</v>
      </c>
      <c r="G135" s="103">
        <v>120</v>
      </c>
      <c r="H135" s="103">
        <v>120</v>
      </c>
      <c r="I135" s="108">
        <v>35</v>
      </c>
      <c r="J135" s="93">
        <v>130</v>
      </c>
      <c r="K135" s="93">
        <v>4</v>
      </c>
      <c r="L135" s="93">
        <v>4</v>
      </c>
      <c r="M135" s="93">
        <v>50</v>
      </c>
      <c r="N135" s="104">
        <f>COUNTIF(Table7[Spawner],Table1[[#This Row],[Spawner Prefab]])</f>
        <v>0</v>
      </c>
      <c r="O135" s="96">
        <f>ROUND((Table1[[#This Row],[Total in "Village" scene]]/SUM(Table1[Total in "Village" scene]))*100,1)</f>
        <v>0</v>
      </c>
      <c r="P135" s="110">
        <f>COUNTIF(Table15[Spawner],Table1[[#This Row],[Spawner Prefab]])</f>
        <v>0</v>
      </c>
      <c r="Q135" s="100">
        <f>ROUND((Table1[[#This Row],[Total in "Castle" scene]]/SUM(Table1[Total in "Castle" scene]))*100,1)</f>
        <v>0</v>
      </c>
      <c r="R135" s="105">
        <f>COUNTIF(Table20[Spawner],Table1[[#This Row],[Spawner Prefab]])</f>
        <v>7</v>
      </c>
      <c r="S135" s="97">
        <f>ROUND((Table1[[#This Row],[Total in "Dark" scene]]/SUM(Table1[Total in "Dark" scene]))*100,1)</f>
        <v>0.7</v>
      </c>
      <c r="T135" s="111">
        <f>Table1[[#This Row],[Total in "Village" scene]]+Table1[[#This Row],[Total in "Castle" scene]]+Table1[[#This Row],[Total in "Dark" scene]]</f>
        <v>7</v>
      </c>
      <c r="U135" s="99">
        <f>ROUND((Table1[[#This Row],[Total in the game]]/SUM(Table1[Total in the game]))*100,1)</f>
        <v>0.1</v>
      </c>
      <c r="V135" s="154" t="str">
        <f>Table1[[#This Row],[Content Sku]]</f>
        <v>SlimePoison</v>
      </c>
      <c r="W135" s="158" t="s">
        <v>301</v>
      </c>
      <c r="X135" s="115" t="s">
        <v>327</v>
      </c>
      <c r="Y135" s="119" t="s">
        <v>327</v>
      </c>
      <c r="Z135" s="119" t="s">
        <v>327</v>
      </c>
    </row>
    <row r="136" spans="4:26" x14ac:dyDescent="0.25">
      <c r="D136" s="78" t="s">
        <v>583</v>
      </c>
      <c r="E136" s="78" t="s">
        <v>2412</v>
      </c>
      <c r="F136" s="78" t="s">
        <v>584</v>
      </c>
      <c r="G136" s="103">
        <v>120</v>
      </c>
      <c r="H136" s="103">
        <v>120</v>
      </c>
      <c r="I136" s="108">
        <v>40</v>
      </c>
      <c r="J136" s="93">
        <v>48</v>
      </c>
      <c r="K136" s="93">
        <v>3</v>
      </c>
      <c r="L136" s="93">
        <v>3</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4</v>
      </c>
      <c r="S136" s="97">
        <f>ROUND((Table1[[#This Row],[Total in "Dark" scene]]/SUM(Table1[Total in "Dark" scene]))*100,1)</f>
        <v>0.4</v>
      </c>
      <c r="T136" s="111">
        <f>Table1[[#This Row],[Total in "Village" scene]]+Table1[[#This Row],[Total in "Castle" scene]]+Table1[[#This Row],[Total in "Dark" scene]]</f>
        <v>4</v>
      </c>
      <c r="U136" s="99">
        <f>ROUND((Table1[[#This Row],[Total in the game]]/SUM(Table1[Total in the game]))*100,1)</f>
        <v>0.1</v>
      </c>
      <c r="V136" s="154" t="str">
        <f>Table1[[#This Row],[Content Sku]]</f>
        <v>SnailUnka</v>
      </c>
      <c r="W136" s="158" t="s">
        <v>544</v>
      </c>
      <c r="X136" s="115" t="s">
        <v>327</v>
      </c>
      <c r="Y136" s="119" t="s">
        <v>327</v>
      </c>
      <c r="Z136" s="119" t="s">
        <v>327</v>
      </c>
    </row>
    <row r="137" spans="4:26" x14ac:dyDescent="0.25">
      <c r="D137" s="78" t="s">
        <v>302</v>
      </c>
      <c r="E137" s="78" t="s">
        <v>74</v>
      </c>
      <c r="F137" s="78" t="s">
        <v>303</v>
      </c>
      <c r="G137" s="103">
        <v>310</v>
      </c>
      <c r="H137" s="103">
        <v>310</v>
      </c>
      <c r="I137" s="108">
        <v>50</v>
      </c>
      <c r="J137" s="93">
        <v>70</v>
      </c>
      <c r="K137" s="93">
        <v>2</v>
      </c>
      <c r="L137" s="93">
        <v>1</v>
      </c>
      <c r="M137" s="93">
        <v>55</v>
      </c>
      <c r="N137" s="104">
        <f>COUNTIF(Table7[Spawner],Table1[[#This Row],[Spawner Prefab]])</f>
        <v>0</v>
      </c>
      <c r="O137" s="96">
        <f>ROUND((Table1[[#This Row],[Total in "Village" scene]]/SUM(Table1[Total in "Village" scene]))*100,1)</f>
        <v>0</v>
      </c>
      <c r="P137" s="110">
        <f>COUNTIF(Table15[Spawner],Table1[[#This Row],[Spawner Prefab]])</f>
        <v>4</v>
      </c>
      <c r="Q137" s="100">
        <f>ROUND((Table1[[#This Row],[Total in "Castle" scene]]/SUM(Table1[Total in "Castle" scene]))*100,1)</f>
        <v>0.2</v>
      </c>
      <c r="R137" s="105">
        <f>COUNTIF(Table20[Spawner],Table1[[#This Row],[Spawner Prefab]])</f>
        <v>0</v>
      </c>
      <c r="S137" s="97">
        <f>ROUND((Table1[[#This Row],[Total in "Dark" scene]]/SUM(Table1[Total in "Dark" scene]))*100,1)</f>
        <v>0</v>
      </c>
      <c r="T137" s="111">
        <f>Table1[[#This Row],[Total in "Village" scene]]+Table1[[#This Row],[Total in "Castle" scene]]+Table1[[#This Row],[Total in "Dark" scene]]</f>
        <v>4</v>
      </c>
      <c r="U137" s="99">
        <f>ROUND((Table1[[#This Row],[Total in the game]]/SUM(Table1[Total in the game]))*100,1)</f>
        <v>0.1</v>
      </c>
      <c r="V137" s="154" t="str">
        <f>Table1[[#This Row],[Content Sku]]</f>
        <v>Soldier</v>
      </c>
      <c r="W137" s="159" t="s">
        <v>547</v>
      </c>
      <c r="X137" s="146" t="s">
        <v>328</v>
      </c>
      <c r="Y137" s="147" t="s">
        <v>328</v>
      </c>
      <c r="Z137" s="147" t="s">
        <v>328</v>
      </c>
    </row>
    <row r="138" spans="4:26" x14ac:dyDescent="0.25">
      <c r="D138" s="78" t="s">
        <v>304</v>
      </c>
      <c r="E138" s="78" t="s">
        <v>74</v>
      </c>
      <c r="F138" s="78" t="s">
        <v>305</v>
      </c>
      <c r="G138" s="103">
        <v>310</v>
      </c>
      <c r="H138" s="103">
        <v>310</v>
      </c>
      <c r="I138" s="108">
        <v>50</v>
      </c>
      <c r="J138" s="93">
        <v>70</v>
      </c>
      <c r="K138" s="93">
        <v>2</v>
      </c>
      <c r="L138" s="93">
        <v>1</v>
      </c>
      <c r="M138" s="93">
        <v>55</v>
      </c>
      <c r="N138" s="104">
        <f>COUNTIF(Table7[Spawner],Table1[[#This Row],[Spawner Prefab]])</f>
        <v>0</v>
      </c>
      <c r="O138" s="96">
        <f>ROUND((Table1[[#This Row],[Total in "Village" scene]]/SUM(Table1[Total in "Village" scene]))*100,1)</f>
        <v>0</v>
      </c>
      <c r="P138" s="110">
        <f>COUNTIF(Table15[Spawner],Table1[[#This Row],[Spawner Prefab]])</f>
        <v>7</v>
      </c>
      <c r="Q138" s="100">
        <f>ROUND((Table1[[#This Row],[Total in "Castle" scene]]/SUM(Table1[Total in "Castle" scene]))*100,1)</f>
        <v>0.4</v>
      </c>
      <c r="R138" s="105">
        <f>COUNTIF(Table20[Spawner],Table1[[#This Row],[Spawner Prefab]])</f>
        <v>0</v>
      </c>
      <c r="S138" s="97">
        <f>ROUND((Table1[[#This Row],[Total in "Dark" scene]]/SUM(Table1[Total in "Dark" scene]))*100,1)</f>
        <v>0</v>
      </c>
      <c r="T138" s="111">
        <f>Table1[[#This Row],[Total in "Village" scene]]+Table1[[#This Row],[Total in "Castle" scene]]+Table1[[#This Row],[Total in "Dark" scene]]</f>
        <v>7</v>
      </c>
      <c r="U138" s="99">
        <f>ROUND((Table1[[#This Row],[Total in the game]]/SUM(Table1[Total in the game]))*100,1)</f>
        <v>0.1</v>
      </c>
      <c r="V138" s="154" t="str">
        <f>Table1[[#This Row],[Content Sku]]</f>
        <v>Soldier</v>
      </c>
      <c r="W138" s="158" t="s">
        <v>584</v>
      </c>
      <c r="X138" s="115" t="s">
        <v>327</v>
      </c>
      <c r="Y138" s="119" t="s">
        <v>327</v>
      </c>
      <c r="Z138" s="119" t="s">
        <v>327</v>
      </c>
    </row>
    <row r="139" spans="4:26" x14ac:dyDescent="0.25">
      <c r="D139" s="78" t="s">
        <v>306</v>
      </c>
      <c r="E139" s="78" t="s">
        <v>82</v>
      </c>
      <c r="F139" s="78" t="s">
        <v>307</v>
      </c>
      <c r="G139" s="103">
        <v>180</v>
      </c>
      <c r="H139" s="103">
        <v>180</v>
      </c>
      <c r="I139" s="108">
        <v>30</v>
      </c>
      <c r="J139" s="93">
        <v>75</v>
      </c>
      <c r="K139" s="93">
        <v>0</v>
      </c>
      <c r="L139" s="93">
        <v>0</v>
      </c>
      <c r="M139" s="93">
        <v>5</v>
      </c>
      <c r="N139" s="104">
        <f>COUNTIF(Table7[Spawner],Table1[[#This Row],[Spawner Prefab]])</f>
        <v>14</v>
      </c>
      <c r="O139" s="96">
        <f>ROUND((Table1[[#This Row],[Total in "Village" scene]]/SUM(Table1[Total in "Village" scene]))*100,1)</f>
        <v>0.6</v>
      </c>
      <c r="P139" s="110">
        <f>COUNTIF(Table15[Spawner],Table1[[#This Row],[Spawner Prefab]])</f>
        <v>17</v>
      </c>
      <c r="Q139" s="100">
        <f>ROUND((Table1[[#This Row],[Total in "Castle" scene]]/SUM(Table1[Total in "Castle" scene]))*100,1)</f>
        <v>0.9</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31</v>
      </c>
      <c r="U139" s="99">
        <f>ROUND((Table1[[#This Row],[Total in the game]]/SUM(Table1[Total in the game]))*100,1)</f>
        <v>0.6</v>
      </c>
      <c r="V139" s="154" t="str">
        <f>Table1[[#This Row],[Content Sku]]</f>
        <v>Spartakus</v>
      </c>
      <c r="W139" s="159" t="s">
        <v>303</v>
      </c>
      <c r="X139" s="146" t="s">
        <v>328</v>
      </c>
      <c r="Y139" s="147" t="s">
        <v>328</v>
      </c>
      <c r="Z139" s="147" t="s">
        <v>328</v>
      </c>
    </row>
    <row r="140" spans="4:26" x14ac:dyDescent="0.25">
      <c r="D140" s="78" t="s">
        <v>309</v>
      </c>
      <c r="E140" s="78" t="s">
        <v>308</v>
      </c>
      <c r="F140" s="78" t="s">
        <v>310</v>
      </c>
      <c r="G140" s="103">
        <v>170</v>
      </c>
      <c r="H140" s="103">
        <v>170</v>
      </c>
      <c r="I140" s="108">
        <v>20</v>
      </c>
      <c r="J140" s="93">
        <v>70</v>
      </c>
      <c r="K140" s="93">
        <v>2</v>
      </c>
      <c r="L140" s="93">
        <v>2</v>
      </c>
      <c r="M140" s="93">
        <v>10</v>
      </c>
      <c r="N140" s="104">
        <f>COUNTIF(Table7[Spawner],Table1[[#This Row],[Spawner Prefab]])</f>
        <v>10</v>
      </c>
      <c r="O140" s="96">
        <f>ROUND((Table1[[#This Row],[Total in "Village" scene]]/SUM(Table1[Total in "Village" scene]))*100,1)</f>
        <v>0.4</v>
      </c>
      <c r="P140" s="110">
        <f>COUNTIF(Table15[Spawner],Table1[[#This Row],[Spawner Prefab]])</f>
        <v>22</v>
      </c>
      <c r="Q140" s="100">
        <f>ROUND((Table1[[#This Row],[Total in "Castle" scene]]/SUM(Table1[Total in "Castle" scene]))*100,1)</f>
        <v>1.1000000000000001</v>
      </c>
      <c r="R140" s="105">
        <f>COUNTIF(Table20[Spawner],Table1[[#This Row],[Spawner Prefab]])</f>
        <v>2</v>
      </c>
      <c r="S140" s="97">
        <f>ROUND((Table1[[#This Row],[Total in "Dark" scene]]/SUM(Table1[Total in "Dark" scene]))*100,1)</f>
        <v>0.2</v>
      </c>
      <c r="T140" s="111">
        <f>Table1[[#This Row],[Total in "Village" scene]]+Table1[[#This Row],[Total in "Castle" scene]]+Table1[[#This Row],[Total in "Dark" scene]]</f>
        <v>34</v>
      </c>
      <c r="U140" s="99">
        <f>ROUND((Table1[[#This Row],[Total in the game]]/SUM(Table1[Total in the game]))*100,1)</f>
        <v>0.6</v>
      </c>
      <c r="V140" s="154" t="str">
        <f>Table1[[#This Row],[Content Sku]]</f>
        <v>SpiderGreenTurret</v>
      </c>
      <c r="W140" s="158" t="s">
        <v>305</v>
      </c>
      <c r="X140" s="115" t="s">
        <v>328</v>
      </c>
      <c r="Y140" s="119" t="s">
        <v>328</v>
      </c>
      <c r="Z140" s="119" t="s">
        <v>328</v>
      </c>
    </row>
    <row r="141" spans="4:26" x14ac:dyDescent="0.25">
      <c r="D141" s="78" t="s">
        <v>311</v>
      </c>
      <c r="E141" s="78" t="s">
        <v>75</v>
      </c>
      <c r="F141" s="78" t="s">
        <v>312</v>
      </c>
      <c r="G141" s="103">
        <v>170</v>
      </c>
      <c r="H141" s="103">
        <v>170</v>
      </c>
      <c r="I141" s="108">
        <v>20</v>
      </c>
      <c r="J141" s="93">
        <v>70</v>
      </c>
      <c r="K141" s="93">
        <v>2</v>
      </c>
      <c r="L141" s="93">
        <v>2</v>
      </c>
      <c r="M141" s="93">
        <v>25</v>
      </c>
      <c r="N141" s="104">
        <f>COUNTIF(Table7[Spawner],Table1[[#This Row],[Spawner Prefab]])</f>
        <v>66</v>
      </c>
      <c r="O141" s="96">
        <f>ROUND((Table1[[#This Row],[Total in "Village" scene]]/SUM(Table1[Total in "Village" scene]))*100,1)</f>
        <v>2.7</v>
      </c>
      <c r="P141" s="110">
        <f>COUNTIF(Table15[Spawner],Table1[[#This Row],[Spawner Prefab]])</f>
        <v>37</v>
      </c>
      <c r="Q141" s="100">
        <f>ROUND((Table1[[#This Row],[Total in "Castle" scene]]/SUM(Table1[Total in "Castle" scene]))*100,1)</f>
        <v>1.9</v>
      </c>
      <c r="R141" s="105">
        <f>COUNTIF(Table20[Spawner],Table1[[#This Row],[Spawner Prefab]])</f>
        <v>9</v>
      </c>
      <c r="S141" s="97">
        <f>ROUND((Table1[[#This Row],[Total in "Dark" scene]]/SUM(Table1[Total in "Dark" scene]))*100,1)</f>
        <v>0.8</v>
      </c>
      <c r="T141" s="111">
        <f>Table1[[#This Row],[Total in "Village" scene]]+Table1[[#This Row],[Total in "Castle" scene]]+Table1[[#This Row],[Total in "Dark" scene]]</f>
        <v>112</v>
      </c>
      <c r="U141" s="99">
        <f>ROUND((Table1[[#This Row],[Total in the game]]/SUM(Table1[Total in the game]))*100,1)</f>
        <v>2</v>
      </c>
      <c r="V141" s="154" t="str">
        <f>Table1[[#This Row],[Content Sku]]</f>
        <v>SpiderRed</v>
      </c>
      <c r="W141" s="158" t="s">
        <v>307</v>
      </c>
      <c r="X141" s="115" t="s">
        <v>328</v>
      </c>
      <c r="Y141" s="119" t="s">
        <v>328</v>
      </c>
      <c r="Z141" s="119" t="s">
        <v>328</v>
      </c>
    </row>
    <row r="142" spans="4:26" x14ac:dyDescent="0.25">
      <c r="D142" s="78" t="s">
        <v>313</v>
      </c>
      <c r="E142" s="78" t="s">
        <v>76</v>
      </c>
      <c r="F142" s="78" t="s">
        <v>314</v>
      </c>
      <c r="G142" s="103">
        <v>150</v>
      </c>
      <c r="H142" s="103">
        <v>150</v>
      </c>
      <c r="I142" s="108">
        <v>4</v>
      </c>
      <c r="J142" s="93">
        <v>25</v>
      </c>
      <c r="K142" s="93">
        <v>0</v>
      </c>
      <c r="L142" s="93">
        <v>0</v>
      </c>
      <c r="M142" s="93" t="s">
        <v>8</v>
      </c>
      <c r="N142" s="104">
        <f>COUNTIF(Table7[Spawner],Table1[[#This Row],[Spawner Prefab]])</f>
        <v>254</v>
      </c>
      <c r="O142" s="96">
        <f>ROUND((Table1[[#This Row],[Total in "Village" scene]]/SUM(Table1[Total in "Village" scene]))*100,1)</f>
        <v>10.3</v>
      </c>
      <c r="P142" s="110">
        <f>COUNTIF(Table15[Spawner],Table1[[#This Row],[Spawner Prefab]])</f>
        <v>179</v>
      </c>
      <c r="Q142" s="100">
        <f>ROUND((Table1[[#This Row],[Total in "Castle" scene]]/SUM(Table1[Total in "Castle" scene]))*100,1)</f>
        <v>9</v>
      </c>
      <c r="R142" s="105">
        <f>COUNTIF(Table20[Spawner],Table1[[#This Row],[Spawner Prefab]])</f>
        <v>27</v>
      </c>
      <c r="S142" s="97">
        <f>ROUND((Table1[[#This Row],[Total in "Dark" scene]]/SUM(Table1[Total in "Dark" scene]))*100,1)</f>
        <v>2.5</v>
      </c>
      <c r="T142" s="111">
        <f>Table1[[#This Row],[Total in "Village" scene]]+Table1[[#This Row],[Total in "Castle" scene]]+Table1[[#This Row],[Total in "Dark" scene]]</f>
        <v>460</v>
      </c>
      <c r="U142" s="99">
        <f>ROUND((Table1[[#This Row],[Total in the game]]/SUM(Table1[Total in the game]))*100,1)</f>
        <v>8.3000000000000007</v>
      </c>
      <c r="V142" s="154" t="str">
        <f>Table1[[#This Row],[Content Sku]]</f>
        <v>SpiderSmall</v>
      </c>
      <c r="W142" s="159" t="s">
        <v>310</v>
      </c>
      <c r="X142" s="146" t="s">
        <v>328</v>
      </c>
      <c r="Y142" s="147" t="s">
        <v>328</v>
      </c>
      <c r="Z142" s="147" t="s">
        <v>328</v>
      </c>
    </row>
    <row r="143" spans="4:26" x14ac:dyDescent="0.25">
      <c r="D143" s="78" t="s">
        <v>315</v>
      </c>
      <c r="E143" s="78" t="s">
        <v>76</v>
      </c>
      <c r="F143" s="78" t="s">
        <v>316</v>
      </c>
      <c r="G143" s="103">
        <v>150</v>
      </c>
      <c r="H143" s="103">
        <v>150</v>
      </c>
      <c r="I143" s="108">
        <v>4</v>
      </c>
      <c r="J143" s="93">
        <v>25</v>
      </c>
      <c r="K143" s="93">
        <v>0</v>
      </c>
      <c r="L143" s="93">
        <v>0</v>
      </c>
      <c r="M143" s="93" t="s">
        <v>8</v>
      </c>
      <c r="N143" s="104">
        <f>COUNTIF(Table7[Spawner],Table1[[#This Row],[Spawner Prefab]])</f>
        <v>39</v>
      </c>
      <c r="O143" s="96">
        <f>ROUND((Table1[[#This Row],[Total in "Village" scene]]/SUM(Table1[Total in "Village" scene]))*100,1)</f>
        <v>1.6</v>
      </c>
      <c r="P143" s="110">
        <f>COUNTIF(Table15[Spawner],Table1[[#This Row],[Spawner Prefab]])</f>
        <v>68</v>
      </c>
      <c r="Q143" s="100">
        <f>ROUND((Table1[[#This Row],[Total in "Castle" scene]]/SUM(Table1[Total in "Castle" scene]))*100,1)</f>
        <v>3.4</v>
      </c>
      <c r="R143" s="105">
        <f>COUNTIF(Table20[Spawner],Table1[[#This Row],[Spawner Prefab]])</f>
        <v>5</v>
      </c>
      <c r="S143" s="97">
        <f>ROUND((Table1[[#This Row],[Total in "Dark" scene]]/SUM(Table1[Total in "Dark" scene]))*100,1)</f>
        <v>0.5</v>
      </c>
      <c r="T143" s="111">
        <f>Table1[[#This Row],[Total in "Village" scene]]+Table1[[#This Row],[Total in "Castle" scene]]+Table1[[#This Row],[Total in "Dark" scene]]</f>
        <v>112</v>
      </c>
      <c r="U143" s="99">
        <f>ROUND((Table1[[#This Row],[Total in the game]]/SUM(Table1[Total in the game]))*100,1)</f>
        <v>2</v>
      </c>
      <c r="V143" s="154" t="str">
        <f>Table1[[#This Row],[Content Sku]]</f>
        <v>SpiderSmall</v>
      </c>
      <c r="W143" s="158" t="s">
        <v>312</v>
      </c>
      <c r="X143" s="115" t="s">
        <v>328</v>
      </c>
      <c r="Y143" s="119" t="s">
        <v>328</v>
      </c>
      <c r="Z143" s="119" t="s">
        <v>328</v>
      </c>
    </row>
    <row r="144" spans="4:26" x14ac:dyDescent="0.25">
      <c r="D144" s="78" t="s">
        <v>318</v>
      </c>
      <c r="E144" s="78" t="s">
        <v>116</v>
      </c>
      <c r="F144" s="78" t="s">
        <v>317</v>
      </c>
      <c r="G144" s="103">
        <v>180</v>
      </c>
      <c r="H144" s="103">
        <v>180</v>
      </c>
      <c r="I144" s="108">
        <v>3</v>
      </c>
      <c r="J144" s="93">
        <v>25</v>
      </c>
      <c r="K144" s="93">
        <v>0</v>
      </c>
      <c r="L144" s="93">
        <v>0</v>
      </c>
      <c r="M144" s="93" t="s">
        <v>8</v>
      </c>
      <c r="N144" s="104">
        <f>COUNTIF(Table7[Spawner],Table1[[#This Row],[Spawner Prefab]])</f>
        <v>46</v>
      </c>
      <c r="O144" s="96">
        <f>ROUND((Table1[[#This Row],[Total in "Village" scene]]/SUM(Table1[Total in "Village" scene]))*100,1)</f>
        <v>1.9</v>
      </c>
      <c r="P144" s="110">
        <f>COUNTIF(Table15[Spawner],Table1[[#This Row],[Spawner Prefab]])</f>
        <v>8</v>
      </c>
      <c r="Q144" s="100">
        <f>ROUND((Table1[[#This Row],[Total in "Castle" scene]]/SUM(Table1[Total in "Castle" scene]))*100,1)</f>
        <v>0.4</v>
      </c>
      <c r="R144" s="105">
        <f>COUNTIF(Table20[Spawner],Table1[[#This Row],[Spawner Prefab]])</f>
        <v>0</v>
      </c>
      <c r="S144" s="97">
        <f>ROUND((Table1[[#This Row],[Total in "Dark" scene]]/SUM(Table1[Total in "Dark" scene]))*100,1)</f>
        <v>0</v>
      </c>
      <c r="T144" s="111">
        <f>Table1[[#This Row],[Total in "Village" scene]]+Table1[[#This Row],[Total in "Castle" scene]]+Table1[[#This Row],[Total in "Dark" scene]]</f>
        <v>54</v>
      </c>
      <c r="U144" s="99">
        <f>ROUND((Table1[[#This Row],[Total in the game]]/SUM(Table1[Total in the game]))*100,1)</f>
        <v>1</v>
      </c>
      <c r="V144" s="154" t="str">
        <f>Table1[[#This Row],[Content Sku]]</f>
        <v>Starling_Flock</v>
      </c>
      <c r="W144" s="159" t="s">
        <v>314</v>
      </c>
      <c r="X144" s="146" t="s">
        <v>327</v>
      </c>
      <c r="Y144" s="147" t="s">
        <v>327</v>
      </c>
      <c r="Z144" s="147" t="s">
        <v>327</v>
      </c>
    </row>
    <row r="145" spans="4:26" x14ac:dyDescent="0.25">
      <c r="D145" s="78" t="s">
        <v>482</v>
      </c>
      <c r="E145" s="78" t="s">
        <v>520</v>
      </c>
      <c r="F145" s="78" t="s">
        <v>483</v>
      </c>
      <c r="G145" s="103">
        <v>180</v>
      </c>
      <c r="H145" s="103">
        <v>180</v>
      </c>
      <c r="I145" s="108">
        <v>100</v>
      </c>
      <c r="J145" s="93">
        <v>95</v>
      </c>
      <c r="K145" s="93">
        <v>3</v>
      </c>
      <c r="L145" s="93">
        <v>3</v>
      </c>
      <c r="M145" s="93">
        <v>25</v>
      </c>
      <c r="N145" s="104">
        <f>COUNTIF(Table7[Spawner],Table1[[#This Row],[Spawner Prefab]])</f>
        <v>0</v>
      </c>
      <c r="O145" s="96">
        <f>ROUND((Table1[[#This Row],[Total in "Village" scene]]/SUM(Table1[Total in "Village" scene]))*100,1)</f>
        <v>0</v>
      </c>
      <c r="P145" s="110">
        <f>COUNTIF(Table15[Spawner],Table1[[#This Row],[Spawner Prefab]])</f>
        <v>0</v>
      </c>
      <c r="Q145" s="100">
        <f>ROUND((Table1[[#This Row],[Total in "Castle" scene]]/SUM(Table1[Total in "Castle" scene]))*100,1)</f>
        <v>0</v>
      </c>
      <c r="R145" s="105">
        <f>COUNTIF(Table20[Spawner],Table1[[#This Row],[Spawner Prefab]])</f>
        <v>7</v>
      </c>
      <c r="S145" s="97">
        <f>ROUND((Table1[[#This Row],[Total in "Dark" scene]]/SUM(Table1[Total in "Dark" scene]))*100,1)</f>
        <v>0.7</v>
      </c>
      <c r="T145" s="111">
        <f>Table1[[#This Row],[Total in "Village" scene]]+Table1[[#This Row],[Total in "Castle" scene]]+Table1[[#This Row],[Total in "Dark" scene]]</f>
        <v>7</v>
      </c>
      <c r="U145" s="99">
        <f>ROUND((Table1[[#This Row],[Total in the game]]/SUM(Table1[Total in the game]))*100,1)</f>
        <v>0.1</v>
      </c>
      <c r="V145" s="154" t="str">
        <f>Table1[[#This Row],[Content Sku]]</f>
        <v>StingrayLarge</v>
      </c>
      <c r="W145" s="158" t="s">
        <v>316</v>
      </c>
      <c r="X145" s="115" t="s">
        <v>327</v>
      </c>
      <c r="Y145" s="119" t="s">
        <v>327</v>
      </c>
      <c r="Z145" s="119" t="s">
        <v>327</v>
      </c>
    </row>
    <row r="146" spans="4:26" x14ac:dyDescent="0.25">
      <c r="D146" s="78" t="s">
        <v>484</v>
      </c>
      <c r="E146" s="78" t="s">
        <v>521</v>
      </c>
      <c r="F146" s="78" t="s">
        <v>485</v>
      </c>
      <c r="G146" s="103">
        <v>120</v>
      </c>
      <c r="H146" s="103">
        <v>120</v>
      </c>
      <c r="I146" s="108">
        <v>35</v>
      </c>
      <c r="J146" s="93">
        <v>35</v>
      </c>
      <c r="K146" s="93">
        <v>2</v>
      </c>
      <c r="L146" s="93">
        <v>2</v>
      </c>
      <c r="M146" s="93" t="s">
        <v>8</v>
      </c>
      <c r="N146" s="104">
        <f>COUNTIF(Table7[Spawner],Table1[[#This Row],[Spawner Prefab]])</f>
        <v>0</v>
      </c>
      <c r="O146" s="96">
        <f>ROUND((Table1[[#This Row],[Total in "Village" scene]]/SUM(Table1[Total in "Village" scene]))*100,1)</f>
        <v>0</v>
      </c>
      <c r="P146" s="110">
        <f>COUNTIF(Table15[Spawner],Table1[[#This Row],[Spawner Prefab]])</f>
        <v>0</v>
      </c>
      <c r="Q146" s="100">
        <f>ROUND((Table1[[#This Row],[Total in "Castle" scene]]/SUM(Table1[Total in "Castle" scene]))*100,1)</f>
        <v>0</v>
      </c>
      <c r="R146" s="105">
        <f>COUNTIF(Table20[Spawner],Table1[[#This Row],[Spawner Prefab]])</f>
        <v>35</v>
      </c>
      <c r="S146" s="97">
        <f>ROUND((Table1[[#This Row],[Total in "Dark" scene]]/SUM(Table1[Total in "Dark" scene]))*100,1)</f>
        <v>3.3</v>
      </c>
      <c r="T146" s="111">
        <f>Table1[[#This Row],[Total in "Village" scene]]+Table1[[#This Row],[Total in "Castle" scene]]+Table1[[#This Row],[Total in "Dark" scene]]</f>
        <v>35</v>
      </c>
      <c r="U146" s="99">
        <f>ROUND((Table1[[#This Row],[Total in the game]]/SUM(Table1[Total in the game]))*100,1)</f>
        <v>0.6</v>
      </c>
      <c r="V146" s="154" t="str">
        <f>Table1[[#This Row],[Content Sku]]</f>
        <v>StingraySmall</v>
      </c>
      <c r="W146" s="161" t="s">
        <v>2749</v>
      </c>
      <c r="X146" s="115" t="s">
        <v>327</v>
      </c>
      <c r="Y146" s="119" t="s">
        <v>327</v>
      </c>
      <c r="Z146" s="119" t="s">
        <v>327</v>
      </c>
    </row>
    <row r="147" spans="4:26" x14ac:dyDescent="0.25">
      <c r="D147" s="78" t="s">
        <v>336</v>
      </c>
      <c r="E147" s="78" t="s">
        <v>335</v>
      </c>
      <c r="F147" s="78" t="s">
        <v>337</v>
      </c>
      <c r="G147" s="103">
        <v>420</v>
      </c>
      <c r="H147" s="103">
        <v>420</v>
      </c>
      <c r="I147" s="108">
        <v>300</v>
      </c>
      <c r="J147" s="93">
        <v>83</v>
      </c>
      <c r="K147" s="93">
        <v>1</v>
      </c>
      <c r="L147" s="93">
        <v>1</v>
      </c>
      <c r="M147" s="93">
        <v>60</v>
      </c>
      <c r="N147" s="104">
        <f>COUNTIF(Table7[Spawner],Table1[[#This Row],[Spawner Prefab]])</f>
        <v>15</v>
      </c>
      <c r="O147" s="96">
        <f>ROUND((Table1[[#This Row],[Total in "Village" scene]]/SUM(Table1[Total in "Village" scene]))*100,1)</f>
        <v>0.6</v>
      </c>
      <c r="P147" s="110">
        <f>COUNTIF(Table15[Spawner],Table1[[#This Row],[Spawner Prefab]])</f>
        <v>0</v>
      </c>
      <c r="Q147" s="100">
        <f>ROUND((Table1[[#This Row],[Total in "Castle" scene]]/SUM(Table1[Total in "Castle" scene]))*100,1)</f>
        <v>0</v>
      </c>
      <c r="R147" s="105">
        <f>COUNTIF(Table20[Spawner],Table1[[#This Row],[Spawner Prefab]])</f>
        <v>3</v>
      </c>
      <c r="S147" s="97">
        <f>ROUND((Table1[[#This Row],[Total in "Dark" scene]]/SUM(Table1[Total in "Dark" scene]))*100,1)</f>
        <v>0.3</v>
      </c>
      <c r="T147" s="111">
        <f>Table1[[#This Row],[Total in "Village" scene]]+Table1[[#This Row],[Total in "Castle" scene]]+Table1[[#This Row],[Total in "Dark" scene]]</f>
        <v>18</v>
      </c>
      <c r="U147" s="99">
        <f>ROUND((Table1[[#This Row],[Total in the game]]/SUM(Table1[Total in the game]))*100,1)</f>
        <v>0.3</v>
      </c>
      <c r="V147" s="154" t="str">
        <f>Table1[[#This Row],[Content Sku]]</f>
        <v>Troll</v>
      </c>
      <c r="W147" s="159" t="s">
        <v>317</v>
      </c>
      <c r="X147" s="146" t="s">
        <v>327</v>
      </c>
      <c r="Y147" s="147" t="s">
        <v>327</v>
      </c>
      <c r="Z147" s="147" t="s">
        <v>327</v>
      </c>
    </row>
    <row r="148" spans="4:26" x14ac:dyDescent="0.25">
      <c r="D148" s="78" t="s">
        <v>8017</v>
      </c>
      <c r="E148" s="78" t="s">
        <v>77</v>
      </c>
      <c r="F148" s="78" t="s">
        <v>8019</v>
      </c>
      <c r="G148" s="103">
        <v>150</v>
      </c>
      <c r="H148" s="103">
        <v>150</v>
      </c>
      <c r="I148" s="108">
        <v>15</v>
      </c>
      <c r="J148" s="93">
        <v>50</v>
      </c>
      <c r="K148" s="93">
        <v>0</v>
      </c>
      <c r="L148" s="93">
        <v>0</v>
      </c>
      <c r="M148" s="93" t="s">
        <v>8</v>
      </c>
      <c r="N148" s="104">
        <f>COUNTIF(Table7[Spawner],Table1[[#This Row],[Spawner Prefab]])</f>
        <v>0</v>
      </c>
      <c r="O148" s="96">
        <f>ROUND((Table1[[#This Row],[Total in "Village" scene]]/SUM(Table1[Total in "Village" scene]))*100,1)</f>
        <v>0</v>
      </c>
      <c r="P148" s="110">
        <f>COUNTIF(Table15[Spawner],Table1[[#This Row],[Spawner Prefab]])</f>
        <v>10</v>
      </c>
      <c r="Q148" s="100">
        <f>ROUND((Table1[[#This Row],[Total in "Castle" scene]]/SUM(Table1[Total in "Castle" scene]))*100,1)</f>
        <v>0.5</v>
      </c>
      <c r="R148" s="105">
        <f>COUNTIF(Table20[Spawner],Table1[[#This Row],[Spawner Prefab]])</f>
        <v>0</v>
      </c>
      <c r="S148" s="97">
        <f>ROUND((Table1[[#This Row],[Total in "Dark" scene]]/SUM(Table1[Total in "Dark" scene]))*100,1)</f>
        <v>0</v>
      </c>
      <c r="T148" s="111">
        <f>Table1[[#This Row],[Total in "Village" scene]]+Table1[[#This Row],[Total in "Castle" scene]]+Table1[[#This Row],[Total in "Dark" scene]]</f>
        <v>10</v>
      </c>
      <c r="U148" s="99">
        <f>ROUND((Table1[[#This Row],[Total in the game]]/SUM(Table1[Total in the game]))*100,1)</f>
        <v>0.2</v>
      </c>
      <c r="V148" s="154" t="s">
        <v>3849</v>
      </c>
      <c r="W148" s="158" t="s">
        <v>483</v>
      </c>
      <c r="X148" s="115" t="s">
        <v>328</v>
      </c>
      <c r="Y148" s="119" t="s">
        <v>328</v>
      </c>
      <c r="Z148" s="119" t="s">
        <v>328</v>
      </c>
    </row>
    <row r="149" spans="4:26" x14ac:dyDescent="0.25">
      <c r="D149" s="78" t="s">
        <v>585</v>
      </c>
      <c r="E149" s="78" t="s">
        <v>3848</v>
      </c>
      <c r="F149" s="78" t="s">
        <v>586</v>
      </c>
      <c r="G149" s="103">
        <v>120</v>
      </c>
      <c r="H149" s="103">
        <v>120</v>
      </c>
      <c r="I149" s="108">
        <v>40</v>
      </c>
      <c r="J149" s="93">
        <v>48</v>
      </c>
      <c r="K149" s="93">
        <v>3</v>
      </c>
      <c r="L149" s="93">
        <v>3</v>
      </c>
      <c r="M149" s="93" t="s">
        <v>8</v>
      </c>
      <c r="N149" s="104">
        <f>COUNTIF(Table7[Spawner],Table1[[#This Row],[Spawner Prefab]])</f>
        <v>0</v>
      </c>
      <c r="O149" s="96">
        <f>ROUND((Table1[[#This Row],[Total in "Village" scene]]/SUM(Table1[Total in "Village" scene]))*100,1)</f>
        <v>0</v>
      </c>
      <c r="P149" s="110">
        <f>COUNTIF(Table15[Spawner],Table1[[#This Row],[Spawner Prefab]])</f>
        <v>0</v>
      </c>
      <c r="Q149" s="100">
        <f>ROUND((Table1[[#This Row],[Total in "Castle" scene]]/SUM(Table1[Total in "Castle" scene]))*100,1)</f>
        <v>0</v>
      </c>
      <c r="R149" s="105">
        <f>COUNTIF(Table20[Spawner],Table1[[#This Row],[Spawner Prefab]])</f>
        <v>23</v>
      </c>
      <c r="S149" s="97">
        <f>ROUND((Table1[[#This Row],[Total in "Dark" scene]]/SUM(Table1[Total in "Dark" scene]))*100,1)</f>
        <v>2.2000000000000002</v>
      </c>
      <c r="T149" s="111">
        <f>Table1[[#This Row],[Total in "Village" scene]]+Table1[[#This Row],[Total in "Castle" scene]]+Table1[[#This Row],[Total in "Dark" scene]]</f>
        <v>23</v>
      </c>
      <c r="U149" s="99">
        <f>ROUND((Table1[[#This Row],[Total in the game]]/SUM(Table1[Total in the game]))*100,1)</f>
        <v>0.4</v>
      </c>
      <c r="V149" s="154" t="str">
        <f>Table1[[#This Row],[Content Sku]]</f>
        <v>Unka</v>
      </c>
      <c r="W149" s="159" t="s">
        <v>485</v>
      </c>
      <c r="X149" s="146" t="s">
        <v>327</v>
      </c>
      <c r="Y149" s="147" t="s">
        <v>327</v>
      </c>
      <c r="Z149" s="147" t="s">
        <v>327</v>
      </c>
    </row>
    <row r="150" spans="4:26" x14ac:dyDescent="0.25">
      <c r="D150" s="78" t="s">
        <v>338</v>
      </c>
      <c r="E150" s="78" t="s">
        <v>77</v>
      </c>
      <c r="F150" s="78" t="s">
        <v>339</v>
      </c>
      <c r="G150" s="103">
        <v>220</v>
      </c>
      <c r="H150" s="103">
        <v>220</v>
      </c>
      <c r="I150" s="108">
        <v>15</v>
      </c>
      <c r="J150" s="93">
        <v>50</v>
      </c>
      <c r="K150" s="93">
        <v>0</v>
      </c>
      <c r="L150" s="93">
        <v>0</v>
      </c>
      <c r="M150" s="93" t="s">
        <v>8</v>
      </c>
      <c r="N150" s="104">
        <f>COUNTIF(Table7[Spawner],Table1[[#This Row],[Spawner Prefab]])</f>
        <v>34</v>
      </c>
      <c r="O150" s="96">
        <f>ROUND((Table1[[#This Row],[Total in "Village" scene]]/SUM(Table1[Total in "Village" scene]))*100,1)</f>
        <v>1.4</v>
      </c>
      <c r="P150" s="110">
        <f>COUNTIF(Table15[Spawner],Table1[[#This Row],[Spawner Prefab]])</f>
        <v>5</v>
      </c>
      <c r="Q150" s="100">
        <f>ROUND((Table1[[#This Row],[Total in "Castle" scene]]/SUM(Table1[Total in "Castle" scene]))*100,1)</f>
        <v>0.3</v>
      </c>
      <c r="R150" s="105">
        <f>COUNTIF(Table20[Spawner],Table1[[#This Row],[Spawner Prefab]])</f>
        <v>0</v>
      </c>
      <c r="S150" s="97">
        <f>ROUND((Table1[[#This Row],[Total in "Dark" scene]]/SUM(Table1[Total in "Dark" scene]))*100,1)</f>
        <v>0</v>
      </c>
      <c r="T150" s="111">
        <f>Table1[[#This Row],[Total in "Village" scene]]+Table1[[#This Row],[Total in "Castle" scene]]+Table1[[#This Row],[Total in "Dark" scene]]</f>
        <v>39</v>
      </c>
      <c r="U150" s="99">
        <f>ROUND((Table1[[#This Row],[Total in the game]]/SUM(Table1[Total in the game]))*100,1)</f>
        <v>0.7</v>
      </c>
      <c r="V150" s="154" t="s">
        <v>3849</v>
      </c>
      <c r="W150" s="158" t="s">
        <v>337</v>
      </c>
      <c r="X150" s="115" t="s">
        <v>328</v>
      </c>
      <c r="Y150" s="119" t="s">
        <v>328</v>
      </c>
      <c r="Z150" s="119" t="s">
        <v>328</v>
      </c>
    </row>
    <row r="151" spans="4:26" x14ac:dyDescent="0.25">
      <c r="D151" s="78" t="s">
        <v>340</v>
      </c>
      <c r="E151" s="78" t="s">
        <v>77</v>
      </c>
      <c r="F151" s="78" t="s">
        <v>341</v>
      </c>
      <c r="G151" s="103">
        <v>220</v>
      </c>
      <c r="H151" s="103">
        <v>220</v>
      </c>
      <c r="I151" s="108">
        <v>15</v>
      </c>
      <c r="J151" s="93">
        <v>50</v>
      </c>
      <c r="K151" s="93">
        <v>0</v>
      </c>
      <c r="L151" s="93">
        <v>0</v>
      </c>
      <c r="M151" s="93" t="s">
        <v>8</v>
      </c>
      <c r="N151" s="104">
        <f>COUNTIF(Table7[Spawner],Table1[[#This Row],[Spawner Prefab]])</f>
        <v>15</v>
      </c>
      <c r="O151" s="96">
        <f>ROUND((Table1[[#This Row],[Total in "Village" scene]]/SUM(Table1[Total in "Village" scene]))*100,1)</f>
        <v>0.6</v>
      </c>
      <c r="P151" s="110">
        <f>COUNTIF(Table15[Spawner],Table1[[#This Row],[Spawner Prefab]])</f>
        <v>3</v>
      </c>
      <c r="Q151" s="100">
        <f>ROUND((Table1[[#This Row],[Total in "Castle" scene]]/SUM(Table1[Total in "Castle" scene]))*100,1)</f>
        <v>0.2</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18</v>
      </c>
      <c r="U151" s="99">
        <f>ROUND((Table1[[#This Row],[Total in the game]]/SUM(Table1[Total in the game]))*100,1)</f>
        <v>0.3</v>
      </c>
      <c r="V151" s="154" t="s">
        <v>3849</v>
      </c>
      <c r="W151" s="162" t="s">
        <v>586</v>
      </c>
      <c r="X151" s="116" t="s">
        <v>327</v>
      </c>
      <c r="Y151" s="120" t="s">
        <v>327</v>
      </c>
      <c r="Z151" s="120" t="s">
        <v>327</v>
      </c>
    </row>
    <row r="152" spans="4:26" x14ac:dyDescent="0.25">
      <c r="D152" s="78" t="s">
        <v>342</v>
      </c>
      <c r="E152" s="78" t="s">
        <v>78</v>
      </c>
      <c r="F152" s="78" t="s">
        <v>343</v>
      </c>
      <c r="G152" s="103">
        <v>220</v>
      </c>
      <c r="H152" s="103">
        <v>220</v>
      </c>
      <c r="I152" s="108">
        <v>15</v>
      </c>
      <c r="J152" s="93">
        <v>50</v>
      </c>
      <c r="K152" s="93">
        <v>0</v>
      </c>
      <c r="L152" s="93">
        <v>0</v>
      </c>
      <c r="M152" s="93" t="s">
        <v>8</v>
      </c>
      <c r="N152" s="104">
        <f>COUNTIF(Table7[Spawner],Table1[[#This Row],[Spawner Prefab]])</f>
        <v>3</v>
      </c>
      <c r="O152" s="96">
        <f>ROUND((Table1[[#This Row],[Total in "Village" scene]]/SUM(Table1[Total in "Village" scene]))*100,1)</f>
        <v>0.1</v>
      </c>
      <c r="P152" s="110">
        <f>COUNTIF(Table15[Spawner],Table1[[#This Row],[Spawner Prefab]])</f>
        <v>0</v>
      </c>
      <c r="Q152" s="100">
        <f>ROUND((Table1[[#This Row],[Total in "Castle" scene]]/SUM(Table1[Total in "Castle" scene]))*100,1)</f>
        <v>0</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3</v>
      </c>
      <c r="U152" s="99">
        <f>ROUND((Table1[[#This Row],[Total in the game]]/SUM(Table1[Total in the game]))*100,1)</f>
        <v>0.1</v>
      </c>
      <c r="V152" s="154" t="s">
        <v>3849</v>
      </c>
      <c r="W152" s="162" t="s">
        <v>2758</v>
      </c>
      <c r="X152" s="116" t="s">
        <v>327</v>
      </c>
      <c r="Y152" s="120" t="s">
        <v>327</v>
      </c>
      <c r="Z152" s="120" t="s">
        <v>327</v>
      </c>
    </row>
    <row r="153" spans="4:26" x14ac:dyDescent="0.25">
      <c r="D153" s="78" t="s">
        <v>344</v>
      </c>
      <c r="E153" s="78" t="s">
        <v>78</v>
      </c>
      <c r="F153" s="78" t="s">
        <v>345</v>
      </c>
      <c r="G153" s="103">
        <v>220</v>
      </c>
      <c r="H153" s="103">
        <v>220</v>
      </c>
      <c r="I153" s="108">
        <v>15</v>
      </c>
      <c r="J153" s="93">
        <v>50</v>
      </c>
      <c r="K153" s="93">
        <v>0</v>
      </c>
      <c r="L153" s="93">
        <v>0</v>
      </c>
      <c r="M153" s="93" t="s">
        <v>8</v>
      </c>
      <c r="N153" s="104">
        <f>COUNTIF(Table7[Spawner],Table1[[#This Row],[Spawner Prefab]])</f>
        <v>2</v>
      </c>
      <c r="O153" s="96">
        <f>ROUND((Table1[[#This Row],[Total in "Village" scene]]/SUM(Table1[Total in "Village" scene]))*100,1)</f>
        <v>0.1</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2</v>
      </c>
      <c r="U153" s="99">
        <f>ROUND((Table1[[#This Row],[Total in the game]]/SUM(Table1[Total in the game]))*100,1)</f>
        <v>0</v>
      </c>
      <c r="V153" s="154" t="s">
        <v>3849</v>
      </c>
      <c r="W153" s="162" t="s">
        <v>2759</v>
      </c>
      <c r="X153" s="116" t="s">
        <v>327</v>
      </c>
      <c r="Y153" s="120" t="s">
        <v>327</v>
      </c>
      <c r="Z153" s="120" t="s">
        <v>327</v>
      </c>
    </row>
    <row r="154" spans="4:26" x14ac:dyDescent="0.25">
      <c r="D154" s="78" t="s">
        <v>421</v>
      </c>
      <c r="E154" s="78" t="s">
        <v>72</v>
      </c>
      <c r="F154" s="78" t="s">
        <v>422</v>
      </c>
      <c r="G154" s="103">
        <v>220</v>
      </c>
      <c r="H154" s="103">
        <v>220</v>
      </c>
      <c r="I154" s="108">
        <v>15</v>
      </c>
      <c r="J154" s="93">
        <v>50</v>
      </c>
      <c r="K154" s="93">
        <v>0</v>
      </c>
      <c r="L154" s="93">
        <v>0</v>
      </c>
      <c r="M154" s="93" t="s">
        <v>8</v>
      </c>
      <c r="N154" s="104">
        <f>COUNTIF(Table7[Spawner],Table1[[#This Row],[Spawner Prefab]])</f>
        <v>0</v>
      </c>
      <c r="O154" s="96">
        <f>ROUND((Table1[[#This Row],[Total in "Village" scene]]/SUM(Table1[Total in "Village" scene]))*100,1)</f>
        <v>0</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0</v>
      </c>
      <c r="U154" s="99">
        <f>ROUND((Table1[[#This Row],[Total in the game]]/SUM(Table1[Total in the game]))*100,1)</f>
        <v>0</v>
      </c>
      <c r="V154" s="154" t="str">
        <f>Table1[[#This Row],[Content Sku]]</f>
        <v>RichMan</v>
      </c>
      <c r="W154" s="162" t="s">
        <v>339</v>
      </c>
      <c r="X154" s="116" t="s">
        <v>327</v>
      </c>
      <c r="Y154" s="120" t="s">
        <v>327</v>
      </c>
      <c r="Z154" s="120" t="s">
        <v>327</v>
      </c>
    </row>
    <row r="155" spans="4:26" x14ac:dyDescent="0.25">
      <c r="D155" s="78" t="s">
        <v>423</v>
      </c>
      <c r="E155" s="78" t="s">
        <v>72</v>
      </c>
      <c r="F155" s="78" t="s">
        <v>444</v>
      </c>
      <c r="G155" s="103">
        <v>220</v>
      </c>
      <c r="H155" s="103">
        <v>220</v>
      </c>
      <c r="I155" s="108">
        <v>15</v>
      </c>
      <c r="J155" s="93">
        <v>50</v>
      </c>
      <c r="K155" s="93">
        <v>0</v>
      </c>
      <c r="L155" s="93">
        <v>0</v>
      </c>
      <c r="M155" s="93" t="s">
        <v>8</v>
      </c>
      <c r="N155" s="104">
        <f>COUNTIF(Table7[Spawner],Table1[[#This Row],[Spawner Prefab]])</f>
        <v>3</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3</v>
      </c>
      <c r="U155" s="99">
        <f>ROUND((Table1[[#This Row],[Total in the game]]/SUM(Table1[Total in the game]))*100,1)</f>
        <v>0.1</v>
      </c>
      <c r="V155" s="154" t="str">
        <f>Table1[[#This Row],[Content Sku]]</f>
        <v>RichMan</v>
      </c>
      <c r="W155" s="158" t="s">
        <v>341</v>
      </c>
      <c r="X155" s="116" t="s">
        <v>327</v>
      </c>
      <c r="Y155" s="120" t="s">
        <v>327</v>
      </c>
      <c r="Z155" s="120" t="s">
        <v>327</v>
      </c>
    </row>
    <row r="156" spans="4:26" x14ac:dyDescent="0.25">
      <c r="D156" s="78" t="s">
        <v>2754</v>
      </c>
      <c r="E156" s="78" t="s">
        <v>77</v>
      </c>
      <c r="F156" s="78" t="s">
        <v>2755</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2</v>
      </c>
      <c r="Q156" s="100">
        <f>ROUND((Table1[[#This Row],[Total in "Castle" scene]]/SUM(Table1[Total in "Castle" scene]))*100,1)</f>
        <v>0.1</v>
      </c>
      <c r="R156" s="105">
        <f>COUNTIF(Table20[Spawner],Table1[[#This Row],[Spawner Prefab]])</f>
        <v>3</v>
      </c>
      <c r="S156" s="97">
        <f>ROUND((Table1[[#This Row],[Total in "Dark" scene]]/SUM(Table1[Total in "Dark" scene]))*100,1)</f>
        <v>0.3</v>
      </c>
      <c r="T156" s="111">
        <f>Table1[[#This Row],[Total in "Village" scene]]+Table1[[#This Row],[Total in "Castle" scene]]+Table1[[#This Row],[Total in "Dark" scene]]</f>
        <v>5</v>
      </c>
      <c r="U156" s="99">
        <f>ROUND((Table1[[#This Row],[Total in the game]]/SUM(Table1[Total in the game]))*100,1)</f>
        <v>0.1</v>
      </c>
      <c r="V156" s="154" t="s">
        <v>3849</v>
      </c>
      <c r="W156" s="162" t="s">
        <v>343</v>
      </c>
      <c r="X156" s="116" t="s">
        <v>327</v>
      </c>
      <c r="Y156" s="120" t="s">
        <v>327</v>
      </c>
      <c r="Z156" s="120" t="s">
        <v>327</v>
      </c>
    </row>
    <row r="157" spans="4:26" x14ac:dyDescent="0.25">
      <c r="D157" s="78" t="s">
        <v>2756</v>
      </c>
      <c r="E157" s="78" t="s">
        <v>77</v>
      </c>
      <c r="F157" s="78" t="s">
        <v>2757</v>
      </c>
      <c r="G157" s="103">
        <v>220</v>
      </c>
      <c r="H157" s="103">
        <v>220</v>
      </c>
      <c r="I157" s="108">
        <v>15</v>
      </c>
      <c r="J157" s="93">
        <v>50</v>
      </c>
      <c r="K157" s="93">
        <v>0</v>
      </c>
      <c r="L157" s="93">
        <v>0</v>
      </c>
      <c r="M157" s="93" t="s">
        <v>8</v>
      </c>
      <c r="N157" s="104">
        <f>COUNTIF(Table7[Spawner],Table1[[#This Row],[Spawner Prefab]])</f>
        <v>1</v>
      </c>
      <c r="O157" s="96">
        <f>ROUND((Table1[[#This Row],[Total in "Village" scene]]/SUM(Table1[Total in "Village" scene]))*100,1)</f>
        <v>0</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1</v>
      </c>
      <c r="U157" s="99">
        <f>ROUND((Table1[[#This Row],[Total in the game]]/SUM(Table1[Total in the game]))*100,1)</f>
        <v>0</v>
      </c>
      <c r="V157" s="154" t="s">
        <v>3849</v>
      </c>
      <c r="W157" s="162" t="s">
        <v>345</v>
      </c>
      <c r="X157" s="116" t="s">
        <v>327</v>
      </c>
      <c r="Y157" s="120" t="s">
        <v>327</v>
      </c>
      <c r="Z157" s="120" t="s">
        <v>327</v>
      </c>
    </row>
    <row r="158" spans="4:26" x14ac:dyDescent="0.25">
      <c r="D158" s="78" t="s">
        <v>463</v>
      </c>
      <c r="E158" s="78" t="s">
        <v>78</v>
      </c>
      <c r="F158" s="78" t="s">
        <v>464</v>
      </c>
      <c r="G158" s="103">
        <v>220</v>
      </c>
      <c r="H158" s="103">
        <v>220</v>
      </c>
      <c r="I158" s="108">
        <v>15</v>
      </c>
      <c r="J158" s="93">
        <v>50</v>
      </c>
      <c r="K158" s="93">
        <v>0</v>
      </c>
      <c r="L158" s="93">
        <v>0</v>
      </c>
      <c r="M158" s="93" t="s">
        <v>8</v>
      </c>
      <c r="N158" s="104">
        <f>COUNTIF(Table7[Spawner],Table1[[#This Row],[Spawner Prefab]])</f>
        <v>2</v>
      </c>
      <c r="O158" s="96">
        <f>ROUND((Table1[[#This Row],[Total in "Village" scene]]/SUM(Table1[Total in "Village" scene]))*100,1)</f>
        <v>0.1</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2</v>
      </c>
      <c r="U158" s="99">
        <f>ROUND((Table1[[#This Row],[Total in the game]]/SUM(Table1[Total in the game]))*100,1)</f>
        <v>0</v>
      </c>
      <c r="V158" s="154" t="s">
        <v>3849</v>
      </c>
      <c r="W158" s="162" t="s">
        <v>422</v>
      </c>
      <c r="X158" s="116" t="s">
        <v>327</v>
      </c>
      <c r="Y158" s="120" t="s">
        <v>327</v>
      </c>
      <c r="Z158" s="120" t="s">
        <v>327</v>
      </c>
    </row>
    <row r="159" spans="4:26" x14ac:dyDescent="0.25">
      <c r="D159" s="78" t="s">
        <v>465</v>
      </c>
      <c r="E159" s="78" t="s">
        <v>78</v>
      </c>
      <c r="F159" s="78" t="s">
        <v>486</v>
      </c>
      <c r="G159" s="103">
        <v>220</v>
      </c>
      <c r="H159" s="103">
        <v>220</v>
      </c>
      <c r="I159" s="108">
        <v>15</v>
      </c>
      <c r="J159" s="93">
        <v>50</v>
      </c>
      <c r="K159" s="93">
        <v>0</v>
      </c>
      <c r="L159" s="93">
        <v>0</v>
      </c>
      <c r="M159" s="93" t="s">
        <v>8</v>
      </c>
      <c r="N159" s="104">
        <f>COUNTIF(Table7[Spawner],Table1[[#This Row],[Spawner Prefab]])</f>
        <v>13</v>
      </c>
      <c r="O159" s="96">
        <f>ROUND((Table1[[#This Row],[Total in "Village" scene]]/SUM(Table1[Total in "Village" scene]))*100,1)</f>
        <v>0.5</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13</v>
      </c>
      <c r="U159" s="99">
        <f>ROUND((Table1[[#This Row],[Total in the game]]/SUM(Table1[Total in the game]))*100,1)</f>
        <v>0.2</v>
      </c>
      <c r="V159" s="154" t="s">
        <v>3849</v>
      </c>
      <c r="W159" s="162" t="s">
        <v>444</v>
      </c>
      <c r="X159" s="116" t="s">
        <v>327</v>
      </c>
      <c r="Y159" s="120" t="s">
        <v>327</v>
      </c>
      <c r="Z159" s="120" t="s">
        <v>327</v>
      </c>
    </row>
    <row r="160" spans="4:26" x14ac:dyDescent="0.25">
      <c r="D160" s="78" t="s">
        <v>393</v>
      </c>
      <c r="E160" s="78" t="s">
        <v>77</v>
      </c>
      <c r="F160" s="78" t="s">
        <v>339</v>
      </c>
      <c r="G160" s="103">
        <v>120</v>
      </c>
      <c r="H160" s="103">
        <v>120</v>
      </c>
      <c r="I160" s="108">
        <v>15</v>
      </c>
      <c r="J160" s="93">
        <v>50</v>
      </c>
      <c r="K160" s="93">
        <v>0</v>
      </c>
      <c r="L160" s="93">
        <v>0</v>
      </c>
      <c r="M160" s="93" t="s">
        <v>8</v>
      </c>
      <c r="N160" s="104">
        <f>COUNTIF(Table7[Spawner],Table1[[#This Row],[Spawner Prefab]])</f>
        <v>12</v>
      </c>
      <c r="O160" s="96">
        <f>ROUND((Table1[[#This Row],[Total in "Village" scene]]/SUM(Table1[Total in "Village" scene]))*100,1)</f>
        <v>0.5</v>
      </c>
      <c r="P160" s="110">
        <f>COUNTIF(Table15[Spawner],Table1[[#This Row],[Spawner Prefab]])</f>
        <v>45</v>
      </c>
      <c r="Q160" s="100">
        <f>ROUND((Table1[[#This Row],[Total in "Castle" scene]]/SUM(Table1[Total in "Castle" scene]))*100,1)</f>
        <v>2.2999999999999998</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57</v>
      </c>
      <c r="U160" s="99">
        <f>ROUND((Table1[[#This Row],[Total in the game]]/SUM(Table1[Total in the game]))*100,1)</f>
        <v>1</v>
      </c>
      <c r="V160" s="154" t="s">
        <v>3849</v>
      </c>
      <c r="W160" s="162" t="s">
        <v>2755</v>
      </c>
      <c r="X160" s="116" t="s">
        <v>327</v>
      </c>
      <c r="Y160" s="120" t="s">
        <v>327</v>
      </c>
      <c r="Z160" s="120" t="s">
        <v>327</v>
      </c>
    </row>
    <row r="161" spans="4:26" x14ac:dyDescent="0.25">
      <c r="D161" s="78" t="s">
        <v>548</v>
      </c>
      <c r="E161" s="78" t="s">
        <v>555</v>
      </c>
      <c r="F161" s="78" t="s">
        <v>549</v>
      </c>
      <c r="G161" s="103">
        <v>120</v>
      </c>
      <c r="H161" s="103">
        <v>120</v>
      </c>
      <c r="I161" s="108">
        <v>15</v>
      </c>
      <c r="J161" s="93">
        <v>50</v>
      </c>
      <c r="K161" s="93">
        <v>0</v>
      </c>
      <c r="L161" s="93">
        <v>0</v>
      </c>
      <c r="M161" s="93" t="s">
        <v>8</v>
      </c>
      <c r="N161" s="104">
        <f>COUNTIF(Table7[Spawner],Table1[[#This Row],[Spawner Prefab]])</f>
        <v>45</v>
      </c>
      <c r="O161" s="96">
        <f>ROUND((Table1[[#This Row],[Total in "Village" scene]]/SUM(Table1[Total in "Village" scene]))*100,1)</f>
        <v>1.8</v>
      </c>
      <c r="P161" s="110">
        <f>COUNTIF(Table15[Spawner],Table1[[#This Row],[Spawner Prefab]])</f>
        <v>45</v>
      </c>
      <c r="Q161" s="100">
        <f>ROUND((Table1[[#This Row],[Total in "Castle" scene]]/SUM(Table1[Total in "Castle" scene]))*100,1)</f>
        <v>2.2999999999999998</v>
      </c>
      <c r="R161" s="105">
        <f>COUNTIF(Table20[Spawner],Table1[[#This Row],[Spawner Prefab]])</f>
        <v>13</v>
      </c>
      <c r="S161" s="97">
        <f>ROUND((Table1[[#This Row],[Total in "Dark" scene]]/SUM(Table1[Total in "Dark" scene]))*100,1)</f>
        <v>1.2</v>
      </c>
      <c r="T161" s="111">
        <f>Table1[[#This Row],[Total in "Village" scene]]+Table1[[#This Row],[Total in "Castle" scene]]+Table1[[#This Row],[Total in "Dark" scene]]</f>
        <v>103</v>
      </c>
      <c r="U161" s="99">
        <f>ROUND((Table1[[#This Row],[Total in the game]]/SUM(Table1[Total in the game]))*100,1)</f>
        <v>1.9</v>
      </c>
      <c r="V161" s="154" t="str">
        <f>Table1[[#This Row],[Content Sku]]</f>
        <v>Vulture</v>
      </c>
      <c r="W161" s="163" t="s">
        <v>2757</v>
      </c>
      <c r="X161" s="116" t="s">
        <v>327</v>
      </c>
      <c r="Y161" s="120" t="s">
        <v>327</v>
      </c>
      <c r="Z161" s="120" t="s">
        <v>327</v>
      </c>
    </row>
    <row r="162" spans="4:26" x14ac:dyDescent="0.25">
      <c r="D162" s="78" t="s">
        <v>346</v>
      </c>
      <c r="E162" s="78" t="s">
        <v>117</v>
      </c>
      <c r="F162" s="78" t="s">
        <v>522</v>
      </c>
      <c r="G162" s="103">
        <v>300</v>
      </c>
      <c r="H162" s="103">
        <v>300</v>
      </c>
      <c r="I162" s="108">
        <v>20</v>
      </c>
      <c r="J162" s="93">
        <v>50</v>
      </c>
      <c r="K162" s="93">
        <v>0</v>
      </c>
      <c r="L162" s="93">
        <v>0</v>
      </c>
      <c r="M162" s="93">
        <v>32</v>
      </c>
      <c r="N162" s="104">
        <f>COUNTIF(Table7[Spawner],Table1[[#This Row],[Spawner Prefab]])</f>
        <v>20</v>
      </c>
      <c r="O162" s="96">
        <f>ROUND((Table1[[#This Row],[Total in "Village" scene]]/SUM(Table1[Total in "Village" scene]))*100,1)</f>
        <v>0.8</v>
      </c>
      <c r="P162" s="110">
        <f>COUNTIF(Table15[Spawner],Table1[[#This Row],[Spawner Prefab]])</f>
        <v>0</v>
      </c>
      <c r="Q162" s="100">
        <f>ROUND((Table1[[#This Row],[Total in "Castle" scene]]/SUM(Table1[Total in "Castle" scene]))*100,1)</f>
        <v>0</v>
      </c>
      <c r="R162" s="105">
        <f>COUNTIF(Table20[Spawner],Table1[[#This Row],[Spawner Prefab]])</f>
        <v>10</v>
      </c>
      <c r="S162" s="97">
        <f>ROUND((Table1[[#This Row],[Total in "Dark" scene]]/SUM(Table1[Total in "Dark" scene]))*100,1)</f>
        <v>0.9</v>
      </c>
      <c r="T162" s="111">
        <f>Table1[[#This Row],[Total in "Village" scene]]+Table1[[#This Row],[Total in "Castle" scene]]+Table1[[#This Row],[Total in "Dark" scene]]</f>
        <v>30</v>
      </c>
      <c r="U162" s="99">
        <f>ROUND((Table1[[#This Row],[Total in the game]]/SUM(Table1[Total in the game]))*100,1)</f>
        <v>0.5</v>
      </c>
      <c r="V162" s="154" t="str">
        <f>Table1[[#This Row],[Content Sku]]</f>
        <v>Witch</v>
      </c>
      <c r="W162" s="162" t="s">
        <v>464</v>
      </c>
      <c r="X162" s="116" t="s">
        <v>327</v>
      </c>
      <c r="Y162" s="120" t="s">
        <v>327</v>
      </c>
      <c r="Z162" s="120" t="s">
        <v>327</v>
      </c>
    </row>
    <row r="163" spans="4:26" x14ac:dyDescent="0.25">
      <c r="D163" s="78" t="s">
        <v>347</v>
      </c>
      <c r="E163" s="78" t="s">
        <v>83</v>
      </c>
      <c r="F163" s="78" t="s">
        <v>348</v>
      </c>
      <c r="G163" s="103">
        <v>200</v>
      </c>
      <c r="H163" s="103">
        <v>200</v>
      </c>
      <c r="I163" s="108">
        <v>8</v>
      </c>
      <c r="J163" s="93">
        <v>75</v>
      </c>
      <c r="K163" s="93">
        <v>0</v>
      </c>
      <c r="L163" s="93">
        <v>0</v>
      </c>
      <c r="M163" s="93" t="s">
        <v>8</v>
      </c>
      <c r="N163" s="104">
        <f>COUNTIF(Table7[Spawner],Table1[[#This Row],[Spawner Prefab]])</f>
        <v>4</v>
      </c>
      <c r="O163" s="96">
        <f>ROUND((Table1[[#This Row],[Total in "Village" scene]]/SUM(Table1[Total in "Village" scene]))*100,1)</f>
        <v>0.2</v>
      </c>
      <c r="P163" s="110">
        <f>COUNTIF(Table15[Spawner],Table1[[#This Row],[Spawner Prefab]])</f>
        <v>0</v>
      </c>
      <c r="Q163" s="100">
        <f>ROUND((Table1[[#This Row],[Total in "Castle" scene]]/SUM(Table1[Total in "Castle" scene]))*100,1)</f>
        <v>0</v>
      </c>
      <c r="R163" s="105">
        <f>COUNTIF(Table20[Spawner],Table1[[#This Row],[Spawner Prefab]])</f>
        <v>0</v>
      </c>
      <c r="S163" s="97">
        <f>ROUND((Table1[[#This Row],[Total in "Dark" scene]]/SUM(Table1[Total in "Dark" scene]))*100,1)</f>
        <v>0</v>
      </c>
      <c r="T163" s="111">
        <f>Table1[[#This Row],[Total in "Village" scene]]+Table1[[#This Row],[Total in "Castle" scene]]+Table1[[#This Row],[Total in "Dark" scene]]</f>
        <v>4</v>
      </c>
      <c r="U163" s="99">
        <f>ROUND((Table1[[#This Row],[Total in the game]]/SUM(Table1[Total in the game]))*100,1)</f>
        <v>0.1</v>
      </c>
      <c r="V163" s="154" t="str">
        <f>Table1[[#This Row],[Content Sku]]</f>
        <v>Worker</v>
      </c>
      <c r="W163" s="162" t="s">
        <v>486</v>
      </c>
      <c r="X163" s="116" t="s">
        <v>327</v>
      </c>
      <c r="Y163" s="120" t="s">
        <v>327</v>
      </c>
      <c r="Z163" s="120" t="s">
        <v>327</v>
      </c>
    </row>
    <row r="164" spans="4:26" x14ac:dyDescent="0.25">
      <c r="D164" s="78" t="s">
        <v>349</v>
      </c>
      <c r="E164" s="78" t="s">
        <v>83</v>
      </c>
      <c r="F164" s="78" t="s">
        <v>350</v>
      </c>
      <c r="G164" s="103">
        <v>200</v>
      </c>
      <c r="H164" s="103">
        <v>200</v>
      </c>
      <c r="I164" s="108">
        <v>8</v>
      </c>
      <c r="J164" s="93">
        <v>75</v>
      </c>
      <c r="K164" s="93">
        <v>0</v>
      </c>
      <c r="L164" s="93">
        <v>0</v>
      </c>
      <c r="M164" s="93" t="s">
        <v>8</v>
      </c>
      <c r="N164" s="104">
        <f>COUNTIF(Table7[Spawner],Table1[[#This Row],[Spawner Prefab]])</f>
        <v>0</v>
      </c>
      <c r="O164" s="96">
        <f>ROUND((Table1[[#This Row],[Total in "Village" scene]]/SUM(Table1[Total in "Village" scene]))*100,1)</f>
        <v>0</v>
      </c>
      <c r="P164" s="110">
        <f>COUNTIF(Table15[Spawner],Table1[[#This Row],[Spawner Prefab]])</f>
        <v>0</v>
      </c>
      <c r="Q164" s="100">
        <f>ROUND((Table1[[#This Row],[Total in "Castle" scene]]/SUM(Table1[Total in "Castle" scene]))*100,1)</f>
        <v>0</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0</v>
      </c>
      <c r="U164" s="99">
        <f>ROUND((Table1[[#This Row],[Total in the game]]/SUM(Table1[Total in the game]))*100,1)</f>
        <v>0</v>
      </c>
      <c r="V164" s="154" t="str">
        <f>Table1[[#This Row],[Content Sku]]</f>
        <v>Worker</v>
      </c>
      <c r="W164" s="162" t="s">
        <v>549</v>
      </c>
      <c r="X164" s="116" t="s">
        <v>327</v>
      </c>
      <c r="Y164" s="120" t="s">
        <v>327</v>
      </c>
      <c r="Z164" s="120" t="s">
        <v>327</v>
      </c>
    </row>
    <row r="165" spans="4:26" x14ac:dyDescent="0.25">
      <c r="D165" s="78" t="s">
        <v>351</v>
      </c>
      <c r="E165" s="78" t="s">
        <v>83</v>
      </c>
      <c r="F165" s="78" t="s">
        <v>352</v>
      </c>
      <c r="G165" s="103">
        <v>200</v>
      </c>
      <c r="H165" s="103">
        <v>200</v>
      </c>
      <c r="I165" s="108">
        <v>8</v>
      </c>
      <c r="J165" s="93">
        <v>75</v>
      </c>
      <c r="K165" s="93">
        <v>0</v>
      </c>
      <c r="L165" s="93">
        <v>0</v>
      </c>
      <c r="M165" s="93" t="s">
        <v>8</v>
      </c>
      <c r="N165" s="104">
        <f>COUNTIF(Table7[Spawner],Table1[[#This Row],[Spawner Prefab]])</f>
        <v>1</v>
      </c>
      <c r="O165" s="96">
        <f>ROUND((Table1[[#This Row],[Total in "Village" scene]]/SUM(Table1[Total in "Village" scene]))*100,1)</f>
        <v>0</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1</v>
      </c>
      <c r="U165" s="99">
        <f>ROUND((Table1[[#This Row],[Total in the game]]/SUM(Table1[Total in the game]))*100,1)</f>
        <v>0</v>
      </c>
      <c r="V165" s="154" t="str">
        <f>Table1[[#This Row],[Content Sku]]</f>
        <v>Worker</v>
      </c>
      <c r="W165" s="162" t="s">
        <v>522</v>
      </c>
      <c r="X165" s="116" t="s">
        <v>328</v>
      </c>
      <c r="Y165" s="120" t="s">
        <v>328</v>
      </c>
      <c r="Z165" s="120" t="s">
        <v>328</v>
      </c>
    </row>
    <row r="166" spans="4:26" x14ac:dyDescent="0.25">
      <c r="D166" s="78" t="s">
        <v>394</v>
      </c>
      <c r="E166" s="78" t="s">
        <v>83</v>
      </c>
      <c r="F166" s="78" t="s">
        <v>348</v>
      </c>
      <c r="G166" s="103">
        <v>200</v>
      </c>
      <c r="H166" s="103">
        <v>200</v>
      </c>
      <c r="I166" s="108">
        <v>8</v>
      </c>
      <c r="J166" s="93">
        <v>75</v>
      </c>
      <c r="K166" s="93">
        <v>0</v>
      </c>
      <c r="L166" s="93">
        <v>0</v>
      </c>
      <c r="M166" s="93" t="s">
        <v>8</v>
      </c>
      <c r="N166" s="104">
        <f>COUNTIF(Table7[Spawner],Table1[[#This Row],[Spawner Prefab]])</f>
        <v>79</v>
      </c>
      <c r="O166" s="96">
        <f>ROUND((Table1[[#This Row],[Total in "Village" scene]]/SUM(Table1[Total in "Village" scene]))*100,1)</f>
        <v>3.2</v>
      </c>
      <c r="P166" s="110">
        <f>COUNTIF(Table15[Spawner],Table1[[#This Row],[Spawner Prefab]])</f>
        <v>16</v>
      </c>
      <c r="Q166" s="100">
        <f>ROUND((Table1[[#This Row],[Total in "Castle" scene]]/SUM(Table1[Total in "Castle" scene]))*100,1)</f>
        <v>0.8</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95</v>
      </c>
      <c r="U166" s="99">
        <f>ROUND((Table1[[#This Row],[Total in the game]]/SUM(Table1[Total in the game]))*100,1)</f>
        <v>1.7</v>
      </c>
      <c r="V166" s="154" t="str">
        <f>Table1[[#This Row],[Content Sku]]</f>
        <v>Worker</v>
      </c>
      <c r="W166" s="162" t="s">
        <v>516</v>
      </c>
      <c r="X166" s="116" t="s">
        <v>328</v>
      </c>
      <c r="Y166" s="120" t="s">
        <v>328</v>
      </c>
      <c r="Z166" s="120" t="s">
        <v>328</v>
      </c>
    </row>
    <row r="167" spans="4:26" x14ac:dyDescent="0.25">
      <c r="W167" s="162" t="s">
        <v>517</v>
      </c>
      <c r="X167" s="116" t="s">
        <v>327</v>
      </c>
      <c r="Y167" s="120" t="s">
        <v>327</v>
      </c>
      <c r="Z167" s="120" t="s">
        <v>327</v>
      </c>
    </row>
    <row r="168" spans="4:26" x14ac:dyDescent="0.25">
      <c r="W168" s="162" t="s">
        <v>538</v>
      </c>
      <c r="X168" s="116" t="s">
        <v>327</v>
      </c>
      <c r="Y168" s="120" t="s">
        <v>327</v>
      </c>
      <c r="Z168" s="120" t="s">
        <v>327</v>
      </c>
    </row>
    <row r="169" spans="4:26" x14ac:dyDescent="0.25">
      <c r="W169" s="162" t="s">
        <v>348</v>
      </c>
      <c r="X169" s="116" t="s">
        <v>327</v>
      </c>
      <c r="Y169" s="120" t="s">
        <v>327</v>
      </c>
      <c r="Z169" s="120" t="s">
        <v>327</v>
      </c>
    </row>
    <row r="170" spans="4:26" x14ac:dyDescent="0.25">
      <c r="W170" s="162" t="s">
        <v>350</v>
      </c>
      <c r="X170" s="116" t="s">
        <v>327</v>
      </c>
      <c r="Y170" s="120" t="s">
        <v>327</v>
      </c>
      <c r="Z170" s="120" t="s">
        <v>327</v>
      </c>
    </row>
    <row r="171" spans="4:26" x14ac:dyDescent="0.25">
      <c r="W171" s="162" t="s">
        <v>460</v>
      </c>
      <c r="X171" s="116" t="s">
        <v>327</v>
      </c>
      <c r="Y171" s="120" t="s">
        <v>327</v>
      </c>
      <c r="Z171" s="120" t="s">
        <v>327</v>
      </c>
    </row>
    <row r="172" spans="4:26" x14ac:dyDescent="0.25">
      <c r="W172" s="162" t="s">
        <v>352</v>
      </c>
      <c r="X172" s="116" t="s">
        <v>327</v>
      </c>
      <c r="Y172" s="120" t="s">
        <v>327</v>
      </c>
      <c r="Z172" s="120" t="s">
        <v>327</v>
      </c>
    </row>
    <row r="173" spans="4:26" x14ac:dyDescent="0.25">
      <c r="W173" s="162" t="s">
        <v>4466</v>
      </c>
      <c r="X173" s="116" t="s">
        <v>327</v>
      </c>
      <c r="Y173" s="120" t="s">
        <v>327</v>
      </c>
      <c r="Z173" s="120" t="s">
        <v>327</v>
      </c>
    </row>
    <row r="174" spans="4:26" x14ac:dyDescent="0.25">
      <c r="W174" s="179" t="s">
        <v>8022</v>
      </c>
      <c r="X174" s="180" t="s">
        <v>327</v>
      </c>
      <c r="Y174" s="180" t="s">
        <v>327</v>
      </c>
      <c r="Z174" s="180" t="s">
        <v>327</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426"/>
  <sheetViews>
    <sheetView workbookViewId="0">
      <selection activeCell="G64" sqref="G64"/>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154</v>
      </c>
      <c r="K2" s="33" t="s">
        <v>152</v>
      </c>
    </row>
    <row r="3" spans="2:11" ht="16.5" thickTop="1" thickBot="1" x14ac:dyDescent="0.3">
      <c r="I3" s="28"/>
    </row>
    <row r="4" spans="2:11" ht="15.75" thickTop="1" x14ac:dyDescent="0.25">
      <c r="C4" s="26"/>
      <c r="D4" s="25"/>
      <c r="E4" s="25"/>
      <c r="F4" s="25"/>
      <c r="G4" s="27"/>
      <c r="I4" s="28"/>
    </row>
    <row r="5" spans="2:11" x14ac:dyDescent="0.25">
      <c r="C5" s="28"/>
      <c r="D5" s="23"/>
      <c r="E5" s="19">
        <f>(COUNTIF(G68:G315,"&gt;0"))+1</f>
        <v>83</v>
      </c>
      <c r="F5" s="23">
        <f>MOD(E5,60)</f>
        <v>23</v>
      </c>
      <c r="G5" s="29"/>
      <c r="I5" s="28"/>
    </row>
    <row r="6" spans="2:11" x14ac:dyDescent="0.25">
      <c r="C6" s="28"/>
      <c r="D6" s="23"/>
      <c r="E6" s="23"/>
      <c r="F6" s="23">
        <f>ROUNDDOWN(E5/60,0)</f>
        <v>1</v>
      </c>
      <c r="G6" s="29"/>
      <c r="I6" s="28"/>
    </row>
    <row r="7" spans="2:11" ht="19.5" customHeight="1" x14ac:dyDescent="0.35">
      <c r="C7" s="28"/>
      <c r="D7" s="24" t="s">
        <v>145</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146</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147</v>
      </c>
      <c r="C14" s="42">
        <v>0</v>
      </c>
      <c r="E14" t="s">
        <v>138</v>
      </c>
      <c r="F14" s="42">
        <v>425</v>
      </c>
      <c r="I14" s="28"/>
    </row>
    <row r="15" spans="2:11" x14ac:dyDescent="0.25">
      <c r="B15" t="s">
        <v>138</v>
      </c>
      <c r="C15" s="44">
        <v>95</v>
      </c>
      <c r="E15" t="s">
        <v>172</v>
      </c>
      <c r="F15" s="43">
        <v>0.05</v>
      </c>
      <c r="I15" s="28"/>
    </row>
    <row r="16" spans="2:11" x14ac:dyDescent="0.25">
      <c r="B16" t="s">
        <v>139</v>
      </c>
      <c r="C16" s="44">
        <v>1.05</v>
      </c>
      <c r="E16" t="s">
        <v>173</v>
      </c>
      <c r="F16">
        <f>ROUND(F14*F15,2)</f>
        <v>21.25</v>
      </c>
      <c r="I16" s="28"/>
    </row>
    <row r="17" spans="2:21" x14ac:dyDescent="0.25">
      <c r="B17" t="s">
        <v>140</v>
      </c>
      <c r="C17" s="44">
        <v>7.4999999999999997E-3</v>
      </c>
      <c r="I17" s="28"/>
    </row>
    <row r="18" spans="2:21" x14ac:dyDescent="0.25">
      <c r="B18" t="s">
        <v>148</v>
      </c>
      <c r="C18" s="44">
        <v>30</v>
      </c>
      <c r="E18" t="s">
        <v>174</v>
      </c>
      <c r="F18" s="42">
        <v>10</v>
      </c>
      <c r="I18" s="28"/>
    </row>
    <row r="19" spans="2:21" x14ac:dyDescent="0.25">
      <c r="B19" t="s">
        <v>149</v>
      </c>
      <c r="C19" s="43">
        <v>0.5</v>
      </c>
      <c r="E19" t="s">
        <v>175</v>
      </c>
      <c r="F19" s="43">
        <v>0.4</v>
      </c>
      <c r="I19" s="28"/>
    </row>
    <row r="20" spans="2:21" x14ac:dyDescent="0.25">
      <c r="E20" t="s">
        <v>176</v>
      </c>
      <c r="F20">
        <f>F18*F19</f>
        <v>4</v>
      </c>
      <c r="I20" s="28"/>
    </row>
    <row r="21" spans="2:21" x14ac:dyDescent="0.25">
      <c r="I21" s="28"/>
    </row>
    <row r="22" spans="2:21" x14ac:dyDescent="0.25">
      <c r="I22" s="28"/>
    </row>
    <row r="23" spans="2:21" x14ac:dyDescent="0.25">
      <c r="I23" s="28"/>
    </row>
    <row r="24" spans="2:21" x14ac:dyDescent="0.25">
      <c r="I24" s="28"/>
    </row>
    <row r="25" spans="2:21" x14ac:dyDescent="0.25">
      <c r="I25" s="28"/>
    </row>
    <row r="26" spans="2:21" x14ac:dyDescent="0.25">
      <c r="I26" s="28"/>
    </row>
    <row r="27" spans="2:21" x14ac:dyDescent="0.25">
      <c r="I27" s="28"/>
    </row>
    <row r="28" spans="2:21" x14ac:dyDescent="0.25">
      <c r="I28" s="28"/>
    </row>
    <row r="29" spans="2:21" x14ac:dyDescent="0.25">
      <c r="I29" s="28"/>
    </row>
    <row r="30" spans="2:21" x14ac:dyDescent="0.25">
      <c r="I30" s="28"/>
    </row>
    <row r="31" spans="2:21" x14ac:dyDescent="0.25">
      <c r="I31" s="28"/>
      <c r="L31" s="2" t="s">
        <v>2418</v>
      </c>
      <c r="M31" s="2" t="s">
        <v>2419</v>
      </c>
      <c r="N31" t="s">
        <v>151</v>
      </c>
      <c r="O31" s="122" t="s">
        <v>2423</v>
      </c>
      <c r="P31" t="s">
        <v>157</v>
      </c>
      <c r="Q31" t="s">
        <v>153</v>
      </c>
      <c r="S31" s="1" t="s">
        <v>159</v>
      </c>
    </row>
    <row r="32" spans="2:21" x14ac:dyDescent="0.25">
      <c r="I32" s="28"/>
      <c r="K32" s="3" t="s">
        <v>125</v>
      </c>
      <c r="L32" s="10">
        <f>DATA_DRAGONS_CONTENT!H5</f>
        <v>75</v>
      </c>
      <c r="M32" s="10">
        <f>DATA_DRAGONS_CONTENT!I5</f>
        <v>105</v>
      </c>
      <c r="N32">
        <f>M32-L32</f>
        <v>30</v>
      </c>
      <c r="O32" s="123">
        <f>DATA_DRAGONS_CONTENT!U5</f>
        <v>8</v>
      </c>
      <c r="P32">
        <f>N32/O32</f>
        <v>3.75</v>
      </c>
      <c r="Q32">
        <f>(L32+M32)/2</f>
        <v>90</v>
      </c>
      <c r="S32" s="34">
        <v>0</v>
      </c>
      <c r="U32" t="s">
        <v>2439</v>
      </c>
    </row>
    <row r="33" spans="9:21" x14ac:dyDescent="0.25">
      <c r="I33" s="28"/>
      <c r="K33" s="5" t="s">
        <v>126</v>
      </c>
      <c r="L33" s="11">
        <f>DATA_DRAGONS_CONTENT!H6</f>
        <v>95</v>
      </c>
      <c r="M33" s="11">
        <f>DATA_DRAGONS_CONTENT!I6</f>
        <v>145</v>
      </c>
      <c r="N33">
        <f t="shared" ref="N33:N39" si="0">M33-L33</f>
        <v>50</v>
      </c>
      <c r="O33" s="124">
        <f>DATA_DRAGONS_CONTENT!U6</f>
        <v>10</v>
      </c>
      <c r="P33">
        <f t="shared" ref="P33:P39" si="1">N33/O33</f>
        <v>5</v>
      </c>
      <c r="Q33">
        <f t="shared" ref="Q33:Q39" si="2">(L33+M33)/2</f>
        <v>120</v>
      </c>
      <c r="S33" s="35">
        <f>L33-M32</f>
        <v>-10</v>
      </c>
      <c r="U33" t="s">
        <v>2440</v>
      </c>
    </row>
    <row r="34" spans="9:21" x14ac:dyDescent="0.25">
      <c r="I34" s="28"/>
      <c r="K34" s="6" t="s">
        <v>128</v>
      </c>
      <c r="L34" s="12">
        <f>DATA_DRAGONS_CONTENT!H7</f>
        <v>140</v>
      </c>
      <c r="M34" s="12">
        <f>DATA_DRAGONS_CONTENT!I7</f>
        <v>200</v>
      </c>
      <c r="N34">
        <f t="shared" si="0"/>
        <v>60</v>
      </c>
      <c r="O34" s="125">
        <f>DATA_DRAGONS_CONTENT!U7</f>
        <v>10</v>
      </c>
      <c r="P34">
        <f t="shared" si="1"/>
        <v>6</v>
      </c>
      <c r="Q34">
        <f t="shared" si="2"/>
        <v>170</v>
      </c>
      <c r="S34" s="35">
        <f t="shared" ref="S34:S39" si="3">L34-M33</f>
        <v>-5</v>
      </c>
      <c r="U34" t="s">
        <v>2441</v>
      </c>
    </row>
    <row r="35" spans="9:21" x14ac:dyDescent="0.25">
      <c r="I35" s="28"/>
      <c r="K35" s="7" t="s">
        <v>127</v>
      </c>
      <c r="L35" s="13">
        <f>DATA_DRAGONS_CONTENT!H8</f>
        <v>190</v>
      </c>
      <c r="M35" s="13">
        <f>DATA_DRAGONS_CONTENT!I8</f>
        <v>240</v>
      </c>
      <c r="N35">
        <f t="shared" si="0"/>
        <v>50</v>
      </c>
      <c r="O35" s="126">
        <f>DATA_DRAGONS_CONTENT!U8</f>
        <v>10</v>
      </c>
      <c r="P35">
        <f t="shared" si="1"/>
        <v>5</v>
      </c>
      <c r="Q35">
        <f t="shared" si="2"/>
        <v>215</v>
      </c>
      <c r="S35" s="35">
        <f t="shared" si="3"/>
        <v>-10</v>
      </c>
      <c r="U35" t="s">
        <v>2442</v>
      </c>
    </row>
    <row r="36" spans="9:21" x14ac:dyDescent="0.25">
      <c r="I36" s="28"/>
      <c r="K36" s="7" t="s">
        <v>130</v>
      </c>
      <c r="L36" s="13">
        <f>DATA_DRAGONS_CONTENT!H9</f>
        <v>210</v>
      </c>
      <c r="M36" s="13">
        <f>DATA_DRAGONS_CONTENT!I9</f>
        <v>270</v>
      </c>
      <c r="N36">
        <f>M36-L36</f>
        <v>60</v>
      </c>
      <c r="O36" s="126">
        <f>DATA_DRAGONS_CONTENT!U9</f>
        <v>15</v>
      </c>
      <c r="P36">
        <f>N36/O36</f>
        <v>4</v>
      </c>
      <c r="Q36">
        <f t="shared" si="2"/>
        <v>240</v>
      </c>
      <c r="S36" s="35">
        <f t="shared" si="3"/>
        <v>-30</v>
      </c>
      <c r="U36" t="s">
        <v>2443</v>
      </c>
    </row>
    <row r="37" spans="9:21" x14ac:dyDescent="0.25">
      <c r="I37" s="28"/>
      <c r="K37" s="7" t="s">
        <v>129</v>
      </c>
      <c r="L37" s="13">
        <f>DATA_DRAGONS_CONTENT!H10</f>
        <v>250</v>
      </c>
      <c r="M37" s="13">
        <f>DATA_DRAGONS_CONTENT!I10</f>
        <v>310</v>
      </c>
      <c r="N37">
        <f t="shared" si="0"/>
        <v>60</v>
      </c>
      <c r="O37" s="126">
        <f>DATA_DRAGONS_CONTENT!U10</f>
        <v>15</v>
      </c>
      <c r="P37">
        <f t="shared" si="1"/>
        <v>4</v>
      </c>
      <c r="Q37">
        <f t="shared" si="2"/>
        <v>280</v>
      </c>
      <c r="S37" s="35">
        <f t="shared" si="3"/>
        <v>-20</v>
      </c>
      <c r="U37" t="s">
        <v>2444</v>
      </c>
    </row>
    <row r="38" spans="9:21" x14ac:dyDescent="0.25">
      <c r="I38" s="28"/>
      <c r="K38" s="9" t="s">
        <v>131</v>
      </c>
      <c r="L38" s="15">
        <f>DATA_DRAGONS_CONTENT!H11</f>
        <v>290</v>
      </c>
      <c r="M38" s="15">
        <f>DATA_DRAGONS_CONTENT!I11</f>
        <v>350</v>
      </c>
      <c r="N38">
        <f t="shared" si="0"/>
        <v>60</v>
      </c>
      <c r="O38" s="127">
        <f>DATA_DRAGONS_CONTENT!U11</f>
        <v>15</v>
      </c>
      <c r="P38">
        <f t="shared" si="1"/>
        <v>4</v>
      </c>
      <c r="Q38">
        <f t="shared" si="2"/>
        <v>320</v>
      </c>
      <c r="S38" s="35">
        <f t="shared" si="3"/>
        <v>-20</v>
      </c>
      <c r="U38" t="s">
        <v>2445</v>
      </c>
    </row>
    <row r="39" spans="9:21" x14ac:dyDescent="0.25">
      <c r="I39" s="28"/>
      <c r="K39" s="9" t="s">
        <v>133</v>
      </c>
      <c r="L39" s="15">
        <f>DATA_DRAGONS_CONTENT!H12</f>
        <v>330</v>
      </c>
      <c r="M39" s="15">
        <f>DATA_DRAGONS_CONTENT!I12</f>
        <v>400</v>
      </c>
      <c r="N39">
        <f t="shared" si="0"/>
        <v>70</v>
      </c>
      <c r="O39" s="127">
        <f>DATA_DRAGONS_CONTENT!U12</f>
        <v>20</v>
      </c>
      <c r="P39">
        <f t="shared" si="1"/>
        <v>3.5</v>
      </c>
      <c r="Q39">
        <f t="shared" si="2"/>
        <v>365</v>
      </c>
      <c r="S39" s="35">
        <f t="shared" si="3"/>
        <v>-20</v>
      </c>
      <c r="U39" t="s">
        <v>2446</v>
      </c>
    </row>
    <row r="40" spans="9:21" x14ac:dyDescent="0.25">
      <c r="I40" s="28"/>
      <c r="K40" s="9" t="s">
        <v>2438</v>
      </c>
      <c r="L40" s="15">
        <f>DATA_DRAGONS_CONTENT!H13</f>
        <v>360</v>
      </c>
      <c r="M40" s="15">
        <f>DATA_DRAGONS_CONTENT!I13</f>
        <v>430</v>
      </c>
      <c r="N40">
        <f t="shared" ref="N40" si="4">M40-L40</f>
        <v>70</v>
      </c>
      <c r="O40" s="127">
        <f>DATA_DRAGONS_CONTENT!U13</f>
        <v>20</v>
      </c>
      <c r="P40">
        <f t="shared" ref="P40" si="5">N40/O40</f>
        <v>3.5</v>
      </c>
      <c r="Q40">
        <f t="shared" ref="Q40" si="6">(L40+M40)/2</f>
        <v>395</v>
      </c>
      <c r="S40" s="35">
        <f t="shared" ref="S40" si="7">L40-M39</f>
        <v>-40</v>
      </c>
      <c r="U40" t="s">
        <v>2447</v>
      </c>
    </row>
    <row r="41" spans="9:21" x14ac:dyDescent="0.25">
      <c r="I41" s="28"/>
      <c r="K41" s="4" t="s">
        <v>132</v>
      </c>
      <c r="L41" s="16">
        <f>DATA_DRAGONS_CONTENT!H14</f>
        <v>375</v>
      </c>
      <c r="M41" s="16">
        <f>DATA_DRAGONS_CONTENT!I14</f>
        <v>445</v>
      </c>
      <c r="N41">
        <f>M41-L41</f>
        <v>70</v>
      </c>
      <c r="O41" s="128">
        <f>DATA_DRAGONS_CONTENT!U14</f>
        <v>20</v>
      </c>
      <c r="P41">
        <f>N41/O41</f>
        <v>3.5</v>
      </c>
      <c r="Q41">
        <f>(L41+M41)/2</f>
        <v>410</v>
      </c>
      <c r="S41" s="35">
        <f>L41-M39</f>
        <v>-25</v>
      </c>
      <c r="U41" t="s">
        <v>2448</v>
      </c>
    </row>
    <row r="42" spans="9:21" x14ac:dyDescent="0.25">
      <c r="I42" s="28"/>
      <c r="K42" s="4" t="s">
        <v>134</v>
      </c>
      <c r="L42" s="16">
        <f>DATA_DRAGONS_CONTENT!H15</f>
        <v>425</v>
      </c>
      <c r="M42" s="16">
        <f>DATA_DRAGONS_CONTENT!I15</f>
        <v>500</v>
      </c>
      <c r="N42">
        <f>M42-L42</f>
        <v>75</v>
      </c>
      <c r="O42" s="128">
        <f>DATA_DRAGONS_CONTENT!U15</f>
        <v>20</v>
      </c>
      <c r="P42">
        <f>N42/O42</f>
        <v>3.75</v>
      </c>
      <c r="Q42">
        <f>(L42+M42)/2</f>
        <v>462.5</v>
      </c>
      <c r="S42" s="35">
        <f>L42-M41</f>
        <v>-20</v>
      </c>
      <c r="U42" t="s">
        <v>2449</v>
      </c>
    </row>
    <row r="43" spans="9:21" x14ac:dyDescent="0.25">
      <c r="I43" s="28"/>
      <c r="K43" s="4" t="s">
        <v>8015</v>
      </c>
      <c r="L43" s="16">
        <f>DATA_DRAGONS_CONTENT!H16</f>
        <v>1000</v>
      </c>
      <c r="M43" s="16">
        <f>DATA_DRAGONS_CONTENT!I16</f>
        <v>1500</v>
      </c>
      <c r="N43">
        <f>M43-L43</f>
        <v>500</v>
      </c>
      <c r="O43" s="128">
        <f>DATA_DRAGONS_CONTENT!U16</f>
        <v>20</v>
      </c>
      <c r="P43">
        <f>N43/O43</f>
        <v>25</v>
      </c>
      <c r="Q43">
        <f>(L43+M43)/2</f>
        <v>1250</v>
      </c>
      <c r="S43" s="18">
        <f>L43-M42</f>
        <v>500</v>
      </c>
      <c r="U43" t="s">
        <v>8016</v>
      </c>
    </row>
    <row r="44" spans="9:21" ht="15.75" thickBot="1" x14ac:dyDescent="0.3">
      <c r="I44" s="28"/>
    </row>
    <row r="45" spans="9:21" ht="16.5" thickTop="1" thickBot="1" x14ac:dyDescent="0.3">
      <c r="I45" s="28"/>
      <c r="K45" s="33" t="s">
        <v>155</v>
      </c>
    </row>
    <row r="46" spans="9:21" ht="15.75" thickTop="1" x14ac:dyDescent="0.25">
      <c r="I46" s="28"/>
    </row>
    <row r="47" spans="9:21" x14ac:dyDescent="0.25">
      <c r="I47" s="28"/>
    </row>
    <row r="48" spans="9:21" x14ac:dyDescent="0.25">
      <c r="I48" s="28"/>
    </row>
    <row r="49" spans="9:9" x14ac:dyDescent="0.25">
      <c r="I49" s="28"/>
    </row>
    <row r="50" spans="9:9" x14ac:dyDescent="0.25">
      <c r="I50" s="28"/>
    </row>
    <row r="51" spans="9:9" x14ac:dyDescent="0.25">
      <c r="I51" s="28"/>
    </row>
    <row r="52" spans="9:9" x14ac:dyDescent="0.25">
      <c r="I52" s="28"/>
    </row>
    <row r="53" spans="9:9" x14ac:dyDescent="0.25">
      <c r="I53" s="28"/>
    </row>
    <row r="54" spans="9:9" x14ac:dyDescent="0.25">
      <c r="I54" s="28"/>
    </row>
    <row r="55" spans="9:9" x14ac:dyDescent="0.25">
      <c r="I55" s="28"/>
    </row>
    <row r="56" spans="9:9" x14ac:dyDescent="0.25">
      <c r="I56" s="28"/>
    </row>
    <row r="57" spans="9:9" x14ac:dyDescent="0.25">
      <c r="I57" s="28"/>
    </row>
    <row r="58" spans="9:9" x14ac:dyDescent="0.25">
      <c r="I58" s="28"/>
    </row>
    <row r="59" spans="9:9" x14ac:dyDescent="0.25">
      <c r="I59" s="28"/>
    </row>
    <row r="60" spans="9:9" x14ac:dyDescent="0.25">
      <c r="I60" s="28"/>
    </row>
    <row r="61" spans="9:9" x14ac:dyDescent="0.25">
      <c r="I61" s="28"/>
    </row>
    <row r="62" spans="9:9" x14ac:dyDescent="0.25">
      <c r="I62" s="28"/>
    </row>
    <row r="63" spans="9:9" x14ac:dyDescent="0.25">
      <c r="I63" s="28"/>
    </row>
    <row r="64" spans="9:9" x14ac:dyDescent="0.25">
      <c r="I64" s="28"/>
    </row>
    <row r="65" spans="2:16" x14ac:dyDescent="0.25">
      <c r="I65" s="28"/>
    </row>
    <row r="66" spans="2:16" x14ac:dyDescent="0.25">
      <c r="I66" s="28"/>
    </row>
    <row r="67" spans="2:16" x14ac:dyDescent="0.25">
      <c r="C67" s="1" t="s">
        <v>150</v>
      </c>
      <c r="E67" s="1" t="s">
        <v>124</v>
      </c>
      <c r="G67" s="20" t="s">
        <v>138</v>
      </c>
      <c r="I67" s="28"/>
    </row>
    <row r="68" spans="2:16" x14ac:dyDescent="0.25">
      <c r="B68" t="s">
        <v>142</v>
      </c>
      <c r="C68">
        <f>C14</f>
        <v>0</v>
      </c>
      <c r="E68">
        <f>C17*C68</f>
        <v>0</v>
      </c>
      <c r="G68">
        <f>C15</f>
        <v>95</v>
      </c>
      <c r="I68" s="28"/>
    </row>
    <row r="69" spans="2:16" x14ac:dyDescent="0.25">
      <c r="B69" s="1" t="s">
        <v>141</v>
      </c>
      <c r="C69">
        <f>C68+1</f>
        <v>1</v>
      </c>
      <c r="E69">
        <f>IF(C69&gt;$C$18,$C$16+(C69*$C$17),(($C$16)*$C$19)+(C69*$C$17))</f>
        <v>0.53249999999999997</v>
      </c>
      <c r="G69">
        <f>G68-E69</f>
        <v>94.467500000000001</v>
      </c>
      <c r="I69" s="28"/>
    </row>
    <row r="70" spans="2:16" x14ac:dyDescent="0.25">
      <c r="B70" s="1" t="s">
        <v>143</v>
      </c>
      <c r="C70">
        <f>C69+1</f>
        <v>2</v>
      </c>
      <c r="E70">
        <f t="shared" ref="E70:E133" si="8">IF(C70&gt;$C$18,$C$16+(C70*$C$17),(($C$16)*$C$19)+(C70*$C$17))</f>
        <v>0.54</v>
      </c>
      <c r="G70">
        <f>G69-E70</f>
        <v>93.927499999999995</v>
      </c>
      <c r="I70" s="28"/>
    </row>
    <row r="71" spans="2:16" x14ac:dyDescent="0.25">
      <c r="B71" s="1" t="s">
        <v>144</v>
      </c>
      <c r="C71">
        <f t="shared" ref="C71:C118" si="9">C70+1</f>
        <v>3</v>
      </c>
      <c r="E71">
        <f t="shared" si="8"/>
        <v>0.54749999999999999</v>
      </c>
      <c r="G71">
        <f t="shared" ref="G71:G134" si="10">G70-E71</f>
        <v>93.38</v>
      </c>
      <c r="I71" s="28"/>
    </row>
    <row r="72" spans="2:16" x14ac:dyDescent="0.25">
      <c r="C72">
        <f t="shared" si="9"/>
        <v>4</v>
      </c>
      <c r="E72">
        <f t="shared" si="8"/>
        <v>0.55500000000000005</v>
      </c>
      <c r="G72">
        <f t="shared" si="10"/>
        <v>92.824999999999989</v>
      </c>
      <c r="I72" s="28"/>
    </row>
    <row r="73" spans="2:16" x14ac:dyDescent="0.25">
      <c r="C73">
        <f t="shared" si="9"/>
        <v>5</v>
      </c>
      <c r="E73">
        <f t="shared" si="8"/>
        <v>0.5625</v>
      </c>
      <c r="G73">
        <f t="shared" si="10"/>
        <v>92.262499999999989</v>
      </c>
      <c r="I73" s="28"/>
    </row>
    <row r="74" spans="2:16" x14ac:dyDescent="0.25">
      <c r="C74">
        <f t="shared" si="9"/>
        <v>6</v>
      </c>
      <c r="E74">
        <f t="shared" si="8"/>
        <v>0.57000000000000006</v>
      </c>
      <c r="G74">
        <f t="shared" si="10"/>
        <v>91.692499999999995</v>
      </c>
      <c r="I74" s="28"/>
      <c r="L74" s="2" t="s">
        <v>3869</v>
      </c>
      <c r="M74" s="2" t="s">
        <v>3870</v>
      </c>
      <c r="N74" s="1" t="s">
        <v>151</v>
      </c>
      <c r="P74" s="19"/>
    </row>
    <row r="75" spans="2:16" x14ac:dyDescent="0.25">
      <c r="C75">
        <f t="shared" si="9"/>
        <v>7</v>
      </c>
      <c r="E75">
        <f t="shared" si="8"/>
        <v>0.57750000000000001</v>
      </c>
      <c r="G75">
        <f t="shared" si="10"/>
        <v>91.114999999999995</v>
      </c>
      <c r="I75" s="28"/>
      <c r="K75" s="3" t="s">
        <v>125</v>
      </c>
      <c r="L75" s="10">
        <f>ROUND((DATA_DRAGONS_CONTENT!J5/DATA_DRAGONS_CONTENT!M5)/DATA_DRAGONS_CONTENT!L5,1)</f>
        <v>9.1999999999999993</v>
      </c>
      <c r="M75" s="10">
        <f>ROUND((DATA_DRAGONS_CONTENT!K5/DATA_DRAGONS_CONTENT!M5)/DATA_DRAGONS_CONTENT!L5,1)</f>
        <v>10.5</v>
      </c>
      <c r="N75" s="34">
        <f>M75-L75</f>
        <v>1.3000000000000007</v>
      </c>
    </row>
    <row r="76" spans="2:16" x14ac:dyDescent="0.25">
      <c r="C76">
        <f t="shared" si="9"/>
        <v>8</v>
      </c>
      <c r="E76">
        <f t="shared" si="8"/>
        <v>0.58499999999999996</v>
      </c>
      <c r="G76">
        <f t="shared" si="10"/>
        <v>90.53</v>
      </c>
      <c r="I76" s="28"/>
      <c r="K76" s="5" t="s">
        <v>126</v>
      </c>
      <c r="L76" s="11">
        <f>ROUND((DATA_DRAGONS_CONTENT!J6/DATA_DRAGONS_CONTENT!M6)/DATA_DRAGONS_CONTENT!L6,1)</f>
        <v>10.5</v>
      </c>
      <c r="M76" s="11">
        <f>ROUND((DATA_DRAGONS_CONTENT!K6/DATA_DRAGONS_CONTENT!M6)/DATA_DRAGONS_CONTENT!L6,1)</f>
        <v>11.8</v>
      </c>
      <c r="N76" s="34">
        <f t="shared" ref="N76:N86" si="11">M76-L76</f>
        <v>1.3000000000000007</v>
      </c>
    </row>
    <row r="77" spans="2:16" x14ac:dyDescent="0.25">
      <c r="C77">
        <f t="shared" si="9"/>
        <v>9</v>
      </c>
      <c r="E77">
        <f t="shared" si="8"/>
        <v>0.59250000000000003</v>
      </c>
      <c r="G77">
        <f t="shared" si="10"/>
        <v>89.9375</v>
      </c>
      <c r="I77" s="28"/>
      <c r="K77" s="6" t="s">
        <v>128</v>
      </c>
      <c r="L77" s="12">
        <f>ROUND((DATA_DRAGONS_CONTENT!J7/DATA_DRAGONS_CONTENT!M7)/DATA_DRAGONS_CONTENT!L7,1)</f>
        <v>11.5</v>
      </c>
      <c r="M77" s="12">
        <f>ROUND((DATA_DRAGONS_CONTENT!K7/DATA_DRAGONS_CONTENT!M7)/DATA_DRAGONS_CONTENT!L7,1)</f>
        <v>13.4</v>
      </c>
      <c r="N77" s="34">
        <f t="shared" si="11"/>
        <v>1.9000000000000004</v>
      </c>
    </row>
    <row r="78" spans="2:16" x14ac:dyDescent="0.25">
      <c r="C78">
        <f t="shared" si="9"/>
        <v>10</v>
      </c>
      <c r="E78">
        <f t="shared" si="8"/>
        <v>0.6</v>
      </c>
      <c r="G78">
        <f t="shared" si="10"/>
        <v>89.337500000000006</v>
      </c>
      <c r="I78" s="28"/>
      <c r="K78" s="7" t="s">
        <v>127</v>
      </c>
      <c r="L78" s="13">
        <f>ROUND((DATA_DRAGONS_CONTENT!J8/DATA_DRAGONS_CONTENT!M8)/DATA_DRAGONS_CONTENT!L8,1)</f>
        <v>13.5</v>
      </c>
      <c r="M78" s="13">
        <f>ROUND((DATA_DRAGONS_CONTENT!K8/DATA_DRAGONS_CONTENT!M8)/DATA_DRAGONS_CONTENT!L8,1)</f>
        <v>14.3</v>
      </c>
      <c r="N78" s="34">
        <f t="shared" si="11"/>
        <v>0.80000000000000071</v>
      </c>
    </row>
    <row r="79" spans="2:16" x14ac:dyDescent="0.25">
      <c r="C79">
        <f t="shared" si="9"/>
        <v>11</v>
      </c>
      <c r="E79">
        <f t="shared" si="8"/>
        <v>0.60750000000000004</v>
      </c>
      <c r="G79">
        <f t="shared" si="10"/>
        <v>88.73</v>
      </c>
      <c r="I79" s="28"/>
      <c r="K79" s="7" t="s">
        <v>130</v>
      </c>
      <c r="L79" s="13">
        <f>ROUND((DATA_DRAGONS_CONTENT!J9/DATA_DRAGONS_CONTENT!M9)/DATA_DRAGONS_CONTENT!L9,1)</f>
        <v>13.6</v>
      </c>
      <c r="M79" s="13">
        <f>ROUND((DATA_DRAGONS_CONTENT!K9/DATA_DRAGONS_CONTENT!M9)/DATA_DRAGONS_CONTENT!L9,1)</f>
        <v>14.7</v>
      </c>
      <c r="N79" s="34">
        <f t="shared" si="11"/>
        <v>1.0999999999999996</v>
      </c>
    </row>
    <row r="80" spans="2:16" x14ac:dyDescent="0.25">
      <c r="C80">
        <f t="shared" si="9"/>
        <v>12</v>
      </c>
      <c r="E80">
        <f t="shared" si="8"/>
        <v>0.61499999999999999</v>
      </c>
      <c r="G80">
        <f t="shared" si="10"/>
        <v>88.115000000000009</v>
      </c>
      <c r="I80" s="28"/>
      <c r="K80" s="7" t="s">
        <v>129</v>
      </c>
      <c r="L80" s="13">
        <f>ROUND((DATA_DRAGONS_CONTENT!J10/DATA_DRAGONS_CONTENT!M10)/DATA_DRAGONS_CONTENT!L10,1)</f>
        <v>13.6</v>
      </c>
      <c r="M80" s="13">
        <f>ROUND((DATA_DRAGONS_CONTENT!K10/DATA_DRAGONS_CONTENT!M10)/DATA_DRAGONS_CONTENT!L10,1)</f>
        <v>14.6</v>
      </c>
      <c r="N80" s="34">
        <f t="shared" si="11"/>
        <v>1</v>
      </c>
    </row>
    <row r="81" spans="3:14" x14ac:dyDescent="0.25">
      <c r="C81">
        <f t="shared" si="9"/>
        <v>13</v>
      </c>
      <c r="E81">
        <f t="shared" si="8"/>
        <v>0.62250000000000005</v>
      </c>
      <c r="G81">
        <f t="shared" si="10"/>
        <v>87.492500000000007</v>
      </c>
      <c r="I81" s="28"/>
      <c r="K81" s="9" t="s">
        <v>131</v>
      </c>
      <c r="L81" s="15">
        <f>ROUND((DATA_DRAGONS_CONTENT!J11/DATA_DRAGONS_CONTENT!M11)/DATA_DRAGONS_CONTENT!L11,1)</f>
        <v>13.9</v>
      </c>
      <c r="M81" s="15">
        <f>ROUND((DATA_DRAGONS_CONTENT!K11/DATA_DRAGONS_CONTENT!M11)/DATA_DRAGONS_CONTENT!L11,1)</f>
        <v>15.1</v>
      </c>
      <c r="N81" s="34">
        <f t="shared" si="11"/>
        <v>1.1999999999999993</v>
      </c>
    </row>
    <row r="82" spans="3:14" x14ac:dyDescent="0.25">
      <c r="C82">
        <f t="shared" si="9"/>
        <v>14</v>
      </c>
      <c r="E82">
        <f t="shared" si="8"/>
        <v>0.63</v>
      </c>
      <c r="G82">
        <f t="shared" si="10"/>
        <v>86.862500000000011</v>
      </c>
      <c r="I82" s="28"/>
      <c r="K82" s="9" t="s">
        <v>133</v>
      </c>
      <c r="L82" s="15">
        <f>ROUND((DATA_DRAGONS_CONTENT!J12/DATA_DRAGONS_CONTENT!M12)/DATA_DRAGONS_CONTENT!L12,1)</f>
        <v>14.3</v>
      </c>
      <c r="M82" s="15">
        <f>ROUND((DATA_DRAGONS_CONTENT!K12/DATA_DRAGONS_CONTENT!M12)/DATA_DRAGONS_CONTENT!L12,1)</f>
        <v>15.3</v>
      </c>
      <c r="N82" s="34">
        <f t="shared" si="11"/>
        <v>1</v>
      </c>
    </row>
    <row r="83" spans="3:14" x14ac:dyDescent="0.25">
      <c r="C83">
        <f t="shared" si="9"/>
        <v>15</v>
      </c>
      <c r="E83">
        <f t="shared" si="8"/>
        <v>0.63749999999999996</v>
      </c>
      <c r="G83">
        <f t="shared" si="10"/>
        <v>86.225000000000009</v>
      </c>
      <c r="I83" s="28"/>
      <c r="K83" s="9" t="s">
        <v>2438</v>
      </c>
      <c r="L83" s="15">
        <f>ROUND((DATA_DRAGONS_CONTENT!J13/DATA_DRAGONS_CONTENT!M13)/DATA_DRAGONS_CONTENT!L13,1)</f>
        <v>13.9</v>
      </c>
      <c r="M83" s="15">
        <f>ROUND((DATA_DRAGONS_CONTENT!K13/DATA_DRAGONS_CONTENT!M13)/DATA_DRAGONS_CONTENT!L13,1)</f>
        <v>15.6</v>
      </c>
      <c r="N83" s="34">
        <f t="shared" si="11"/>
        <v>1.6999999999999993</v>
      </c>
    </row>
    <row r="84" spans="3:14" x14ac:dyDescent="0.25">
      <c r="C84">
        <f t="shared" si="9"/>
        <v>16</v>
      </c>
      <c r="E84">
        <f t="shared" si="8"/>
        <v>0.64500000000000002</v>
      </c>
      <c r="G84">
        <f t="shared" si="10"/>
        <v>85.580000000000013</v>
      </c>
      <c r="I84" s="28"/>
      <c r="K84" s="4" t="s">
        <v>132</v>
      </c>
      <c r="L84" s="16">
        <f>ROUND((DATA_DRAGONS_CONTENT!J14/DATA_DRAGONS_CONTENT!M14)/DATA_DRAGONS_CONTENT!L14,1)</f>
        <v>14.6</v>
      </c>
      <c r="M84" s="16">
        <f>ROUND((DATA_DRAGONS_CONTENT!K14/DATA_DRAGONS_CONTENT!M14)/DATA_DRAGONS_CONTENT!L14,1)</f>
        <v>15.9</v>
      </c>
      <c r="N84" s="34">
        <f t="shared" si="11"/>
        <v>1.3000000000000007</v>
      </c>
    </row>
    <row r="85" spans="3:14" x14ac:dyDescent="0.25">
      <c r="C85">
        <f t="shared" si="9"/>
        <v>17</v>
      </c>
      <c r="E85">
        <f t="shared" si="8"/>
        <v>0.65250000000000008</v>
      </c>
      <c r="G85">
        <f t="shared" si="10"/>
        <v>84.927500000000009</v>
      </c>
      <c r="I85" s="28"/>
      <c r="K85" s="4" t="s">
        <v>134</v>
      </c>
      <c r="L85" s="16">
        <f>ROUND((DATA_DRAGONS_CONTENT!J15/DATA_DRAGONS_CONTENT!M15)/DATA_DRAGONS_CONTENT!L15,1)</f>
        <v>15.2</v>
      </c>
      <c r="M85" s="16">
        <f>ROUND((DATA_DRAGONS_CONTENT!K15/DATA_DRAGONS_CONTENT!M15)/DATA_DRAGONS_CONTENT!L15,1)</f>
        <v>16.3</v>
      </c>
      <c r="N85" s="2">
        <f t="shared" si="11"/>
        <v>1.1000000000000014</v>
      </c>
    </row>
    <row r="86" spans="3:14" x14ac:dyDescent="0.25">
      <c r="C86">
        <f t="shared" si="9"/>
        <v>18</v>
      </c>
      <c r="E86">
        <f t="shared" si="8"/>
        <v>0.66</v>
      </c>
      <c r="G86">
        <f t="shared" si="10"/>
        <v>84.267500000000013</v>
      </c>
      <c r="I86" s="28"/>
      <c r="K86" s="4" t="s">
        <v>8015</v>
      </c>
      <c r="L86" s="16">
        <f>ROUND((DATA_DRAGONS_CONTENT!J16/DATA_DRAGONS_CONTENT!M16)/DATA_DRAGONS_CONTENT!L16,1)</f>
        <v>15.2</v>
      </c>
      <c r="M86" s="16">
        <f>ROUND((DATA_DRAGONS_CONTENT!K16/DATA_DRAGONS_CONTENT!M16)/DATA_DRAGONS_CONTENT!L16,1)</f>
        <v>16.3</v>
      </c>
      <c r="N86" s="2">
        <f t="shared" si="11"/>
        <v>1.1000000000000014</v>
      </c>
    </row>
    <row r="87" spans="3:14" ht="15.75" thickBot="1" x14ac:dyDescent="0.3">
      <c r="C87">
        <f t="shared" si="9"/>
        <v>19</v>
      </c>
      <c r="E87">
        <f t="shared" si="8"/>
        <v>0.66749999999999998</v>
      </c>
      <c r="G87">
        <f t="shared" si="10"/>
        <v>83.600000000000009</v>
      </c>
      <c r="I87" s="28"/>
    </row>
    <row r="88" spans="3:14" ht="16.5" thickTop="1" thickBot="1" x14ac:dyDescent="0.3">
      <c r="C88">
        <f t="shared" si="9"/>
        <v>20</v>
      </c>
      <c r="E88">
        <f t="shared" si="8"/>
        <v>0.67500000000000004</v>
      </c>
      <c r="G88">
        <f t="shared" si="10"/>
        <v>82.925000000000011</v>
      </c>
      <c r="I88" s="28"/>
      <c r="K88" s="33" t="s">
        <v>160</v>
      </c>
    </row>
    <row r="89" spans="3:14" ht="15.75" thickTop="1" x14ac:dyDescent="0.25">
      <c r="C89">
        <f t="shared" si="9"/>
        <v>21</v>
      </c>
      <c r="E89">
        <f t="shared" si="8"/>
        <v>0.6825</v>
      </c>
      <c r="G89">
        <f t="shared" si="10"/>
        <v>82.242500000000007</v>
      </c>
      <c r="I89" s="28"/>
    </row>
    <row r="90" spans="3:14" x14ac:dyDescent="0.25">
      <c r="C90">
        <f t="shared" si="9"/>
        <v>22</v>
      </c>
      <c r="E90">
        <f t="shared" si="8"/>
        <v>0.69</v>
      </c>
      <c r="G90">
        <f t="shared" si="10"/>
        <v>81.552500000000009</v>
      </c>
      <c r="I90" s="28"/>
    </row>
    <row r="91" spans="3:14" x14ac:dyDescent="0.25">
      <c r="C91">
        <f t="shared" si="9"/>
        <v>23</v>
      </c>
      <c r="E91">
        <f t="shared" si="8"/>
        <v>0.69750000000000001</v>
      </c>
      <c r="G91">
        <f t="shared" si="10"/>
        <v>80.855000000000004</v>
      </c>
      <c r="I91" s="28"/>
    </row>
    <row r="92" spans="3:14" x14ac:dyDescent="0.25">
      <c r="C92">
        <f t="shared" si="9"/>
        <v>24</v>
      </c>
      <c r="E92">
        <f t="shared" si="8"/>
        <v>0.70500000000000007</v>
      </c>
      <c r="G92">
        <f t="shared" si="10"/>
        <v>80.150000000000006</v>
      </c>
      <c r="I92" s="28"/>
    </row>
    <row r="93" spans="3:14" x14ac:dyDescent="0.25">
      <c r="C93">
        <f t="shared" si="9"/>
        <v>25</v>
      </c>
      <c r="E93">
        <f t="shared" si="8"/>
        <v>0.71250000000000002</v>
      </c>
      <c r="G93">
        <f t="shared" si="10"/>
        <v>79.4375</v>
      </c>
      <c r="I93" s="28"/>
    </row>
    <row r="94" spans="3:14" x14ac:dyDescent="0.25">
      <c r="C94">
        <f t="shared" si="9"/>
        <v>26</v>
      </c>
      <c r="E94">
        <f t="shared" si="8"/>
        <v>0.72</v>
      </c>
      <c r="G94">
        <f t="shared" si="10"/>
        <v>78.717500000000001</v>
      </c>
      <c r="I94" s="28"/>
    </row>
    <row r="95" spans="3:14" x14ac:dyDescent="0.25">
      <c r="C95">
        <f t="shared" si="9"/>
        <v>27</v>
      </c>
      <c r="E95">
        <f t="shared" si="8"/>
        <v>0.72750000000000004</v>
      </c>
      <c r="G95">
        <f t="shared" si="10"/>
        <v>77.989999999999995</v>
      </c>
      <c r="I95" s="28"/>
    </row>
    <row r="96" spans="3:14" x14ac:dyDescent="0.25">
      <c r="C96">
        <f t="shared" si="9"/>
        <v>28</v>
      </c>
      <c r="E96">
        <f t="shared" si="8"/>
        <v>0.73499999999999999</v>
      </c>
      <c r="G96">
        <f t="shared" si="10"/>
        <v>77.254999999999995</v>
      </c>
      <c r="I96" s="28"/>
    </row>
    <row r="97" spans="3:9" x14ac:dyDescent="0.25">
      <c r="C97">
        <f t="shared" si="9"/>
        <v>29</v>
      </c>
      <c r="E97">
        <f t="shared" si="8"/>
        <v>0.74250000000000005</v>
      </c>
      <c r="G97">
        <f t="shared" si="10"/>
        <v>76.512499999999989</v>
      </c>
      <c r="I97" s="28"/>
    </row>
    <row r="98" spans="3:9" x14ac:dyDescent="0.25">
      <c r="C98">
        <f t="shared" si="9"/>
        <v>30</v>
      </c>
      <c r="E98">
        <f t="shared" si="8"/>
        <v>0.75</v>
      </c>
      <c r="G98">
        <f t="shared" si="10"/>
        <v>75.762499999999989</v>
      </c>
      <c r="I98" s="28"/>
    </row>
    <row r="99" spans="3:9" x14ac:dyDescent="0.25">
      <c r="C99">
        <f t="shared" si="9"/>
        <v>31</v>
      </c>
      <c r="E99">
        <f t="shared" si="8"/>
        <v>1.2825</v>
      </c>
      <c r="G99">
        <f t="shared" si="10"/>
        <v>74.47999999999999</v>
      </c>
      <c r="I99" s="28"/>
    </row>
    <row r="100" spans="3:9" x14ac:dyDescent="0.25">
      <c r="C100">
        <f t="shared" si="9"/>
        <v>32</v>
      </c>
      <c r="E100">
        <f t="shared" si="8"/>
        <v>1.29</v>
      </c>
      <c r="G100">
        <f t="shared" si="10"/>
        <v>73.189999999999984</v>
      </c>
      <c r="I100" s="28"/>
    </row>
    <row r="101" spans="3:9" x14ac:dyDescent="0.25">
      <c r="C101">
        <f t="shared" si="9"/>
        <v>33</v>
      </c>
      <c r="E101">
        <f t="shared" si="8"/>
        <v>1.2975000000000001</v>
      </c>
      <c r="G101">
        <f t="shared" si="10"/>
        <v>71.892499999999984</v>
      </c>
      <c r="I101" s="28"/>
    </row>
    <row r="102" spans="3:9" x14ac:dyDescent="0.25">
      <c r="C102">
        <f t="shared" si="9"/>
        <v>34</v>
      </c>
      <c r="E102">
        <f t="shared" si="8"/>
        <v>1.3050000000000002</v>
      </c>
      <c r="G102">
        <f t="shared" si="10"/>
        <v>70.587499999999977</v>
      </c>
      <c r="I102" s="28"/>
    </row>
    <row r="103" spans="3:9" x14ac:dyDescent="0.25">
      <c r="C103">
        <f t="shared" si="9"/>
        <v>35</v>
      </c>
      <c r="E103">
        <f t="shared" si="8"/>
        <v>1.3125</v>
      </c>
      <c r="G103">
        <f t="shared" si="10"/>
        <v>69.274999999999977</v>
      </c>
      <c r="I103" s="28"/>
    </row>
    <row r="104" spans="3:9" x14ac:dyDescent="0.25">
      <c r="C104">
        <f t="shared" si="9"/>
        <v>36</v>
      </c>
      <c r="E104">
        <f t="shared" si="8"/>
        <v>1.32</v>
      </c>
      <c r="G104">
        <f t="shared" si="10"/>
        <v>67.954999999999984</v>
      </c>
      <c r="I104" s="28"/>
    </row>
    <row r="105" spans="3:9" x14ac:dyDescent="0.25">
      <c r="C105">
        <f t="shared" si="9"/>
        <v>37</v>
      </c>
      <c r="E105">
        <f t="shared" si="8"/>
        <v>1.3275000000000001</v>
      </c>
      <c r="G105">
        <f t="shared" si="10"/>
        <v>66.627499999999984</v>
      </c>
      <c r="I105" s="28"/>
    </row>
    <row r="106" spans="3:9" x14ac:dyDescent="0.25">
      <c r="C106">
        <f t="shared" si="9"/>
        <v>38</v>
      </c>
      <c r="E106">
        <f t="shared" si="8"/>
        <v>1.335</v>
      </c>
      <c r="G106">
        <f t="shared" si="10"/>
        <v>65.29249999999999</v>
      </c>
      <c r="I106" s="28"/>
    </row>
    <row r="107" spans="3:9" x14ac:dyDescent="0.25">
      <c r="C107">
        <f t="shared" si="9"/>
        <v>39</v>
      </c>
      <c r="E107">
        <f t="shared" si="8"/>
        <v>1.3425</v>
      </c>
      <c r="G107">
        <f t="shared" si="10"/>
        <v>63.949999999999989</v>
      </c>
      <c r="I107" s="28"/>
    </row>
    <row r="108" spans="3:9" x14ac:dyDescent="0.25">
      <c r="C108">
        <f t="shared" si="9"/>
        <v>40</v>
      </c>
      <c r="E108">
        <f t="shared" si="8"/>
        <v>1.35</v>
      </c>
      <c r="G108">
        <f t="shared" si="10"/>
        <v>62.599999999999987</v>
      </c>
      <c r="I108" s="28"/>
    </row>
    <row r="109" spans="3:9" x14ac:dyDescent="0.25">
      <c r="C109">
        <f t="shared" si="9"/>
        <v>41</v>
      </c>
      <c r="E109">
        <f t="shared" si="8"/>
        <v>1.3574999999999999</v>
      </c>
      <c r="G109">
        <f t="shared" si="10"/>
        <v>61.242499999999986</v>
      </c>
      <c r="I109" s="28"/>
    </row>
    <row r="110" spans="3:9" x14ac:dyDescent="0.25">
      <c r="C110">
        <f t="shared" si="9"/>
        <v>42</v>
      </c>
      <c r="E110">
        <f t="shared" si="8"/>
        <v>1.365</v>
      </c>
      <c r="G110">
        <f t="shared" si="10"/>
        <v>59.877499999999984</v>
      </c>
      <c r="I110" s="28"/>
    </row>
    <row r="111" spans="3:9" x14ac:dyDescent="0.25">
      <c r="C111">
        <f t="shared" si="9"/>
        <v>43</v>
      </c>
      <c r="E111">
        <f t="shared" si="8"/>
        <v>1.3725000000000001</v>
      </c>
      <c r="G111">
        <f t="shared" si="10"/>
        <v>58.504999999999981</v>
      </c>
      <c r="I111" s="28"/>
    </row>
    <row r="112" spans="3:9" x14ac:dyDescent="0.25">
      <c r="C112">
        <f t="shared" si="9"/>
        <v>44</v>
      </c>
      <c r="E112">
        <f t="shared" si="8"/>
        <v>1.38</v>
      </c>
      <c r="G112">
        <f t="shared" si="10"/>
        <v>57.124999999999979</v>
      </c>
      <c r="I112" s="28"/>
    </row>
    <row r="113" spans="3:22" x14ac:dyDescent="0.25">
      <c r="C113">
        <f t="shared" si="9"/>
        <v>45</v>
      </c>
      <c r="E113">
        <f t="shared" si="8"/>
        <v>1.3875</v>
      </c>
      <c r="G113">
        <f t="shared" si="10"/>
        <v>55.737499999999976</v>
      </c>
      <c r="I113" s="28"/>
    </row>
    <row r="114" spans="3:22" x14ac:dyDescent="0.25">
      <c r="C114">
        <f t="shared" si="9"/>
        <v>46</v>
      </c>
      <c r="E114">
        <f t="shared" si="8"/>
        <v>1.395</v>
      </c>
      <c r="G114">
        <f t="shared" si="10"/>
        <v>54.342499999999973</v>
      </c>
      <c r="I114" s="28"/>
    </row>
    <row r="115" spans="3:22" x14ac:dyDescent="0.25">
      <c r="C115">
        <f t="shared" si="9"/>
        <v>47</v>
      </c>
      <c r="E115">
        <f t="shared" si="8"/>
        <v>1.4025000000000001</v>
      </c>
      <c r="G115">
        <f t="shared" si="10"/>
        <v>52.939999999999969</v>
      </c>
      <c r="I115" s="28"/>
    </row>
    <row r="116" spans="3:22" x14ac:dyDescent="0.25">
      <c r="C116">
        <f t="shared" si="9"/>
        <v>48</v>
      </c>
      <c r="E116">
        <f t="shared" si="8"/>
        <v>1.4100000000000001</v>
      </c>
      <c r="G116">
        <f t="shared" si="10"/>
        <v>51.529999999999973</v>
      </c>
      <c r="I116" s="28"/>
    </row>
    <row r="117" spans="3:22" x14ac:dyDescent="0.25">
      <c r="C117">
        <f t="shared" si="9"/>
        <v>49</v>
      </c>
      <c r="E117">
        <f t="shared" si="8"/>
        <v>1.4175</v>
      </c>
      <c r="G117">
        <f t="shared" si="10"/>
        <v>50.112499999999976</v>
      </c>
      <c r="I117" s="28"/>
    </row>
    <row r="118" spans="3:22" x14ac:dyDescent="0.25">
      <c r="C118">
        <f t="shared" si="9"/>
        <v>50</v>
      </c>
      <c r="E118">
        <f t="shared" si="8"/>
        <v>1.425</v>
      </c>
      <c r="G118">
        <f t="shared" si="10"/>
        <v>48.687499999999979</v>
      </c>
      <c r="I118" s="28"/>
      <c r="O118" s="1" t="s">
        <v>2424</v>
      </c>
    </row>
    <row r="119" spans="3:22" x14ac:dyDescent="0.25">
      <c r="C119">
        <f>C118+1</f>
        <v>51</v>
      </c>
      <c r="E119">
        <f t="shared" si="8"/>
        <v>1.4325000000000001</v>
      </c>
      <c r="G119">
        <f t="shared" si="10"/>
        <v>47.254999999999981</v>
      </c>
      <c r="I119" s="28"/>
      <c r="L119" s="2" t="s">
        <v>2406</v>
      </c>
      <c r="M119" s="2" t="s">
        <v>3866</v>
      </c>
      <c r="N119" s="2" t="s">
        <v>3867</v>
      </c>
      <c r="O119" s="2" t="s">
        <v>3868</v>
      </c>
      <c r="P119" s="2" t="s">
        <v>164</v>
      </c>
      <c r="Q119" s="2" t="s">
        <v>2405</v>
      </c>
      <c r="S119" s="17" t="s">
        <v>177</v>
      </c>
      <c r="V119" s="1" t="s">
        <v>151</v>
      </c>
    </row>
    <row r="120" spans="3:22" x14ac:dyDescent="0.25">
      <c r="C120">
        <f>C119+1</f>
        <v>52</v>
      </c>
      <c r="E120">
        <f t="shared" si="8"/>
        <v>1.44</v>
      </c>
      <c r="G120">
        <f t="shared" si="10"/>
        <v>45.814999999999984</v>
      </c>
      <c r="I120" s="28"/>
      <c r="K120" s="3" t="s">
        <v>125</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ref="C121:C146" si="12">C120+1</f>
        <v>53</v>
      </c>
      <c r="E121">
        <f t="shared" si="8"/>
        <v>1.4475</v>
      </c>
      <c r="G121">
        <f t="shared" si="10"/>
        <v>44.367499999999986</v>
      </c>
      <c r="I121" s="28"/>
      <c r="K121" s="5" t="s">
        <v>126</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3">ROUND(O121/P121,1)</f>
        <v>0.5</v>
      </c>
      <c r="V121" s="34">
        <f t="shared" ref="V121:V131" si="14">N121-M121</f>
        <v>2.2000000000000028</v>
      </c>
    </row>
    <row r="122" spans="3:22" x14ac:dyDescent="0.25">
      <c r="C122">
        <f t="shared" si="12"/>
        <v>54</v>
      </c>
      <c r="E122">
        <f t="shared" si="8"/>
        <v>1.4550000000000001</v>
      </c>
      <c r="G122">
        <f t="shared" si="10"/>
        <v>42.912499999999987</v>
      </c>
      <c r="I122" s="28"/>
      <c r="K122" s="6" t="s">
        <v>128</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3"/>
        <v>0.4</v>
      </c>
      <c r="V122" s="34">
        <f t="shared" si="14"/>
        <v>3.7999999999999972</v>
      </c>
    </row>
    <row r="123" spans="3:22" x14ac:dyDescent="0.25">
      <c r="C123">
        <f t="shared" si="12"/>
        <v>55</v>
      </c>
      <c r="E123">
        <f t="shared" si="8"/>
        <v>1.4624999999999999</v>
      </c>
      <c r="G123">
        <f t="shared" si="10"/>
        <v>41.449999999999989</v>
      </c>
      <c r="I123" s="28"/>
      <c r="K123" s="7" t="s">
        <v>127</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4"/>
        <v>1</v>
      </c>
    </row>
    <row r="124" spans="3:22" x14ac:dyDescent="0.25">
      <c r="C124">
        <f t="shared" si="12"/>
        <v>56</v>
      </c>
      <c r="E124">
        <f t="shared" si="8"/>
        <v>1.47</v>
      </c>
      <c r="G124">
        <f t="shared" si="10"/>
        <v>39.97999999999999</v>
      </c>
      <c r="I124" s="28"/>
      <c r="K124" s="7" t="s">
        <v>130</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5">ROUND(O124/P124,1)</f>
        <v>1.1000000000000001</v>
      </c>
      <c r="V124" s="34">
        <f t="shared" si="14"/>
        <v>1.6000000000000014</v>
      </c>
    </row>
    <row r="125" spans="3:22" x14ac:dyDescent="0.25">
      <c r="C125">
        <f t="shared" si="12"/>
        <v>57</v>
      </c>
      <c r="E125">
        <f t="shared" si="8"/>
        <v>1.4775</v>
      </c>
      <c r="G125">
        <f t="shared" si="10"/>
        <v>38.502499999999991</v>
      </c>
      <c r="I125" s="28"/>
      <c r="K125" s="7" t="s">
        <v>129</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5"/>
        <v>0.3</v>
      </c>
      <c r="V125" s="34">
        <f t="shared" si="14"/>
        <v>2.0999999999999979</v>
      </c>
    </row>
    <row r="126" spans="3:22" x14ac:dyDescent="0.25">
      <c r="C126">
        <f t="shared" si="12"/>
        <v>58</v>
      </c>
      <c r="E126">
        <f t="shared" si="8"/>
        <v>1.4850000000000001</v>
      </c>
      <c r="G126">
        <f t="shared" si="10"/>
        <v>37.017499999999991</v>
      </c>
      <c r="I126" s="28"/>
      <c r="K126" s="9" t="s">
        <v>131</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4"/>
        <v>1.8000000000000007</v>
      </c>
    </row>
    <row r="127" spans="3:22" x14ac:dyDescent="0.25">
      <c r="C127">
        <f t="shared" si="12"/>
        <v>59</v>
      </c>
      <c r="E127">
        <f t="shared" si="8"/>
        <v>1.4925000000000002</v>
      </c>
      <c r="G127">
        <f t="shared" si="10"/>
        <v>35.524999999999991</v>
      </c>
      <c r="I127" s="28"/>
      <c r="K127" s="9" t="s">
        <v>133</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6">ROUND(O127/P127,1)</f>
        <v>0.9</v>
      </c>
      <c r="V127" s="34">
        <f t="shared" si="14"/>
        <v>1.3999999999999986</v>
      </c>
    </row>
    <row r="128" spans="3:22" x14ac:dyDescent="0.25">
      <c r="C128">
        <f t="shared" si="12"/>
        <v>60</v>
      </c>
      <c r="E128">
        <f t="shared" si="8"/>
        <v>1.5</v>
      </c>
      <c r="G128">
        <f t="shared" si="10"/>
        <v>34.024999999999991</v>
      </c>
      <c r="I128" s="28"/>
      <c r="K128" s="9" t="s">
        <v>2438</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17">ROUND(O128/P128,1)</f>
        <v>0.4</v>
      </c>
      <c r="V128" s="34">
        <f t="shared" si="14"/>
        <v>3</v>
      </c>
    </row>
    <row r="129" spans="3:23" x14ac:dyDescent="0.25">
      <c r="C129">
        <f t="shared" si="12"/>
        <v>61</v>
      </c>
      <c r="E129">
        <f t="shared" si="8"/>
        <v>1.5075000000000001</v>
      </c>
      <c r="G129">
        <f t="shared" si="10"/>
        <v>32.517499999999991</v>
      </c>
      <c r="I129" s="28"/>
      <c r="K129" s="4" t="s">
        <v>132</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4"/>
        <v>2.1999999999999993</v>
      </c>
    </row>
    <row r="130" spans="3:23" x14ac:dyDescent="0.25">
      <c r="C130">
        <f t="shared" si="12"/>
        <v>62</v>
      </c>
      <c r="E130">
        <f t="shared" si="8"/>
        <v>1.5150000000000001</v>
      </c>
      <c r="G130">
        <f t="shared" si="10"/>
        <v>31.002499999999991</v>
      </c>
      <c r="I130" s="28"/>
      <c r="K130" s="4" t="s">
        <v>134</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4"/>
        <v>2.2000000000000028</v>
      </c>
    </row>
    <row r="131" spans="3:23" x14ac:dyDescent="0.25">
      <c r="C131">
        <f t="shared" si="12"/>
        <v>63</v>
      </c>
      <c r="E131">
        <f t="shared" si="8"/>
        <v>1.5225</v>
      </c>
      <c r="G131">
        <f t="shared" si="10"/>
        <v>29.47999999999999</v>
      </c>
      <c r="I131" s="28"/>
      <c r="K131" s="4" t="s">
        <v>8015</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4"/>
        <v>2.2000000000000028</v>
      </c>
    </row>
    <row r="132" spans="3:23" x14ac:dyDescent="0.25">
      <c r="C132">
        <f t="shared" si="12"/>
        <v>64</v>
      </c>
      <c r="E132">
        <f t="shared" si="8"/>
        <v>1.53</v>
      </c>
      <c r="G132">
        <f t="shared" si="10"/>
        <v>27.949999999999989</v>
      </c>
      <c r="I132" s="28"/>
    </row>
    <row r="133" spans="3:23" x14ac:dyDescent="0.25">
      <c r="C133">
        <f t="shared" si="12"/>
        <v>65</v>
      </c>
      <c r="E133">
        <f t="shared" si="8"/>
        <v>1.5375000000000001</v>
      </c>
      <c r="G133">
        <f t="shared" si="10"/>
        <v>26.412499999999987</v>
      </c>
      <c r="I133" s="28"/>
      <c r="L133" s="1" t="s">
        <v>2388</v>
      </c>
      <c r="N133" s="1" t="s">
        <v>3871</v>
      </c>
      <c r="O133" s="1" t="s">
        <v>2399</v>
      </c>
      <c r="Q133" s="1" t="s">
        <v>2403</v>
      </c>
      <c r="S133" s="1" t="s">
        <v>2404</v>
      </c>
      <c r="U133" s="65" t="s">
        <v>2391</v>
      </c>
      <c r="V133" s="84"/>
      <c r="W133" s="85"/>
    </row>
    <row r="134" spans="3:23" x14ac:dyDescent="0.25">
      <c r="C134">
        <f t="shared" si="12"/>
        <v>66</v>
      </c>
      <c r="E134">
        <f t="shared" ref="E134:E197" si="18">IF(C134&gt;$C$18,$C$16+(C134*$C$17),(($C$16)*$C$19)+(C134*$C$17))</f>
        <v>1.5449999999999999</v>
      </c>
      <c r="G134">
        <f t="shared" si="10"/>
        <v>24.867499999999986</v>
      </c>
      <c r="I134" s="28"/>
      <c r="K134" s="3" t="s">
        <v>125</v>
      </c>
      <c r="L134" t="s">
        <v>2390</v>
      </c>
      <c r="N134" t="s">
        <v>2390</v>
      </c>
      <c r="O134" t="s">
        <v>2390</v>
      </c>
      <c r="Q134" s="10">
        <f t="shared" ref="Q134:Q145" si="19">ROUND(Q120/O120,0)</f>
        <v>40</v>
      </c>
      <c r="S134" s="10">
        <f t="shared" ref="S134:S145" si="20">ROUND(Q120/P120,0)</f>
        <v>28</v>
      </c>
      <c r="U134" s="113"/>
      <c r="V134" s="23" t="s">
        <v>2394</v>
      </c>
      <c r="W134" s="87"/>
    </row>
    <row r="135" spans="3:23" x14ac:dyDescent="0.25">
      <c r="C135">
        <f t="shared" si="12"/>
        <v>67</v>
      </c>
      <c r="E135">
        <f t="shared" si="18"/>
        <v>1.5525</v>
      </c>
      <c r="G135">
        <f t="shared" ref="G135:G198" si="21">G134-E135</f>
        <v>23.314999999999987</v>
      </c>
      <c r="I135" s="28"/>
      <c r="K135" s="5" t="s">
        <v>126</v>
      </c>
      <c r="L135" t="s">
        <v>2390</v>
      </c>
      <c r="N135" t="s">
        <v>2390</v>
      </c>
      <c r="O135" s="112" t="s">
        <v>588</v>
      </c>
      <c r="Q135" s="11">
        <f t="shared" si="19"/>
        <v>20</v>
      </c>
      <c r="S135" s="11">
        <f t="shared" si="20"/>
        <v>10</v>
      </c>
      <c r="T135" s="1"/>
      <c r="U135" s="86"/>
      <c r="V135" s="23" t="s">
        <v>2393</v>
      </c>
      <c r="W135" s="87"/>
    </row>
    <row r="136" spans="3:23" x14ac:dyDescent="0.25">
      <c r="C136">
        <f t="shared" si="12"/>
        <v>68</v>
      </c>
      <c r="E136">
        <f t="shared" si="18"/>
        <v>1.56</v>
      </c>
      <c r="G136">
        <f t="shared" si="21"/>
        <v>21.754999999999988</v>
      </c>
      <c r="I136" s="28"/>
      <c r="K136" s="6" t="s">
        <v>128</v>
      </c>
      <c r="L136" t="s">
        <v>2389</v>
      </c>
      <c r="N136" t="s">
        <v>2390</v>
      </c>
      <c r="O136" s="112" t="s">
        <v>588</v>
      </c>
      <c r="Q136" s="12">
        <f t="shared" si="19"/>
        <v>40</v>
      </c>
      <c r="S136" s="12">
        <f t="shared" si="20"/>
        <v>14</v>
      </c>
      <c r="U136" s="86"/>
      <c r="V136" s="23" t="s">
        <v>2392</v>
      </c>
      <c r="W136" s="87"/>
    </row>
    <row r="137" spans="3:23" x14ac:dyDescent="0.25">
      <c r="C137">
        <f t="shared" si="12"/>
        <v>69</v>
      </c>
      <c r="E137">
        <f t="shared" si="18"/>
        <v>1.5674999999999999</v>
      </c>
      <c r="G137">
        <f t="shared" si="21"/>
        <v>20.187499999999989</v>
      </c>
      <c r="I137" s="28"/>
      <c r="K137" s="7" t="s">
        <v>127</v>
      </c>
      <c r="L137" t="s">
        <v>588</v>
      </c>
      <c r="N137" t="s">
        <v>2389</v>
      </c>
      <c r="O137" s="112" t="s">
        <v>2390</v>
      </c>
      <c r="Q137" s="13">
        <f t="shared" si="19"/>
        <v>18</v>
      </c>
      <c r="S137" s="13">
        <f t="shared" si="20"/>
        <v>22</v>
      </c>
      <c r="U137" s="86"/>
      <c r="V137" s="23"/>
      <c r="W137" s="87"/>
    </row>
    <row r="138" spans="3:23" x14ac:dyDescent="0.25">
      <c r="C138">
        <f t="shared" si="12"/>
        <v>70</v>
      </c>
      <c r="E138">
        <f t="shared" si="18"/>
        <v>1.5750000000000002</v>
      </c>
      <c r="G138">
        <f t="shared" si="21"/>
        <v>18.61249999999999</v>
      </c>
      <c r="I138" s="28"/>
      <c r="K138" s="7" t="s">
        <v>130</v>
      </c>
      <c r="L138" t="s">
        <v>588</v>
      </c>
      <c r="N138" t="s">
        <v>2390</v>
      </c>
      <c r="O138" s="112" t="s">
        <v>2389</v>
      </c>
      <c r="Q138" s="13">
        <f t="shared" si="19"/>
        <v>31</v>
      </c>
      <c r="S138" s="13">
        <f t="shared" si="20"/>
        <v>34</v>
      </c>
      <c r="U138" s="113" t="s">
        <v>3872</v>
      </c>
      <c r="V138" s="23"/>
      <c r="W138" s="87"/>
    </row>
    <row r="139" spans="3:23" x14ac:dyDescent="0.25">
      <c r="C139">
        <f t="shared" si="12"/>
        <v>71</v>
      </c>
      <c r="E139">
        <f t="shared" si="18"/>
        <v>1.5825</v>
      </c>
      <c r="G139">
        <f t="shared" si="21"/>
        <v>17.02999999999999</v>
      </c>
      <c r="I139" s="28"/>
      <c r="K139" s="7" t="s">
        <v>129</v>
      </c>
      <c r="L139" t="s">
        <v>2389</v>
      </c>
      <c r="N139" t="s">
        <v>588</v>
      </c>
      <c r="O139" s="112" t="s">
        <v>588</v>
      </c>
      <c r="Q139" s="13">
        <f t="shared" si="19"/>
        <v>50</v>
      </c>
      <c r="S139" s="13">
        <f t="shared" si="20"/>
        <v>14</v>
      </c>
      <c r="U139" s="86"/>
      <c r="V139" s="23" t="s">
        <v>2395</v>
      </c>
      <c r="W139" s="87"/>
    </row>
    <row r="140" spans="3:23" x14ac:dyDescent="0.25">
      <c r="C140">
        <f t="shared" si="12"/>
        <v>72</v>
      </c>
      <c r="E140">
        <f t="shared" si="18"/>
        <v>1.59</v>
      </c>
      <c r="G140">
        <f t="shared" si="21"/>
        <v>15.439999999999991</v>
      </c>
      <c r="I140" s="28"/>
      <c r="K140" s="9" t="s">
        <v>131</v>
      </c>
      <c r="L140" t="s">
        <v>2390</v>
      </c>
      <c r="N140" t="s">
        <v>2390</v>
      </c>
      <c r="O140" s="112" t="s">
        <v>2390</v>
      </c>
      <c r="Q140" s="15">
        <f t="shared" si="19"/>
        <v>29</v>
      </c>
      <c r="S140" s="15">
        <f t="shared" si="20"/>
        <v>17</v>
      </c>
      <c r="U140" s="86"/>
      <c r="V140" s="23" t="s">
        <v>2396</v>
      </c>
      <c r="W140" s="87"/>
    </row>
    <row r="141" spans="3:23" x14ac:dyDescent="0.25">
      <c r="C141">
        <f t="shared" si="12"/>
        <v>73</v>
      </c>
      <c r="E141">
        <f t="shared" si="18"/>
        <v>1.5975000000000001</v>
      </c>
      <c r="G141">
        <f t="shared" si="21"/>
        <v>13.84249999999999</v>
      </c>
      <c r="I141" s="28"/>
      <c r="K141" s="9" t="s">
        <v>133</v>
      </c>
      <c r="L141" t="s">
        <v>588</v>
      </c>
      <c r="N141" t="s">
        <v>2390</v>
      </c>
      <c r="O141" s="112" t="s">
        <v>2390</v>
      </c>
      <c r="Q141" s="15">
        <f t="shared" si="19"/>
        <v>20</v>
      </c>
      <c r="S141" s="15">
        <f t="shared" si="20"/>
        <v>18</v>
      </c>
      <c r="U141" s="86"/>
      <c r="V141" s="23" t="s">
        <v>2397</v>
      </c>
      <c r="W141" s="87"/>
    </row>
    <row r="142" spans="3:23" x14ac:dyDescent="0.25">
      <c r="C142">
        <f t="shared" si="12"/>
        <v>74</v>
      </c>
      <c r="E142">
        <f t="shared" si="18"/>
        <v>1.605</v>
      </c>
      <c r="G142">
        <f t="shared" si="21"/>
        <v>12.23749999999999</v>
      </c>
      <c r="I142" s="28"/>
      <c r="K142" s="9" t="s">
        <v>2438</v>
      </c>
      <c r="L142" t="s">
        <v>2390</v>
      </c>
      <c r="N142" t="s">
        <v>2390</v>
      </c>
      <c r="O142" s="112" t="s">
        <v>588</v>
      </c>
      <c r="Q142" s="15">
        <f t="shared" si="19"/>
        <v>40</v>
      </c>
      <c r="S142" s="15">
        <f t="shared" si="20"/>
        <v>14</v>
      </c>
      <c r="U142" s="86"/>
      <c r="V142" s="23"/>
      <c r="W142" s="87"/>
    </row>
    <row r="143" spans="3:23" x14ac:dyDescent="0.25">
      <c r="C143">
        <f t="shared" si="12"/>
        <v>75</v>
      </c>
      <c r="E143">
        <f t="shared" si="18"/>
        <v>1.6125</v>
      </c>
      <c r="G143">
        <f t="shared" si="21"/>
        <v>10.624999999999989</v>
      </c>
      <c r="I143" s="28"/>
      <c r="K143" s="4" t="s">
        <v>132</v>
      </c>
      <c r="L143" t="s">
        <v>2390</v>
      </c>
      <c r="N143" t="s">
        <v>588</v>
      </c>
      <c r="O143" s="112" t="s">
        <v>2389</v>
      </c>
      <c r="Q143" s="16">
        <f t="shared" si="19"/>
        <v>50</v>
      </c>
      <c r="S143" s="16">
        <f t="shared" si="20"/>
        <v>34</v>
      </c>
      <c r="U143" s="113" t="s">
        <v>2398</v>
      </c>
      <c r="V143" s="23"/>
      <c r="W143" s="87"/>
    </row>
    <row r="144" spans="3:23" x14ac:dyDescent="0.25">
      <c r="C144">
        <f t="shared" si="12"/>
        <v>76</v>
      </c>
      <c r="E144">
        <f t="shared" si="18"/>
        <v>1.62</v>
      </c>
      <c r="G144">
        <f t="shared" si="21"/>
        <v>9.0049999999999883</v>
      </c>
      <c r="I144" s="28"/>
      <c r="K144" s="4" t="s">
        <v>134</v>
      </c>
      <c r="L144" t="s">
        <v>2390</v>
      </c>
      <c r="N144" t="s">
        <v>2389</v>
      </c>
      <c r="O144" s="112" t="s">
        <v>588</v>
      </c>
      <c r="Q144" s="16">
        <f t="shared" si="19"/>
        <v>19</v>
      </c>
      <c r="S144" s="16">
        <f t="shared" si="20"/>
        <v>12</v>
      </c>
      <c r="U144" s="86"/>
      <c r="V144" s="23" t="s">
        <v>2400</v>
      </c>
      <c r="W144" s="87"/>
    </row>
    <row r="145" spans="3:23" x14ac:dyDescent="0.25">
      <c r="C145">
        <f t="shared" si="12"/>
        <v>77</v>
      </c>
      <c r="E145">
        <f t="shared" si="18"/>
        <v>1.6274999999999999</v>
      </c>
      <c r="G145">
        <f t="shared" si="21"/>
        <v>7.3774999999999888</v>
      </c>
      <c r="I145" s="28"/>
      <c r="K145" s="4" t="s">
        <v>8015</v>
      </c>
      <c r="L145" t="s">
        <v>2390</v>
      </c>
      <c r="N145" t="s">
        <v>2389</v>
      </c>
      <c r="O145" s="112" t="s">
        <v>2390</v>
      </c>
      <c r="Q145" s="16">
        <f t="shared" si="19"/>
        <v>19</v>
      </c>
      <c r="S145" s="16">
        <f t="shared" si="20"/>
        <v>19</v>
      </c>
      <c r="U145" s="86"/>
      <c r="V145" s="23" t="s">
        <v>2401</v>
      </c>
      <c r="W145" s="87"/>
    </row>
    <row r="146" spans="3:23" ht="15.75" thickBot="1" x14ac:dyDescent="0.3">
      <c r="C146">
        <f t="shared" si="12"/>
        <v>78</v>
      </c>
      <c r="E146">
        <f t="shared" si="18"/>
        <v>1.635</v>
      </c>
      <c r="G146">
        <f t="shared" si="21"/>
        <v>5.7424999999999891</v>
      </c>
      <c r="I146" s="28"/>
      <c r="U146" s="88"/>
      <c r="V146" s="89" t="s">
        <v>2402</v>
      </c>
      <c r="W146" s="90"/>
    </row>
    <row r="147" spans="3:23" ht="16.5" thickTop="1" thickBot="1" x14ac:dyDescent="0.3">
      <c r="C147">
        <f>C146+1</f>
        <v>79</v>
      </c>
      <c r="E147">
        <f t="shared" si="18"/>
        <v>1.6425000000000001</v>
      </c>
      <c r="G147">
        <f t="shared" si="21"/>
        <v>4.099999999999989</v>
      </c>
      <c r="I147" s="28"/>
      <c r="K147" s="33" t="s">
        <v>2720</v>
      </c>
    </row>
    <row r="148" spans="3:23" ht="15.75" thickTop="1" x14ac:dyDescent="0.25">
      <c r="C148">
        <f>C147+1</f>
        <v>80</v>
      </c>
      <c r="E148">
        <f t="shared" si="18"/>
        <v>1.65</v>
      </c>
      <c r="G148">
        <f t="shared" si="21"/>
        <v>2.4499999999999891</v>
      </c>
      <c r="I148" s="28"/>
      <c r="K148" s="1"/>
      <c r="M148" s="1"/>
    </row>
    <row r="149" spans="3:23" x14ac:dyDescent="0.25">
      <c r="C149">
        <f t="shared" ref="C149:C179" si="22">C148+1</f>
        <v>81</v>
      </c>
      <c r="E149">
        <f t="shared" si="18"/>
        <v>1.6575</v>
      </c>
      <c r="G149">
        <f t="shared" si="21"/>
        <v>0.7924999999999891</v>
      </c>
      <c r="I149" s="28"/>
    </row>
    <row r="150" spans="3:23" x14ac:dyDescent="0.25">
      <c r="C150">
        <f t="shared" si="22"/>
        <v>82</v>
      </c>
      <c r="E150">
        <f t="shared" si="18"/>
        <v>1.665</v>
      </c>
      <c r="G150">
        <f t="shared" si="21"/>
        <v>-0.87250000000001093</v>
      </c>
      <c r="I150" s="28"/>
    </row>
    <row r="151" spans="3:23" x14ac:dyDescent="0.25">
      <c r="C151">
        <f t="shared" si="22"/>
        <v>83</v>
      </c>
      <c r="E151">
        <f t="shared" si="18"/>
        <v>1.6724999999999999</v>
      </c>
      <c r="G151">
        <f t="shared" si="21"/>
        <v>-2.5450000000000106</v>
      </c>
      <c r="I151" s="28"/>
    </row>
    <row r="152" spans="3:23" x14ac:dyDescent="0.25">
      <c r="C152">
        <f t="shared" si="22"/>
        <v>84</v>
      </c>
      <c r="E152">
        <f t="shared" si="18"/>
        <v>1.6800000000000002</v>
      </c>
      <c r="G152">
        <f t="shared" si="21"/>
        <v>-4.2250000000000103</v>
      </c>
      <c r="I152" s="28"/>
    </row>
    <row r="153" spans="3:23" x14ac:dyDescent="0.25">
      <c r="C153">
        <f t="shared" si="22"/>
        <v>85</v>
      </c>
      <c r="E153">
        <f t="shared" si="18"/>
        <v>1.6875</v>
      </c>
      <c r="G153">
        <f t="shared" si="21"/>
        <v>-5.9125000000000103</v>
      </c>
      <c r="I153" s="28"/>
    </row>
    <row r="154" spans="3:23" x14ac:dyDescent="0.25">
      <c r="C154">
        <f t="shared" si="22"/>
        <v>86</v>
      </c>
      <c r="E154">
        <f t="shared" si="18"/>
        <v>1.6950000000000001</v>
      </c>
      <c r="G154">
        <f t="shared" si="21"/>
        <v>-7.6075000000000106</v>
      </c>
      <c r="I154" s="28"/>
    </row>
    <row r="155" spans="3:23" x14ac:dyDescent="0.25">
      <c r="C155">
        <f t="shared" si="22"/>
        <v>87</v>
      </c>
      <c r="E155">
        <f t="shared" si="18"/>
        <v>1.7025000000000001</v>
      </c>
      <c r="G155">
        <f t="shared" si="21"/>
        <v>-9.3100000000000112</v>
      </c>
      <c r="I155" s="28"/>
    </row>
    <row r="156" spans="3:23" x14ac:dyDescent="0.25">
      <c r="C156">
        <f t="shared" si="22"/>
        <v>88</v>
      </c>
      <c r="E156">
        <f t="shared" si="18"/>
        <v>1.71</v>
      </c>
      <c r="G156">
        <f t="shared" si="21"/>
        <v>-11.02000000000001</v>
      </c>
      <c r="I156" s="28"/>
    </row>
    <row r="157" spans="3:23" x14ac:dyDescent="0.25">
      <c r="C157">
        <f t="shared" si="22"/>
        <v>89</v>
      </c>
      <c r="E157">
        <f t="shared" si="18"/>
        <v>1.7175</v>
      </c>
      <c r="G157">
        <f t="shared" si="21"/>
        <v>-12.73750000000001</v>
      </c>
      <c r="I157" s="28"/>
    </row>
    <row r="158" spans="3:23" x14ac:dyDescent="0.25">
      <c r="C158">
        <f t="shared" si="22"/>
        <v>90</v>
      </c>
      <c r="E158">
        <f t="shared" si="18"/>
        <v>1.7250000000000001</v>
      </c>
      <c r="G158">
        <f t="shared" si="21"/>
        <v>-14.462500000000009</v>
      </c>
      <c r="I158" s="28"/>
    </row>
    <row r="159" spans="3:23" x14ac:dyDescent="0.25">
      <c r="C159">
        <f t="shared" si="22"/>
        <v>91</v>
      </c>
      <c r="E159">
        <f t="shared" si="18"/>
        <v>1.7324999999999999</v>
      </c>
      <c r="G159">
        <f t="shared" si="21"/>
        <v>-16.195000000000007</v>
      </c>
      <c r="I159" s="28"/>
    </row>
    <row r="160" spans="3:23" x14ac:dyDescent="0.25">
      <c r="C160">
        <f t="shared" si="22"/>
        <v>92</v>
      </c>
      <c r="E160">
        <f t="shared" si="18"/>
        <v>1.74</v>
      </c>
      <c r="G160">
        <f t="shared" si="21"/>
        <v>-17.935000000000006</v>
      </c>
      <c r="I160" s="28"/>
    </row>
    <row r="161" spans="3:13" x14ac:dyDescent="0.25">
      <c r="C161">
        <f t="shared" si="22"/>
        <v>93</v>
      </c>
      <c r="E161">
        <f t="shared" si="18"/>
        <v>1.7475000000000001</v>
      </c>
      <c r="G161">
        <f t="shared" si="21"/>
        <v>-19.682500000000005</v>
      </c>
      <c r="I161" s="28"/>
    </row>
    <row r="162" spans="3:13" x14ac:dyDescent="0.25">
      <c r="C162">
        <f t="shared" si="22"/>
        <v>94</v>
      </c>
      <c r="E162">
        <f t="shared" si="18"/>
        <v>1.7549999999999999</v>
      </c>
      <c r="G162">
        <f t="shared" si="21"/>
        <v>-21.437500000000004</v>
      </c>
      <c r="I162" s="28"/>
    </row>
    <row r="163" spans="3:13" x14ac:dyDescent="0.25">
      <c r="C163">
        <f t="shared" si="22"/>
        <v>95</v>
      </c>
      <c r="E163">
        <f t="shared" si="18"/>
        <v>1.7625000000000002</v>
      </c>
      <c r="G163">
        <f t="shared" si="21"/>
        <v>-23.200000000000003</v>
      </c>
      <c r="I163" s="28"/>
    </row>
    <row r="164" spans="3:13" x14ac:dyDescent="0.25">
      <c r="C164">
        <f t="shared" si="22"/>
        <v>96</v>
      </c>
      <c r="E164">
        <f t="shared" si="18"/>
        <v>1.77</v>
      </c>
      <c r="G164">
        <f t="shared" si="21"/>
        <v>-24.970000000000002</v>
      </c>
      <c r="I164" s="28"/>
    </row>
    <row r="165" spans="3:13" x14ac:dyDescent="0.25">
      <c r="C165">
        <f t="shared" si="22"/>
        <v>97</v>
      </c>
      <c r="E165">
        <f t="shared" si="18"/>
        <v>1.7774999999999999</v>
      </c>
      <c r="G165">
        <f t="shared" si="21"/>
        <v>-26.747500000000002</v>
      </c>
      <c r="I165" s="28"/>
    </row>
    <row r="166" spans="3:13" x14ac:dyDescent="0.25">
      <c r="C166">
        <f t="shared" si="22"/>
        <v>98</v>
      </c>
      <c r="E166">
        <f t="shared" si="18"/>
        <v>1.7850000000000001</v>
      </c>
      <c r="G166">
        <f t="shared" si="21"/>
        <v>-28.532500000000002</v>
      </c>
      <c r="I166" s="28"/>
    </row>
    <row r="167" spans="3:13" x14ac:dyDescent="0.25">
      <c r="C167">
        <f t="shared" si="22"/>
        <v>99</v>
      </c>
      <c r="E167">
        <f t="shared" si="18"/>
        <v>1.7925</v>
      </c>
      <c r="G167">
        <f t="shared" si="21"/>
        <v>-30.325000000000003</v>
      </c>
      <c r="I167" s="28"/>
      <c r="L167" s="1" t="s">
        <v>2721</v>
      </c>
      <c r="M167" s="1" t="s">
        <v>2722</v>
      </c>
    </row>
    <row r="168" spans="3:13" x14ac:dyDescent="0.25">
      <c r="C168">
        <f t="shared" si="22"/>
        <v>100</v>
      </c>
      <c r="E168">
        <f t="shared" si="18"/>
        <v>1.8</v>
      </c>
      <c r="G168">
        <f t="shared" si="21"/>
        <v>-32.125</v>
      </c>
      <c r="I168" s="28"/>
      <c r="K168" s="3" t="s">
        <v>125</v>
      </c>
      <c r="L168" s="10">
        <v>8.9</v>
      </c>
      <c r="M168" s="10">
        <v>16.100000000000001</v>
      </c>
    </row>
    <row r="169" spans="3:13" x14ac:dyDescent="0.25">
      <c r="C169">
        <f t="shared" si="22"/>
        <v>101</v>
      </c>
      <c r="E169">
        <f t="shared" si="18"/>
        <v>1.8075000000000001</v>
      </c>
      <c r="G169">
        <f t="shared" si="21"/>
        <v>-33.932499999999997</v>
      </c>
      <c r="I169" s="28"/>
      <c r="K169" s="5" t="s">
        <v>126</v>
      </c>
      <c r="L169" s="11">
        <v>10.1</v>
      </c>
      <c r="M169" s="11">
        <v>19.8</v>
      </c>
    </row>
    <row r="170" spans="3:13" x14ac:dyDescent="0.25">
      <c r="C170">
        <f t="shared" si="22"/>
        <v>102</v>
      </c>
      <c r="E170">
        <f t="shared" si="18"/>
        <v>1.8149999999999999</v>
      </c>
      <c r="G170">
        <f t="shared" si="21"/>
        <v>-35.747499999999995</v>
      </c>
      <c r="I170" s="28"/>
      <c r="K170" s="6" t="s">
        <v>128</v>
      </c>
      <c r="L170" s="12">
        <v>12.4</v>
      </c>
      <c r="M170" s="12">
        <v>19.600000000000001</v>
      </c>
    </row>
    <row r="171" spans="3:13" x14ac:dyDescent="0.25">
      <c r="C171">
        <f t="shared" si="22"/>
        <v>103</v>
      </c>
      <c r="E171">
        <f t="shared" si="18"/>
        <v>1.8225</v>
      </c>
      <c r="G171">
        <f t="shared" si="21"/>
        <v>-37.569999999999993</v>
      </c>
      <c r="I171" s="28"/>
      <c r="K171" s="7" t="s">
        <v>127</v>
      </c>
      <c r="L171" s="13">
        <v>21.7</v>
      </c>
      <c r="M171" s="13">
        <v>27.9</v>
      </c>
    </row>
    <row r="172" spans="3:13" x14ac:dyDescent="0.25">
      <c r="C172">
        <f t="shared" si="22"/>
        <v>104</v>
      </c>
      <c r="E172">
        <f t="shared" si="18"/>
        <v>1.83</v>
      </c>
      <c r="G172">
        <f t="shared" si="21"/>
        <v>-39.399999999999991</v>
      </c>
      <c r="I172" s="28"/>
      <c r="K172" s="7" t="s">
        <v>130</v>
      </c>
      <c r="L172" s="13">
        <v>19.8</v>
      </c>
      <c r="M172" s="13">
        <v>27.1</v>
      </c>
    </row>
    <row r="173" spans="3:13" x14ac:dyDescent="0.25">
      <c r="C173">
        <f t="shared" si="22"/>
        <v>105</v>
      </c>
      <c r="E173">
        <f t="shared" si="18"/>
        <v>1.8374999999999999</v>
      </c>
      <c r="G173">
        <f t="shared" si="21"/>
        <v>-41.23749999999999</v>
      </c>
      <c r="I173" s="28"/>
      <c r="K173" s="7" t="s">
        <v>129</v>
      </c>
      <c r="L173" s="13">
        <v>19.899999999999999</v>
      </c>
      <c r="M173" s="13">
        <v>27.6</v>
      </c>
    </row>
    <row r="174" spans="3:13" x14ac:dyDescent="0.25">
      <c r="C174">
        <f t="shared" si="22"/>
        <v>106</v>
      </c>
      <c r="E174">
        <f t="shared" si="18"/>
        <v>1.845</v>
      </c>
      <c r="G174">
        <f t="shared" si="21"/>
        <v>-43.082499999999989</v>
      </c>
      <c r="I174" s="28"/>
      <c r="K174" s="9" t="s">
        <v>131</v>
      </c>
      <c r="L174" s="15">
        <v>30.6</v>
      </c>
      <c r="M174" s="15">
        <v>38.6</v>
      </c>
    </row>
    <row r="175" spans="3:13" x14ac:dyDescent="0.25">
      <c r="C175">
        <f t="shared" si="22"/>
        <v>107</v>
      </c>
      <c r="E175">
        <f t="shared" si="18"/>
        <v>1.8525</v>
      </c>
      <c r="G175">
        <f t="shared" si="21"/>
        <v>-44.934999999999988</v>
      </c>
      <c r="I175" s="28"/>
      <c r="K175" s="9" t="s">
        <v>133</v>
      </c>
      <c r="L175" s="15">
        <v>30.2</v>
      </c>
      <c r="M175" s="15">
        <v>36.700000000000003</v>
      </c>
    </row>
    <row r="176" spans="3:13" x14ac:dyDescent="0.25">
      <c r="C176">
        <f t="shared" si="22"/>
        <v>108</v>
      </c>
      <c r="E176">
        <f t="shared" si="18"/>
        <v>1.8599999999999999</v>
      </c>
      <c r="G176">
        <f t="shared" si="21"/>
        <v>-46.794999999999987</v>
      </c>
      <c r="I176" s="28"/>
      <c r="K176" s="9" t="s">
        <v>2438</v>
      </c>
      <c r="L176" s="15">
        <v>29.4</v>
      </c>
      <c r="M176" s="15">
        <v>38.299999999999997</v>
      </c>
    </row>
    <row r="177" spans="3:15" x14ac:dyDescent="0.25">
      <c r="C177">
        <f t="shared" si="22"/>
        <v>109</v>
      </c>
      <c r="E177">
        <f t="shared" si="18"/>
        <v>1.8675000000000002</v>
      </c>
      <c r="G177">
        <f t="shared" si="21"/>
        <v>-48.662499999999987</v>
      </c>
      <c r="I177" s="28"/>
      <c r="K177" s="4" t="s">
        <v>132</v>
      </c>
      <c r="L177" s="16">
        <v>39.200000000000003</v>
      </c>
      <c r="M177" s="16">
        <v>47.2</v>
      </c>
    </row>
    <row r="178" spans="3:15" x14ac:dyDescent="0.25">
      <c r="C178">
        <f t="shared" si="22"/>
        <v>110</v>
      </c>
      <c r="E178">
        <f t="shared" si="18"/>
        <v>1.875</v>
      </c>
      <c r="G178">
        <f t="shared" si="21"/>
        <v>-50.537499999999987</v>
      </c>
      <c r="I178" s="28"/>
      <c r="K178" s="4" t="s">
        <v>134</v>
      </c>
      <c r="L178" s="16">
        <v>38.700000000000003</v>
      </c>
      <c r="M178" s="16">
        <v>51.2</v>
      </c>
      <c r="N178" s="164"/>
    </row>
    <row r="179" spans="3:15" x14ac:dyDescent="0.25">
      <c r="C179">
        <f t="shared" si="22"/>
        <v>111</v>
      </c>
      <c r="E179">
        <f t="shared" si="18"/>
        <v>1.8825000000000001</v>
      </c>
      <c r="G179">
        <f t="shared" si="21"/>
        <v>-52.419999999999987</v>
      </c>
      <c r="I179" s="28"/>
      <c r="K179" s="4" t="s">
        <v>8015</v>
      </c>
      <c r="L179" s="16">
        <v>38.700000000000003</v>
      </c>
      <c r="M179" s="16">
        <v>51.2</v>
      </c>
      <c r="O179" s="82"/>
    </row>
    <row r="180" spans="3:15" ht="15.75" thickBot="1" x14ac:dyDescent="0.3">
      <c r="C180">
        <f>C179+1</f>
        <v>112</v>
      </c>
      <c r="E180">
        <f t="shared" si="18"/>
        <v>1.8900000000000001</v>
      </c>
      <c r="G180">
        <f t="shared" si="21"/>
        <v>-54.309999999999988</v>
      </c>
      <c r="I180" s="28"/>
    </row>
    <row r="181" spans="3:15" ht="16.5" thickTop="1" thickBot="1" x14ac:dyDescent="0.3">
      <c r="C181">
        <f>C180+1</f>
        <v>113</v>
      </c>
      <c r="E181">
        <f t="shared" si="18"/>
        <v>1.8975</v>
      </c>
      <c r="G181">
        <f t="shared" si="21"/>
        <v>-56.207499999999989</v>
      </c>
      <c r="I181" s="28"/>
      <c r="K181" s="33" t="s">
        <v>2723</v>
      </c>
    </row>
    <row r="182" spans="3:15" ht="15.75" thickTop="1" x14ac:dyDescent="0.25">
      <c r="C182">
        <f t="shared" ref="C182:C245" si="23">C181+1</f>
        <v>114</v>
      </c>
      <c r="E182">
        <f t="shared" si="18"/>
        <v>1.905</v>
      </c>
      <c r="G182">
        <f t="shared" si="21"/>
        <v>-58.11249999999999</v>
      </c>
      <c r="I182" s="28"/>
    </row>
    <row r="183" spans="3:15" x14ac:dyDescent="0.25">
      <c r="C183">
        <f t="shared" si="23"/>
        <v>115</v>
      </c>
      <c r="E183">
        <f t="shared" si="18"/>
        <v>1.9125000000000001</v>
      </c>
      <c r="G183">
        <f t="shared" si="21"/>
        <v>-60.024999999999991</v>
      </c>
      <c r="I183" s="28"/>
    </row>
    <row r="184" spans="3:15" x14ac:dyDescent="0.25">
      <c r="C184">
        <f t="shared" si="23"/>
        <v>116</v>
      </c>
      <c r="E184">
        <f t="shared" si="18"/>
        <v>1.92</v>
      </c>
      <c r="G184">
        <f t="shared" si="21"/>
        <v>-61.944999999999993</v>
      </c>
      <c r="I184" s="28"/>
    </row>
    <row r="185" spans="3:15" x14ac:dyDescent="0.25">
      <c r="C185">
        <f t="shared" si="23"/>
        <v>117</v>
      </c>
      <c r="E185">
        <f t="shared" si="18"/>
        <v>1.9275</v>
      </c>
      <c r="G185">
        <f t="shared" si="21"/>
        <v>-63.872499999999995</v>
      </c>
      <c r="I185" s="28"/>
    </row>
    <row r="186" spans="3:15" x14ac:dyDescent="0.25">
      <c r="C186">
        <f t="shared" si="23"/>
        <v>118</v>
      </c>
      <c r="E186">
        <f t="shared" si="18"/>
        <v>1.9350000000000001</v>
      </c>
      <c r="G186">
        <f t="shared" si="21"/>
        <v>-65.80749999999999</v>
      </c>
      <c r="I186" s="28"/>
    </row>
    <row r="187" spans="3:15" x14ac:dyDescent="0.25">
      <c r="C187">
        <f t="shared" si="23"/>
        <v>119</v>
      </c>
      <c r="E187">
        <f t="shared" si="18"/>
        <v>1.9424999999999999</v>
      </c>
      <c r="G187">
        <f t="shared" si="21"/>
        <v>-67.749999999999986</v>
      </c>
      <c r="I187" s="28"/>
    </row>
    <row r="188" spans="3:15" x14ac:dyDescent="0.25">
      <c r="C188">
        <f t="shared" si="23"/>
        <v>120</v>
      </c>
      <c r="E188">
        <f t="shared" si="18"/>
        <v>1.95</v>
      </c>
      <c r="G188">
        <f t="shared" si="21"/>
        <v>-69.699999999999989</v>
      </c>
      <c r="I188" s="28"/>
    </row>
    <row r="189" spans="3:15" x14ac:dyDescent="0.25">
      <c r="C189">
        <f t="shared" si="23"/>
        <v>121</v>
      </c>
      <c r="E189">
        <f t="shared" si="18"/>
        <v>1.9575</v>
      </c>
      <c r="G189">
        <f t="shared" si="21"/>
        <v>-71.657499999999985</v>
      </c>
      <c r="I189" s="28"/>
    </row>
    <row r="190" spans="3:15" x14ac:dyDescent="0.25">
      <c r="C190">
        <f t="shared" si="23"/>
        <v>122</v>
      </c>
      <c r="E190">
        <f t="shared" si="18"/>
        <v>1.9649999999999999</v>
      </c>
      <c r="G190">
        <f t="shared" si="21"/>
        <v>-73.622499999999988</v>
      </c>
      <c r="I190" s="28"/>
    </row>
    <row r="191" spans="3:15" x14ac:dyDescent="0.25">
      <c r="C191">
        <f t="shared" si="23"/>
        <v>123</v>
      </c>
      <c r="E191">
        <f t="shared" si="18"/>
        <v>1.9725000000000001</v>
      </c>
      <c r="G191">
        <f t="shared" si="21"/>
        <v>-75.594999999999985</v>
      </c>
      <c r="I191" s="28"/>
    </row>
    <row r="192" spans="3:15" x14ac:dyDescent="0.25">
      <c r="C192">
        <f t="shared" si="23"/>
        <v>124</v>
      </c>
      <c r="E192">
        <f t="shared" si="18"/>
        <v>1.98</v>
      </c>
      <c r="G192">
        <f t="shared" si="21"/>
        <v>-77.574999999999989</v>
      </c>
      <c r="I192" s="28"/>
    </row>
    <row r="193" spans="3:14" x14ac:dyDescent="0.25">
      <c r="C193">
        <f t="shared" si="23"/>
        <v>125</v>
      </c>
      <c r="E193">
        <f t="shared" si="18"/>
        <v>1.9875</v>
      </c>
      <c r="G193">
        <f t="shared" si="21"/>
        <v>-79.562499999999986</v>
      </c>
      <c r="I193" s="28"/>
    </row>
    <row r="194" spans="3:14" x14ac:dyDescent="0.25">
      <c r="C194">
        <f t="shared" si="23"/>
        <v>126</v>
      </c>
      <c r="E194">
        <f t="shared" si="18"/>
        <v>1.9950000000000001</v>
      </c>
      <c r="G194">
        <f t="shared" si="21"/>
        <v>-81.55749999999999</v>
      </c>
      <c r="I194" s="28"/>
    </row>
    <row r="195" spans="3:14" x14ac:dyDescent="0.25">
      <c r="C195">
        <f t="shared" si="23"/>
        <v>127</v>
      </c>
      <c r="E195">
        <f t="shared" si="18"/>
        <v>2.0024999999999999</v>
      </c>
      <c r="G195">
        <f t="shared" si="21"/>
        <v>-83.559999999999988</v>
      </c>
      <c r="I195" s="28"/>
    </row>
    <row r="196" spans="3:14" x14ac:dyDescent="0.25">
      <c r="C196">
        <f t="shared" si="23"/>
        <v>128</v>
      </c>
      <c r="E196">
        <f t="shared" si="18"/>
        <v>2.0099999999999998</v>
      </c>
      <c r="G196">
        <f t="shared" si="21"/>
        <v>-85.57</v>
      </c>
      <c r="I196" s="28"/>
    </row>
    <row r="197" spans="3:14" x14ac:dyDescent="0.25">
      <c r="C197">
        <f t="shared" si="23"/>
        <v>129</v>
      </c>
      <c r="E197">
        <f t="shared" si="18"/>
        <v>2.0175000000000001</v>
      </c>
      <c r="G197">
        <f t="shared" si="21"/>
        <v>-87.587499999999991</v>
      </c>
      <c r="I197" s="28"/>
    </row>
    <row r="198" spans="3:14" x14ac:dyDescent="0.25">
      <c r="C198">
        <f t="shared" si="23"/>
        <v>130</v>
      </c>
      <c r="E198">
        <f t="shared" ref="E198:E261" si="24">IF(C198&gt;$C$18,$C$16+(C198*$C$17),(($C$16)*$C$19)+(C198*$C$17))</f>
        <v>2.0249999999999999</v>
      </c>
      <c r="G198">
        <f t="shared" si="21"/>
        <v>-89.612499999999997</v>
      </c>
      <c r="I198" s="28"/>
    </row>
    <row r="199" spans="3:14" x14ac:dyDescent="0.25">
      <c r="C199">
        <f t="shared" si="23"/>
        <v>131</v>
      </c>
      <c r="E199">
        <f t="shared" si="24"/>
        <v>2.0324999999999998</v>
      </c>
      <c r="G199">
        <f t="shared" ref="G199:G262" si="25">G198-E199</f>
        <v>-91.644999999999996</v>
      </c>
      <c r="I199" s="28"/>
      <c r="L199" s="1" t="s">
        <v>2721</v>
      </c>
      <c r="M199" s="1" t="s">
        <v>2722</v>
      </c>
      <c r="N199" t="s">
        <v>3873</v>
      </c>
    </row>
    <row r="200" spans="3:14" x14ac:dyDescent="0.25">
      <c r="C200">
        <f t="shared" si="23"/>
        <v>132</v>
      </c>
      <c r="E200">
        <f t="shared" si="24"/>
        <v>2.04</v>
      </c>
      <c r="G200">
        <f t="shared" si="25"/>
        <v>-93.685000000000002</v>
      </c>
      <c r="I200" s="28"/>
      <c r="K200" s="3" t="s">
        <v>125</v>
      </c>
      <c r="L200" s="10">
        <v>18.3</v>
      </c>
      <c r="M200" s="10">
        <v>31.8</v>
      </c>
      <c r="N200">
        <v>95</v>
      </c>
    </row>
    <row r="201" spans="3:14" x14ac:dyDescent="0.25">
      <c r="C201">
        <f t="shared" si="23"/>
        <v>133</v>
      </c>
      <c r="E201">
        <f t="shared" si="24"/>
        <v>2.0474999999999999</v>
      </c>
      <c r="G201">
        <f t="shared" si="25"/>
        <v>-95.732500000000002</v>
      </c>
      <c r="I201" s="28"/>
      <c r="K201" s="5" t="s">
        <v>126</v>
      </c>
      <c r="L201" s="11">
        <v>20.7</v>
      </c>
      <c r="M201" s="11">
        <v>61.5</v>
      </c>
      <c r="N201">
        <v>143.1</v>
      </c>
    </row>
    <row r="202" spans="3:14" x14ac:dyDescent="0.25">
      <c r="C202">
        <f t="shared" si="23"/>
        <v>134</v>
      </c>
      <c r="E202">
        <f t="shared" si="24"/>
        <v>2.0549999999999997</v>
      </c>
      <c r="G202">
        <f t="shared" si="25"/>
        <v>-97.787499999999994</v>
      </c>
      <c r="I202" s="28"/>
      <c r="K202" s="6" t="s">
        <v>128</v>
      </c>
      <c r="L202" s="12">
        <v>28.1</v>
      </c>
      <c r="M202" s="12">
        <v>101.1</v>
      </c>
      <c r="N202">
        <v>141</v>
      </c>
    </row>
    <row r="203" spans="3:14" x14ac:dyDescent="0.25">
      <c r="C203">
        <f t="shared" si="23"/>
        <v>135</v>
      </c>
      <c r="E203">
        <f t="shared" si="24"/>
        <v>2.0625</v>
      </c>
      <c r="G203">
        <f t="shared" si="25"/>
        <v>-99.85</v>
      </c>
      <c r="I203" s="28"/>
      <c r="K203" s="6" t="s">
        <v>127</v>
      </c>
      <c r="L203" s="12">
        <v>22.2</v>
      </c>
      <c r="M203" s="12">
        <v>52.1</v>
      </c>
      <c r="N203">
        <v>205</v>
      </c>
    </row>
    <row r="204" spans="3:14" x14ac:dyDescent="0.25">
      <c r="C204">
        <f t="shared" si="23"/>
        <v>136</v>
      </c>
      <c r="E204">
        <f t="shared" si="24"/>
        <v>2.0700000000000003</v>
      </c>
      <c r="G204">
        <f t="shared" si="25"/>
        <v>-101.91999999999999</v>
      </c>
      <c r="I204" s="28"/>
      <c r="K204" s="7" t="s">
        <v>130</v>
      </c>
      <c r="L204" s="13">
        <v>32.6</v>
      </c>
      <c r="M204" s="13">
        <v>83.6</v>
      </c>
      <c r="N204">
        <v>204.2</v>
      </c>
    </row>
    <row r="205" spans="3:14" x14ac:dyDescent="0.25">
      <c r="C205">
        <f t="shared" si="23"/>
        <v>137</v>
      </c>
      <c r="E205">
        <f t="shared" si="24"/>
        <v>2.0774999999999997</v>
      </c>
      <c r="G205">
        <f t="shared" si="25"/>
        <v>-103.99749999999999</v>
      </c>
      <c r="I205" s="28"/>
      <c r="K205" s="7" t="s">
        <v>129</v>
      </c>
      <c r="L205" s="13">
        <v>33.6</v>
      </c>
      <c r="M205" s="13">
        <v>135.1</v>
      </c>
      <c r="N205">
        <v>199.8</v>
      </c>
    </row>
    <row r="206" spans="3:14" x14ac:dyDescent="0.25">
      <c r="C206">
        <f t="shared" si="23"/>
        <v>138</v>
      </c>
      <c r="E206">
        <f t="shared" si="24"/>
        <v>2.085</v>
      </c>
      <c r="G206">
        <f t="shared" si="25"/>
        <v>-106.08249999999998</v>
      </c>
      <c r="I206" s="28"/>
      <c r="K206" s="8" t="s">
        <v>131</v>
      </c>
      <c r="L206" s="14">
        <v>29.8</v>
      </c>
      <c r="M206" s="14">
        <v>133.80000000000001</v>
      </c>
      <c r="N206">
        <v>199.9</v>
      </c>
    </row>
    <row r="207" spans="3:14" x14ac:dyDescent="0.25">
      <c r="C207">
        <f t="shared" si="23"/>
        <v>139</v>
      </c>
      <c r="E207">
        <f t="shared" si="24"/>
        <v>2.0925000000000002</v>
      </c>
      <c r="G207">
        <f t="shared" si="25"/>
        <v>-108.17499999999998</v>
      </c>
      <c r="I207" s="28"/>
      <c r="K207" s="9" t="s">
        <v>133</v>
      </c>
      <c r="L207" s="15">
        <v>36.9</v>
      </c>
      <c r="M207" s="15">
        <v>183.6</v>
      </c>
      <c r="N207">
        <v>205</v>
      </c>
    </row>
    <row r="208" spans="3:14" x14ac:dyDescent="0.25">
      <c r="C208">
        <f t="shared" si="23"/>
        <v>140</v>
      </c>
      <c r="E208">
        <f t="shared" si="24"/>
        <v>2.1</v>
      </c>
      <c r="G208">
        <f t="shared" si="25"/>
        <v>-110.27499999999998</v>
      </c>
      <c r="I208" s="28"/>
      <c r="K208" s="9" t="s">
        <v>2438</v>
      </c>
      <c r="L208" s="15">
        <v>40.299999999999997</v>
      </c>
      <c r="M208" s="15">
        <v>177.5</v>
      </c>
      <c r="N208">
        <v>205</v>
      </c>
    </row>
    <row r="209" spans="3:14" x14ac:dyDescent="0.25">
      <c r="C209">
        <f t="shared" si="23"/>
        <v>141</v>
      </c>
      <c r="E209">
        <f t="shared" si="24"/>
        <v>2.1074999999999999</v>
      </c>
      <c r="G209">
        <f t="shared" si="25"/>
        <v>-112.38249999999998</v>
      </c>
      <c r="I209" s="28"/>
      <c r="K209" s="9" t="s">
        <v>132</v>
      </c>
      <c r="L209" s="15">
        <v>38</v>
      </c>
      <c r="M209" s="15">
        <v>163.30000000000001</v>
      </c>
      <c r="N209">
        <v>205</v>
      </c>
    </row>
    <row r="210" spans="3:14" x14ac:dyDescent="0.25">
      <c r="C210">
        <f t="shared" si="23"/>
        <v>142</v>
      </c>
      <c r="E210">
        <f t="shared" si="24"/>
        <v>2.1150000000000002</v>
      </c>
      <c r="G210">
        <f t="shared" si="25"/>
        <v>-114.49749999999997</v>
      </c>
      <c r="I210" s="28"/>
      <c r="K210" s="4" t="s">
        <v>134</v>
      </c>
      <c r="L210" s="16">
        <v>38.4</v>
      </c>
      <c r="M210" s="16">
        <v>204.3</v>
      </c>
      <c r="N210">
        <v>205</v>
      </c>
    </row>
    <row r="211" spans="3:14" x14ac:dyDescent="0.25">
      <c r="C211">
        <f t="shared" si="23"/>
        <v>143</v>
      </c>
      <c r="E211">
        <f t="shared" si="24"/>
        <v>2.1225000000000001</v>
      </c>
      <c r="G211">
        <f t="shared" si="25"/>
        <v>-116.61999999999998</v>
      </c>
      <c r="I211" s="28"/>
      <c r="K211" s="4" t="s">
        <v>8015</v>
      </c>
      <c r="L211" s="16">
        <v>38.4</v>
      </c>
      <c r="M211" s="16">
        <v>204.3</v>
      </c>
      <c r="N211">
        <v>205</v>
      </c>
    </row>
    <row r="212" spans="3:14" x14ac:dyDescent="0.25">
      <c r="C212">
        <f t="shared" si="23"/>
        <v>144</v>
      </c>
      <c r="E212">
        <f t="shared" si="24"/>
        <v>2.13</v>
      </c>
      <c r="G212">
        <f t="shared" si="25"/>
        <v>-118.74999999999997</v>
      </c>
      <c r="I212" s="28"/>
    </row>
    <row r="213" spans="3:14" x14ac:dyDescent="0.25">
      <c r="C213">
        <f t="shared" si="23"/>
        <v>145</v>
      </c>
      <c r="E213">
        <f t="shared" si="24"/>
        <v>2.1375000000000002</v>
      </c>
      <c r="G213">
        <f t="shared" si="25"/>
        <v>-120.88749999999997</v>
      </c>
      <c r="I213" s="28"/>
    </row>
    <row r="214" spans="3:14" x14ac:dyDescent="0.25">
      <c r="C214">
        <f t="shared" si="23"/>
        <v>146</v>
      </c>
      <c r="E214">
        <f t="shared" si="24"/>
        <v>2.145</v>
      </c>
      <c r="G214">
        <f t="shared" si="25"/>
        <v>-123.03249999999997</v>
      </c>
      <c r="I214" s="28"/>
    </row>
    <row r="215" spans="3:14" x14ac:dyDescent="0.25">
      <c r="C215">
        <f t="shared" si="23"/>
        <v>147</v>
      </c>
      <c r="E215">
        <f t="shared" si="24"/>
        <v>2.1524999999999999</v>
      </c>
      <c r="G215">
        <f t="shared" si="25"/>
        <v>-125.18499999999997</v>
      </c>
      <c r="I215" s="28"/>
    </row>
    <row r="216" spans="3:14" x14ac:dyDescent="0.25">
      <c r="C216">
        <f t="shared" si="23"/>
        <v>148</v>
      </c>
      <c r="E216">
        <f t="shared" si="24"/>
        <v>2.16</v>
      </c>
      <c r="G216">
        <f t="shared" si="25"/>
        <v>-127.34499999999997</v>
      </c>
      <c r="I216" s="28"/>
    </row>
    <row r="217" spans="3:14" x14ac:dyDescent="0.25">
      <c r="C217">
        <f t="shared" si="23"/>
        <v>149</v>
      </c>
      <c r="E217">
        <f t="shared" si="24"/>
        <v>2.1675</v>
      </c>
      <c r="G217">
        <f t="shared" si="25"/>
        <v>-129.51249999999996</v>
      </c>
      <c r="I217" s="28"/>
    </row>
    <row r="218" spans="3:14" x14ac:dyDescent="0.25">
      <c r="C218">
        <f t="shared" si="23"/>
        <v>150</v>
      </c>
      <c r="E218">
        <f t="shared" si="24"/>
        <v>2.1749999999999998</v>
      </c>
      <c r="G218">
        <f t="shared" si="25"/>
        <v>-131.68749999999997</v>
      </c>
      <c r="I218" s="28"/>
    </row>
    <row r="219" spans="3:14" x14ac:dyDescent="0.25">
      <c r="C219">
        <f t="shared" si="23"/>
        <v>151</v>
      </c>
      <c r="E219">
        <f t="shared" si="24"/>
        <v>2.1825000000000001</v>
      </c>
      <c r="G219">
        <f t="shared" si="25"/>
        <v>-133.86999999999998</v>
      </c>
      <c r="I219" s="28"/>
    </row>
    <row r="220" spans="3:14" x14ac:dyDescent="0.25">
      <c r="C220">
        <f t="shared" si="23"/>
        <v>152</v>
      </c>
      <c r="E220">
        <f t="shared" si="24"/>
        <v>2.19</v>
      </c>
      <c r="G220">
        <f t="shared" si="25"/>
        <v>-136.05999999999997</v>
      </c>
      <c r="I220" s="28"/>
    </row>
    <row r="221" spans="3:14" x14ac:dyDescent="0.25">
      <c r="C221">
        <f t="shared" si="23"/>
        <v>153</v>
      </c>
      <c r="E221">
        <f t="shared" si="24"/>
        <v>2.1974999999999998</v>
      </c>
      <c r="G221">
        <f t="shared" si="25"/>
        <v>-138.25749999999996</v>
      </c>
      <c r="I221" s="28"/>
    </row>
    <row r="222" spans="3:14" x14ac:dyDescent="0.25">
      <c r="C222">
        <f t="shared" si="23"/>
        <v>154</v>
      </c>
      <c r="E222">
        <f t="shared" si="24"/>
        <v>2.2050000000000001</v>
      </c>
      <c r="G222">
        <f t="shared" si="25"/>
        <v>-140.46249999999998</v>
      </c>
      <c r="I222" s="28"/>
    </row>
    <row r="223" spans="3:14" x14ac:dyDescent="0.25">
      <c r="C223">
        <f t="shared" si="23"/>
        <v>155</v>
      </c>
      <c r="E223">
        <f t="shared" si="24"/>
        <v>2.2124999999999999</v>
      </c>
      <c r="G223">
        <f t="shared" si="25"/>
        <v>-142.67499999999998</v>
      </c>
      <c r="I223" s="28"/>
    </row>
    <row r="224" spans="3:14" x14ac:dyDescent="0.25">
      <c r="C224">
        <f t="shared" si="23"/>
        <v>156</v>
      </c>
      <c r="E224">
        <f t="shared" si="24"/>
        <v>2.2199999999999998</v>
      </c>
      <c r="G224">
        <f t="shared" si="25"/>
        <v>-144.89499999999998</v>
      </c>
      <c r="I224" s="28"/>
    </row>
    <row r="225" spans="3:9" x14ac:dyDescent="0.25">
      <c r="C225">
        <f t="shared" si="23"/>
        <v>157</v>
      </c>
      <c r="E225">
        <f t="shared" si="24"/>
        <v>2.2275</v>
      </c>
      <c r="G225">
        <f t="shared" si="25"/>
        <v>-147.12249999999997</v>
      </c>
      <c r="I225" s="28"/>
    </row>
    <row r="226" spans="3:9" x14ac:dyDescent="0.25">
      <c r="C226">
        <f t="shared" si="23"/>
        <v>158</v>
      </c>
      <c r="E226">
        <f t="shared" si="24"/>
        <v>2.2350000000000003</v>
      </c>
      <c r="G226">
        <f t="shared" si="25"/>
        <v>-149.35749999999999</v>
      </c>
      <c r="I226" s="28"/>
    </row>
    <row r="227" spans="3:9" x14ac:dyDescent="0.25">
      <c r="C227">
        <f t="shared" si="23"/>
        <v>159</v>
      </c>
      <c r="E227">
        <f t="shared" si="24"/>
        <v>2.2424999999999997</v>
      </c>
      <c r="G227">
        <f t="shared" si="25"/>
        <v>-151.6</v>
      </c>
      <c r="I227" s="28"/>
    </row>
    <row r="228" spans="3:9" x14ac:dyDescent="0.25">
      <c r="C228">
        <f t="shared" si="23"/>
        <v>160</v>
      </c>
      <c r="E228">
        <f t="shared" si="24"/>
        <v>2.25</v>
      </c>
      <c r="G228">
        <f t="shared" si="25"/>
        <v>-153.85</v>
      </c>
      <c r="I228" s="28"/>
    </row>
    <row r="229" spans="3:9" x14ac:dyDescent="0.25">
      <c r="C229">
        <f t="shared" si="23"/>
        <v>161</v>
      </c>
      <c r="E229">
        <f t="shared" si="24"/>
        <v>2.2575000000000003</v>
      </c>
      <c r="G229">
        <f t="shared" si="25"/>
        <v>-156.10749999999999</v>
      </c>
      <c r="I229" s="28"/>
    </row>
    <row r="230" spans="3:9" x14ac:dyDescent="0.25">
      <c r="C230">
        <f t="shared" si="23"/>
        <v>162</v>
      </c>
      <c r="E230">
        <f t="shared" si="24"/>
        <v>2.2649999999999997</v>
      </c>
      <c r="G230">
        <f t="shared" si="25"/>
        <v>-158.37249999999997</v>
      </c>
      <c r="I230" s="28"/>
    </row>
    <row r="231" spans="3:9" x14ac:dyDescent="0.25">
      <c r="C231">
        <f t="shared" si="23"/>
        <v>163</v>
      </c>
      <c r="E231">
        <f t="shared" si="24"/>
        <v>2.2725</v>
      </c>
      <c r="G231">
        <f t="shared" si="25"/>
        <v>-160.64499999999998</v>
      </c>
      <c r="I231" s="28"/>
    </row>
    <row r="232" spans="3:9" x14ac:dyDescent="0.25">
      <c r="C232">
        <f t="shared" si="23"/>
        <v>164</v>
      </c>
      <c r="E232">
        <f t="shared" si="24"/>
        <v>2.2800000000000002</v>
      </c>
      <c r="G232">
        <f t="shared" si="25"/>
        <v>-162.92499999999998</v>
      </c>
      <c r="I232" s="28"/>
    </row>
    <row r="233" spans="3:9" x14ac:dyDescent="0.25">
      <c r="C233">
        <f t="shared" si="23"/>
        <v>165</v>
      </c>
      <c r="E233">
        <f t="shared" si="24"/>
        <v>2.2875000000000001</v>
      </c>
      <c r="G233">
        <f t="shared" si="25"/>
        <v>-165.21249999999998</v>
      </c>
      <c r="I233" s="28"/>
    </row>
    <row r="234" spans="3:9" x14ac:dyDescent="0.25">
      <c r="C234">
        <f t="shared" si="23"/>
        <v>166</v>
      </c>
      <c r="E234">
        <f t="shared" si="24"/>
        <v>2.2949999999999999</v>
      </c>
      <c r="G234">
        <f t="shared" si="25"/>
        <v>-167.50749999999996</v>
      </c>
      <c r="I234" s="28"/>
    </row>
    <row r="235" spans="3:9" x14ac:dyDescent="0.25">
      <c r="C235">
        <f t="shared" si="23"/>
        <v>167</v>
      </c>
      <c r="E235">
        <f t="shared" si="24"/>
        <v>2.3025000000000002</v>
      </c>
      <c r="G235">
        <f t="shared" si="25"/>
        <v>-169.80999999999997</v>
      </c>
      <c r="I235" s="28"/>
    </row>
    <row r="236" spans="3:9" x14ac:dyDescent="0.25">
      <c r="C236">
        <f t="shared" si="23"/>
        <v>168</v>
      </c>
      <c r="E236">
        <f t="shared" si="24"/>
        <v>2.31</v>
      </c>
      <c r="G236">
        <f t="shared" si="25"/>
        <v>-172.11999999999998</v>
      </c>
      <c r="I236" s="28"/>
    </row>
    <row r="237" spans="3:9" x14ac:dyDescent="0.25">
      <c r="C237">
        <f t="shared" si="23"/>
        <v>169</v>
      </c>
      <c r="E237">
        <f t="shared" si="24"/>
        <v>2.3174999999999999</v>
      </c>
      <c r="G237">
        <f t="shared" si="25"/>
        <v>-174.43749999999997</v>
      </c>
      <c r="I237" s="28"/>
    </row>
    <row r="238" spans="3:9" x14ac:dyDescent="0.25">
      <c r="C238">
        <f t="shared" si="23"/>
        <v>170</v>
      </c>
      <c r="E238">
        <f t="shared" si="24"/>
        <v>2.3250000000000002</v>
      </c>
      <c r="G238">
        <f t="shared" si="25"/>
        <v>-176.76249999999996</v>
      </c>
      <c r="I238" s="28"/>
    </row>
    <row r="239" spans="3:9" x14ac:dyDescent="0.25">
      <c r="C239">
        <f t="shared" si="23"/>
        <v>171</v>
      </c>
      <c r="E239">
        <f t="shared" si="24"/>
        <v>2.3325</v>
      </c>
      <c r="G239">
        <f t="shared" si="25"/>
        <v>-179.09499999999997</v>
      </c>
      <c r="I239" s="28"/>
    </row>
    <row r="240" spans="3:9" x14ac:dyDescent="0.25">
      <c r="C240">
        <f t="shared" si="23"/>
        <v>172</v>
      </c>
      <c r="E240">
        <f t="shared" si="24"/>
        <v>2.34</v>
      </c>
      <c r="G240">
        <f t="shared" si="25"/>
        <v>-181.43499999999997</v>
      </c>
      <c r="I240" s="28"/>
    </row>
    <row r="241" spans="3:9" x14ac:dyDescent="0.25">
      <c r="C241">
        <f t="shared" si="23"/>
        <v>173</v>
      </c>
      <c r="E241">
        <f t="shared" si="24"/>
        <v>2.3475000000000001</v>
      </c>
      <c r="G241">
        <f t="shared" si="25"/>
        <v>-183.78249999999997</v>
      </c>
      <c r="I241" s="28"/>
    </row>
    <row r="242" spans="3:9" x14ac:dyDescent="0.25">
      <c r="C242">
        <f t="shared" si="23"/>
        <v>174</v>
      </c>
      <c r="E242">
        <f t="shared" si="24"/>
        <v>2.355</v>
      </c>
      <c r="G242">
        <f t="shared" si="25"/>
        <v>-186.13749999999996</v>
      </c>
      <c r="I242" s="28"/>
    </row>
    <row r="243" spans="3:9" x14ac:dyDescent="0.25">
      <c r="C243">
        <f t="shared" si="23"/>
        <v>175</v>
      </c>
      <c r="E243">
        <f t="shared" si="24"/>
        <v>2.3624999999999998</v>
      </c>
      <c r="G243">
        <f t="shared" si="25"/>
        <v>-188.49999999999997</v>
      </c>
      <c r="I243" s="28"/>
    </row>
    <row r="244" spans="3:9" x14ac:dyDescent="0.25">
      <c r="C244">
        <f t="shared" si="23"/>
        <v>176</v>
      </c>
      <c r="E244">
        <f t="shared" si="24"/>
        <v>2.37</v>
      </c>
      <c r="G244">
        <f t="shared" si="25"/>
        <v>-190.86999999999998</v>
      </c>
      <c r="I244" s="28"/>
    </row>
    <row r="245" spans="3:9" x14ac:dyDescent="0.25">
      <c r="C245">
        <f t="shared" si="23"/>
        <v>177</v>
      </c>
      <c r="E245">
        <f t="shared" si="24"/>
        <v>2.3774999999999999</v>
      </c>
      <c r="G245">
        <f t="shared" si="25"/>
        <v>-193.24749999999997</v>
      </c>
      <c r="I245" s="28"/>
    </row>
    <row r="246" spans="3:9" x14ac:dyDescent="0.25">
      <c r="C246">
        <f t="shared" ref="C246:C309" si="26">C245+1</f>
        <v>178</v>
      </c>
      <c r="E246">
        <f t="shared" si="24"/>
        <v>2.3849999999999998</v>
      </c>
      <c r="G246">
        <f t="shared" si="25"/>
        <v>-195.63249999999996</v>
      </c>
      <c r="I246" s="28"/>
    </row>
    <row r="247" spans="3:9" x14ac:dyDescent="0.25">
      <c r="C247">
        <f t="shared" si="26"/>
        <v>179</v>
      </c>
      <c r="E247">
        <f t="shared" si="24"/>
        <v>2.3925000000000001</v>
      </c>
      <c r="G247">
        <f t="shared" si="25"/>
        <v>-198.02499999999998</v>
      </c>
      <c r="I247" s="28"/>
    </row>
    <row r="248" spans="3:9" x14ac:dyDescent="0.25">
      <c r="C248">
        <f t="shared" si="26"/>
        <v>180</v>
      </c>
      <c r="E248">
        <f t="shared" si="24"/>
        <v>2.4</v>
      </c>
      <c r="G248">
        <f t="shared" si="25"/>
        <v>-200.42499999999998</v>
      </c>
      <c r="I248" s="28"/>
    </row>
    <row r="249" spans="3:9" x14ac:dyDescent="0.25">
      <c r="C249">
        <f t="shared" si="26"/>
        <v>181</v>
      </c>
      <c r="E249">
        <f t="shared" si="24"/>
        <v>2.4074999999999998</v>
      </c>
      <c r="G249">
        <f t="shared" si="25"/>
        <v>-202.83249999999998</v>
      </c>
      <c r="I249" s="28"/>
    </row>
    <row r="250" spans="3:9" x14ac:dyDescent="0.25">
      <c r="C250">
        <f t="shared" si="26"/>
        <v>182</v>
      </c>
      <c r="E250">
        <f t="shared" si="24"/>
        <v>2.415</v>
      </c>
      <c r="G250">
        <f t="shared" si="25"/>
        <v>-205.24749999999997</v>
      </c>
      <c r="I250" s="28"/>
    </row>
    <row r="251" spans="3:9" x14ac:dyDescent="0.25">
      <c r="C251">
        <f t="shared" si="26"/>
        <v>183</v>
      </c>
      <c r="E251">
        <f t="shared" si="24"/>
        <v>2.4225000000000003</v>
      </c>
      <c r="G251">
        <f t="shared" si="25"/>
        <v>-207.67</v>
      </c>
      <c r="I251" s="28"/>
    </row>
    <row r="252" spans="3:9" x14ac:dyDescent="0.25">
      <c r="C252">
        <f t="shared" si="26"/>
        <v>184</v>
      </c>
      <c r="E252">
        <f t="shared" si="24"/>
        <v>2.4299999999999997</v>
      </c>
      <c r="G252">
        <f t="shared" si="25"/>
        <v>-210.1</v>
      </c>
      <c r="I252" s="28"/>
    </row>
    <row r="253" spans="3:9" x14ac:dyDescent="0.25">
      <c r="C253">
        <f t="shared" si="26"/>
        <v>185</v>
      </c>
      <c r="E253">
        <f t="shared" si="24"/>
        <v>2.4375</v>
      </c>
      <c r="G253">
        <f t="shared" si="25"/>
        <v>-212.53749999999999</v>
      </c>
      <c r="I253" s="28"/>
    </row>
    <row r="254" spans="3:9" x14ac:dyDescent="0.25">
      <c r="C254">
        <f t="shared" si="26"/>
        <v>186</v>
      </c>
      <c r="E254">
        <f t="shared" si="24"/>
        <v>2.4450000000000003</v>
      </c>
      <c r="G254">
        <f t="shared" si="25"/>
        <v>-214.98249999999999</v>
      </c>
      <c r="I254" s="28"/>
    </row>
    <row r="255" spans="3:9" x14ac:dyDescent="0.25">
      <c r="C255">
        <f t="shared" si="26"/>
        <v>187</v>
      </c>
      <c r="E255">
        <f t="shared" si="24"/>
        <v>2.4524999999999997</v>
      </c>
      <c r="G255">
        <f t="shared" si="25"/>
        <v>-217.43499999999997</v>
      </c>
      <c r="I255" s="28"/>
    </row>
    <row r="256" spans="3:9" x14ac:dyDescent="0.25">
      <c r="C256">
        <f t="shared" si="26"/>
        <v>188</v>
      </c>
      <c r="E256">
        <f t="shared" si="24"/>
        <v>2.46</v>
      </c>
      <c r="G256">
        <f t="shared" si="25"/>
        <v>-219.89499999999998</v>
      </c>
      <c r="I256" s="28"/>
    </row>
    <row r="257" spans="3:9" x14ac:dyDescent="0.25">
      <c r="C257">
        <f t="shared" si="26"/>
        <v>189</v>
      </c>
      <c r="E257">
        <f t="shared" si="24"/>
        <v>2.4675000000000002</v>
      </c>
      <c r="G257">
        <f t="shared" si="25"/>
        <v>-222.36249999999998</v>
      </c>
      <c r="I257" s="28"/>
    </row>
    <row r="258" spans="3:9" x14ac:dyDescent="0.25">
      <c r="C258">
        <f t="shared" si="26"/>
        <v>190</v>
      </c>
      <c r="E258">
        <f t="shared" si="24"/>
        <v>2.4750000000000001</v>
      </c>
      <c r="G258">
        <f t="shared" si="25"/>
        <v>-224.83749999999998</v>
      </c>
      <c r="I258" s="28"/>
    </row>
    <row r="259" spans="3:9" x14ac:dyDescent="0.25">
      <c r="C259">
        <f t="shared" si="26"/>
        <v>191</v>
      </c>
      <c r="E259">
        <f t="shared" si="24"/>
        <v>2.4824999999999999</v>
      </c>
      <c r="G259">
        <f t="shared" si="25"/>
        <v>-227.31999999999996</v>
      </c>
      <c r="I259" s="28"/>
    </row>
    <row r="260" spans="3:9" x14ac:dyDescent="0.25">
      <c r="C260">
        <f t="shared" si="26"/>
        <v>192</v>
      </c>
      <c r="E260">
        <f t="shared" si="24"/>
        <v>2.4900000000000002</v>
      </c>
      <c r="G260">
        <f t="shared" si="25"/>
        <v>-229.80999999999997</v>
      </c>
      <c r="I260" s="28"/>
    </row>
    <row r="261" spans="3:9" x14ac:dyDescent="0.25">
      <c r="C261">
        <f t="shared" si="26"/>
        <v>193</v>
      </c>
      <c r="E261">
        <f t="shared" si="24"/>
        <v>2.4975000000000001</v>
      </c>
      <c r="G261">
        <f t="shared" si="25"/>
        <v>-232.30749999999998</v>
      </c>
      <c r="I261" s="28"/>
    </row>
    <row r="262" spans="3:9" x14ac:dyDescent="0.25">
      <c r="C262">
        <f t="shared" si="26"/>
        <v>194</v>
      </c>
      <c r="E262">
        <f t="shared" ref="E262:E325" si="27">IF(C262&gt;$C$18,$C$16+(C262*$C$17),(($C$16)*$C$19)+(C262*$C$17))</f>
        <v>2.5049999999999999</v>
      </c>
      <c r="G262">
        <f t="shared" si="25"/>
        <v>-234.81249999999997</v>
      </c>
      <c r="I262" s="28"/>
    </row>
    <row r="263" spans="3:9" x14ac:dyDescent="0.25">
      <c r="C263">
        <f t="shared" si="26"/>
        <v>195</v>
      </c>
      <c r="E263">
        <f t="shared" si="27"/>
        <v>2.5125000000000002</v>
      </c>
      <c r="G263">
        <f t="shared" ref="G263:G326" si="28">G262-E263</f>
        <v>-237.32499999999996</v>
      </c>
      <c r="I263" s="28"/>
    </row>
    <row r="264" spans="3:9" x14ac:dyDescent="0.25">
      <c r="C264">
        <f t="shared" si="26"/>
        <v>196</v>
      </c>
      <c r="E264">
        <f t="shared" si="27"/>
        <v>2.52</v>
      </c>
      <c r="G264">
        <f t="shared" si="28"/>
        <v>-239.84499999999997</v>
      </c>
      <c r="I264" s="28"/>
    </row>
    <row r="265" spans="3:9" x14ac:dyDescent="0.25">
      <c r="C265">
        <f t="shared" si="26"/>
        <v>197</v>
      </c>
      <c r="E265">
        <f t="shared" si="27"/>
        <v>2.5274999999999999</v>
      </c>
      <c r="G265">
        <f t="shared" si="28"/>
        <v>-242.37249999999997</v>
      </c>
      <c r="I265" s="28"/>
    </row>
    <row r="266" spans="3:9" x14ac:dyDescent="0.25">
      <c r="C266">
        <f t="shared" si="26"/>
        <v>198</v>
      </c>
      <c r="E266">
        <f t="shared" si="27"/>
        <v>2.5350000000000001</v>
      </c>
      <c r="G266">
        <f t="shared" si="28"/>
        <v>-244.90749999999997</v>
      </c>
      <c r="I266" s="28"/>
    </row>
    <row r="267" spans="3:9" x14ac:dyDescent="0.25">
      <c r="C267">
        <f t="shared" si="26"/>
        <v>199</v>
      </c>
      <c r="E267">
        <f t="shared" si="27"/>
        <v>2.5425</v>
      </c>
      <c r="G267">
        <f t="shared" si="28"/>
        <v>-247.44999999999996</v>
      </c>
      <c r="I267" s="28"/>
    </row>
    <row r="268" spans="3:9" x14ac:dyDescent="0.25">
      <c r="C268">
        <f t="shared" si="26"/>
        <v>200</v>
      </c>
      <c r="E268">
        <f t="shared" si="27"/>
        <v>2.5499999999999998</v>
      </c>
      <c r="G268">
        <f t="shared" si="28"/>
        <v>-249.99999999999997</v>
      </c>
      <c r="I268" s="28"/>
    </row>
    <row r="269" spans="3:9" x14ac:dyDescent="0.25">
      <c r="C269">
        <f t="shared" si="26"/>
        <v>201</v>
      </c>
      <c r="E269">
        <f t="shared" si="27"/>
        <v>2.5575000000000001</v>
      </c>
      <c r="G269">
        <f t="shared" si="28"/>
        <v>-252.55749999999998</v>
      </c>
      <c r="I269" s="28"/>
    </row>
    <row r="270" spans="3:9" x14ac:dyDescent="0.25">
      <c r="C270">
        <f t="shared" si="26"/>
        <v>202</v>
      </c>
      <c r="E270">
        <f t="shared" si="27"/>
        <v>2.5649999999999999</v>
      </c>
      <c r="G270">
        <f t="shared" si="28"/>
        <v>-255.12249999999997</v>
      </c>
      <c r="I270" s="28"/>
    </row>
    <row r="271" spans="3:9" x14ac:dyDescent="0.25">
      <c r="C271">
        <f t="shared" si="26"/>
        <v>203</v>
      </c>
      <c r="E271">
        <f t="shared" si="27"/>
        <v>2.5724999999999998</v>
      </c>
      <c r="G271">
        <f t="shared" si="28"/>
        <v>-257.69499999999999</v>
      </c>
      <c r="I271" s="28"/>
    </row>
    <row r="272" spans="3:9" x14ac:dyDescent="0.25">
      <c r="C272">
        <f t="shared" si="26"/>
        <v>204</v>
      </c>
      <c r="E272">
        <f t="shared" si="27"/>
        <v>2.58</v>
      </c>
      <c r="G272">
        <f t="shared" si="28"/>
        <v>-260.27499999999998</v>
      </c>
      <c r="I272" s="28"/>
    </row>
    <row r="273" spans="3:9" x14ac:dyDescent="0.25">
      <c r="C273">
        <f t="shared" si="26"/>
        <v>205</v>
      </c>
      <c r="E273">
        <f t="shared" si="27"/>
        <v>2.5874999999999999</v>
      </c>
      <c r="G273">
        <f t="shared" si="28"/>
        <v>-262.86249999999995</v>
      </c>
      <c r="I273" s="28"/>
    </row>
    <row r="274" spans="3:9" x14ac:dyDescent="0.25">
      <c r="C274">
        <f t="shared" si="26"/>
        <v>206</v>
      </c>
      <c r="E274">
        <f t="shared" si="27"/>
        <v>2.5949999999999998</v>
      </c>
      <c r="G274">
        <f t="shared" si="28"/>
        <v>-265.45749999999998</v>
      </c>
      <c r="I274" s="28"/>
    </row>
    <row r="275" spans="3:9" x14ac:dyDescent="0.25">
      <c r="C275">
        <f t="shared" si="26"/>
        <v>207</v>
      </c>
      <c r="E275">
        <f t="shared" si="27"/>
        <v>2.6025</v>
      </c>
      <c r="G275">
        <f t="shared" si="28"/>
        <v>-268.06</v>
      </c>
      <c r="I275" s="28"/>
    </row>
    <row r="276" spans="3:9" x14ac:dyDescent="0.25">
      <c r="C276">
        <f t="shared" si="26"/>
        <v>208</v>
      </c>
      <c r="E276">
        <f t="shared" si="27"/>
        <v>2.6100000000000003</v>
      </c>
      <c r="G276">
        <f t="shared" si="28"/>
        <v>-270.67</v>
      </c>
      <c r="I276" s="28"/>
    </row>
    <row r="277" spans="3:9" x14ac:dyDescent="0.25">
      <c r="C277">
        <f t="shared" si="26"/>
        <v>209</v>
      </c>
      <c r="E277">
        <f t="shared" si="27"/>
        <v>2.6174999999999997</v>
      </c>
      <c r="G277">
        <f t="shared" si="28"/>
        <v>-273.28750000000002</v>
      </c>
      <c r="I277" s="28"/>
    </row>
    <row r="278" spans="3:9" x14ac:dyDescent="0.25">
      <c r="C278">
        <f t="shared" si="26"/>
        <v>210</v>
      </c>
      <c r="E278">
        <f t="shared" si="27"/>
        <v>2.625</v>
      </c>
      <c r="G278">
        <f t="shared" si="28"/>
        <v>-275.91250000000002</v>
      </c>
      <c r="I278" s="28"/>
    </row>
    <row r="279" spans="3:9" x14ac:dyDescent="0.25">
      <c r="C279">
        <f t="shared" si="26"/>
        <v>211</v>
      </c>
      <c r="E279">
        <f t="shared" si="27"/>
        <v>2.6325000000000003</v>
      </c>
      <c r="G279">
        <f t="shared" si="28"/>
        <v>-278.54500000000002</v>
      </c>
      <c r="I279" s="28"/>
    </row>
    <row r="280" spans="3:9" x14ac:dyDescent="0.25">
      <c r="C280">
        <f t="shared" si="26"/>
        <v>212</v>
      </c>
      <c r="E280">
        <f t="shared" si="27"/>
        <v>2.6399999999999997</v>
      </c>
      <c r="G280">
        <f t="shared" si="28"/>
        <v>-281.185</v>
      </c>
      <c r="I280" s="28"/>
    </row>
    <row r="281" spans="3:9" x14ac:dyDescent="0.25">
      <c r="C281">
        <f t="shared" si="26"/>
        <v>213</v>
      </c>
      <c r="E281">
        <f t="shared" si="27"/>
        <v>2.6475</v>
      </c>
      <c r="G281">
        <f t="shared" si="28"/>
        <v>-283.83249999999998</v>
      </c>
      <c r="I281" s="28"/>
    </row>
    <row r="282" spans="3:9" x14ac:dyDescent="0.25">
      <c r="C282">
        <f t="shared" si="26"/>
        <v>214</v>
      </c>
      <c r="E282">
        <f t="shared" si="27"/>
        <v>2.6550000000000002</v>
      </c>
      <c r="G282">
        <f t="shared" si="28"/>
        <v>-286.48749999999995</v>
      </c>
      <c r="I282" s="28"/>
    </row>
    <row r="283" spans="3:9" x14ac:dyDescent="0.25">
      <c r="C283">
        <f t="shared" si="26"/>
        <v>215</v>
      </c>
      <c r="E283">
        <f t="shared" si="27"/>
        <v>2.6625000000000001</v>
      </c>
      <c r="G283">
        <f t="shared" si="28"/>
        <v>-289.14999999999998</v>
      </c>
      <c r="I283" s="28"/>
    </row>
    <row r="284" spans="3:9" x14ac:dyDescent="0.25">
      <c r="C284">
        <f t="shared" si="26"/>
        <v>216</v>
      </c>
      <c r="E284">
        <f t="shared" si="27"/>
        <v>2.67</v>
      </c>
      <c r="G284">
        <f t="shared" si="28"/>
        <v>-291.82</v>
      </c>
      <c r="I284" s="28"/>
    </row>
    <row r="285" spans="3:9" x14ac:dyDescent="0.25">
      <c r="C285">
        <f t="shared" si="26"/>
        <v>217</v>
      </c>
      <c r="E285">
        <f t="shared" si="27"/>
        <v>2.6775000000000002</v>
      </c>
      <c r="G285">
        <f t="shared" si="28"/>
        <v>-294.4975</v>
      </c>
      <c r="I285" s="28"/>
    </row>
    <row r="286" spans="3:9" x14ac:dyDescent="0.25">
      <c r="C286">
        <f t="shared" si="26"/>
        <v>218</v>
      </c>
      <c r="E286">
        <f t="shared" si="27"/>
        <v>2.6850000000000001</v>
      </c>
      <c r="G286">
        <f t="shared" si="28"/>
        <v>-297.1825</v>
      </c>
      <c r="I286" s="28"/>
    </row>
    <row r="287" spans="3:9" x14ac:dyDescent="0.25">
      <c r="C287">
        <f t="shared" si="26"/>
        <v>219</v>
      </c>
      <c r="E287">
        <f t="shared" si="27"/>
        <v>2.6924999999999999</v>
      </c>
      <c r="G287">
        <f t="shared" si="28"/>
        <v>-299.875</v>
      </c>
      <c r="I287" s="28"/>
    </row>
    <row r="288" spans="3:9" x14ac:dyDescent="0.25">
      <c r="C288">
        <f t="shared" si="26"/>
        <v>220</v>
      </c>
      <c r="E288">
        <f t="shared" si="27"/>
        <v>2.7</v>
      </c>
      <c r="G288">
        <f t="shared" si="28"/>
        <v>-302.57499999999999</v>
      </c>
      <c r="I288" s="28"/>
    </row>
    <row r="289" spans="3:9" x14ac:dyDescent="0.25">
      <c r="C289">
        <f t="shared" si="26"/>
        <v>221</v>
      </c>
      <c r="E289">
        <f t="shared" si="27"/>
        <v>2.7075</v>
      </c>
      <c r="G289">
        <f t="shared" si="28"/>
        <v>-305.28249999999997</v>
      </c>
      <c r="I289" s="28"/>
    </row>
    <row r="290" spans="3:9" x14ac:dyDescent="0.25">
      <c r="C290">
        <f t="shared" si="26"/>
        <v>222</v>
      </c>
      <c r="E290">
        <f t="shared" si="27"/>
        <v>2.7149999999999999</v>
      </c>
      <c r="G290">
        <f t="shared" si="28"/>
        <v>-307.99749999999995</v>
      </c>
      <c r="I290" s="28"/>
    </row>
    <row r="291" spans="3:9" x14ac:dyDescent="0.25">
      <c r="C291">
        <f t="shared" si="26"/>
        <v>223</v>
      </c>
      <c r="E291">
        <f t="shared" si="27"/>
        <v>2.7225000000000001</v>
      </c>
      <c r="G291">
        <f t="shared" si="28"/>
        <v>-310.71999999999997</v>
      </c>
      <c r="I291" s="28"/>
    </row>
    <row r="292" spans="3:9" x14ac:dyDescent="0.25">
      <c r="C292">
        <f t="shared" si="26"/>
        <v>224</v>
      </c>
      <c r="E292">
        <f t="shared" si="27"/>
        <v>2.73</v>
      </c>
      <c r="G292">
        <f t="shared" si="28"/>
        <v>-313.45</v>
      </c>
      <c r="I292" s="28"/>
    </row>
    <row r="293" spans="3:9" x14ac:dyDescent="0.25">
      <c r="C293">
        <f t="shared" si="26"/>
        <v>225</v>
      </c>
      <c r="E293">
        <f t="shared" si="27"/>
        <v>2.7374999999999998</v>
      </c>
      <c r="G293">
        <f t="shared" si="28"/>
        <v>-316.1875</v>
      </c>
      <c r="I293" s="28"/>
    </row>
    <row r="294" spans="3:9" x14ac:dyDescent="0.25">
      <c r="C294">
        <f t="shared" si="26"/>
        <v>226</v>
      </c>
      <c r="E294">
        <f t="shared" si="27"/>
        <v>2.7450000000000001</v>
      </c>
      <c r="G294">
        <f t="shared" si="28"/>
        <v>-318.9325</v>
      </c>
      <c r="I294" s="28"/>
    </row>
    <row r="295" spans="3:9" x14ac:dyDescent="0.25">
      <c r="C295">
        <f t="shared" si="26"/>
        <v>227</v>
      </c>
      <c r="E295">
        <f t="shared" si="27"/>
        <v>2.7524999999999999</v>
      </c>
      <c r="G295">
        <f t="shared" si="28"/>
        <v>-321.685</v>
      </c>
      <c r="I295" s="28"/>
    </row>
    <row r="296" spans="3:9" x14ac:dyDescent="0.25">
      <c r="C296">
        <f t="shared" si="26"/>
        <v>228</v>
      </c>
      <c r="E296">
        <f t="shared" si="27"/>
        <v>2.76</v>
      </c>
      <c r="G296">
        <f t="shared" si="28"/>
        <v>-324.44499999999999</v>
      </c>
      <c r="I296" s="28"/>
    </row>
    <row r="297" spans="3:9" x14ac:dyDescent="0.25">
      <c r="C297">
        <f t="shared" si="26"/>
        <v>229</v>
      </c>
      <c r="E297">
        <f t="shared" si="27"/>
        <v>2.7675000000000001</v>
      </c>
      <c r="G297">
        <f t="shared" si="28"/>
        <v>-327.21249999999998</v>
      </c>
      <c r="I297" s="28"/>
    </row>
    <row r="298" spans="3:9" x14ac:dyDescent="0.25">
      <c r="C298">
        <f t="shared" si="26"/>
        <v>230</v>
      </c>
      <c r="E298">
        <f t="shared" si="27"/>
        <v>2.7749999999999999</v>
      </c>
      <c r="G298">
        <f t="shared" si="28"/>
        <v>-329.98749999999995</v>
      </c>
      <c r="I298" s="28"/>
    </row>
    <row r="299" spans="3:9" x14ac:dyDescent="0.25">
      <c r="C299">
        <f t="shared" si="26"/>
        <v>231</v>
      </c>
      <c r="E299">
        <f t="shared" si="27"/>
        <v>2.7824999999999998</v>
      </c>
      <c r="G299">
        <f t="shared" si="28"/>
        <v>-332.77</v>
      </c>
      <c r="I299" s="28"/>
    </row>
    <row r="300" spans="3:9" x14ac:dyDescent="0.25">
      <c r="C300">
        <f t="shared" si="26"/>
        <v>232</v>
      </c>
      <c r="E300">
        <f t="shared" si="27"/>
        <v>2.79</v>
      </c>
      <c r="G300">
        <f t="shared" si="28"/>
        <v>-335.56</v>
      </c>
      <c r="I300" s="28"/>
    </row>
    <row r="301" spans="3:9" x14ac:dyDescent="0.25">
      <c r="C301">
        <f t="shared" si="26"/>
        <v>233</v>
      </c>
      <c r="E301">
        <f t="shared" si="27"/>
        <v>2.7974999999999999</v>
      </c>
      <c r="G301">
        <f t="shared" si="28"/>
        <v>-338.35750000000002</v>
      </c>
      <c r="I301" s="28"/>
    </row>
    <row r="302" spans="3:9" x14ac:dyDescent="0.25">
      <c r="C302">
        <f t="shared" si="26"/>
        <v>234</v>
      </c>
      <c r="E302">
        <f t="shared" si="27"/>
        <v>2.8049999999999997</v>
      </c>
      <c r="G302">
        <f t="shared" si="28"/>
        <v>-341.16250000000002</v>
      </c>
      <c r="I302" s="28"/>
    </row>
    <row r="303" spans="3:9" x14ac:dyDescent="0.25">
      <c r="C303">
        <f t="shared" si="26"/>
        <v>235</v>
      </c>
      <c r="E303">
        <f t="shared" si="27"/>
        <v>2.8125</v>
      </c>
      <c r="G303">
        <f t="shared" si="28"/>
        <v>-343.97500000000002</v>
      </c>
      <c r="I303" s="28"/>
    </row>
    <row r="304" spans="3:9" x14ac:dyDescent="0.25">
      <c r="C304">
        <f t="shared" si="26"/>
        <v>236</v>
      </c>
      <c r="E304">
        <f t="shared" si="27"/>
        <v>2.8200000000000003</v>
      </c>
      <c r="G304">
        <f t="shared" si="28"/>
        <v>-346.79500000000002</v>
      </c>
      <c r="I304" s="28"/>
    </row>
    <row r="305" spans="3:9" x14ac:dyDescent="0.25">
      <c r="C305">
        <f t="shared" si="26"/>
        <v>237</v>
      </c>
      <c r="E305">
        <f t="shared" si="27"/>
        <v>2.8274999999999997</v>
      </c>
      <c r="G305">
        <f t="shared" si="28"/>
        <v>-349.6225</v>
      </c>
      <c r="I305" s="28"/>
    </row>
    <row r="306" spans="3:9" x14ac:dyDescent="0.25">
      <c r="C306">
        <f t="shared" si="26"/>
        <v>238</v>
      </c>
      <c r="E306">
        <f t="shared" si="27"/>
        <v>2.835</v>
      </c>
      <c r="G306">
        <f t="shared" si="28"/>
        <v>-352.45749999999998</v>
      </c>
      <c r="I306" s="28"/>
    </row>
    <row r="307" spans="3:9" x14ac:dyDescent="0.25">
      <c r="C307">
        <f t="shared" si="26"/>
        <v>239</v>
      </c>
      <c r="E307">
        <f t="shared" si="27"/>
        <v>2.8425000000000002</v>
      </c>
      <c r="G307">
        <f t="shared" si="28"/>
        <v>-355.29999999999995</v>
      </c>
      <c r="I307" s="28"/>
    </row>
    <row r="308" spans="3:9" x14ac:dyDescent="0.25">
      <c r="C308">
        <f t="shared" si="26"/>
        <v>240</v>
      </c>
      <c r="E308">
        <f t="shared" si="27"/>
        <v>2.8499999999999996</v>
      </c>
      <c r="G308">
        <f t="shared" si="28"/>
        <v>-358.15</v>
      </c>
      <c r="I308" s="28"/>
    </row>
    <row r="309" spans="3:9" x14ac:dyDescent="0.25">
      <c r="C309">
        <f t="shared" si="26"/>
        <v>241</v>
      </c>
      <c r="E309">
        <f t="shared" si="27"/>
        <v>2.8574999999999999</v>
      </c>
      <c r="G309">
        <f t="shared" si="28"/>
        <v>-361.00749999999999</v>
      </c>
      <c r="I309" s="28"/>
    </row>
    <row r="310" spans="3:9" x14ac:dyDescent="0.25">
      <c r="C310">
        <f t="shared" ref="C310:C373" si="29">C309+1</f>
        <v>242</v>
      </c>
      <c r="E310">
        <f t="shared" si="27"/>
        <v>2.8650000000000002</v>
      </c>
      <c r="G310">
        <f t="shared" si="28"/>
        <v>-363.8725</v>
      </c>
      <c r="I310" s="28"/>
    </row>
    <row r="311" spans="3:9" x14ac:dyDescent="0.25">
      <c r="C311">
        <f t="shared" si="29"/>
        <v>243</v>
      </c>
      <c r="E311">
        <f t="shared" si="27"/>
        <v>2.8725000000000001</v>
      </c>
      <c r="G311">
        <f t="shared" si="28"/>
        <v>-366.745</v>
      </c>
      <c r="I311" s="28"/>
    </row>
    <row r="312" spans="3:9" x14ac:dyDescent="0.25">
      <c r="C312">
        <f t="shared" si="29"/>
        <v>244</v>
      </c>
      <c r="E312">
        <f t="shared" si="27"/>
        <v>2.88</v>
      </c>
      <c r="G312">
        <f t="shared" si="28"/>
        <v>-369.625</v>
      </c>
      <c r="I312" s="28"/>
    </row>
    <row r="313" spans="3:9" x14ac:dyDescent="0.25">
      <c r="C313">
        <f t="shared" si="29"/>
        <v>245</v>
      </c>
      <c r="E313">
        <f t="shared" si="27"/>
        <v>2.8875000000000002</v>
      </c>
      <c r="G313">
        <f t="shared" si="28"/>
        <v>-372.51249999999999</v>
      </c>
      <c r="I313" s="28"/>
    </row>
    <row r="314" spans="3:9" x14ac:dyDescent="0.25">
      <c r="C314">
        <f t="shared" si="29"/>
        <v>246</v>
      </c>
      <c r="E314">
        <f t="shared" si="27"/>
        <v>2.895</v>
      </c>
      <c r="G314">
        <f t="shared" si="28"/>
        <v>-375.40749999999997</v>
      </c>
      <c r="I314" s="28"/>
    </row>
    <row r="315" spans="3:9" x14ac:dyDescent="0.25">
      <c r="C315">
        <f t="shared" si="29"/>
        <v>247</v>
      </c>
      <c r="E315">
        <f t="shared" si="27"/>
        <v>2.9024999999999999</v>
      </c>
      <c r="G315">
        <f t="shared" si="28"/>
        <v>-378.30999999999995</v>
      </c>
      <c r="I315" s="28"/>
    </row>
    <row r="316" spans="3:9" x14ac:dyDescent="0.25">
      <c r="C316">
        <f t="shared" si="29"/>
        <v>248</v>
      </c>
      <c r="E316">
        <f t="shared" si="27"/>
        <v>2.91</v>
      </c>
      <c r="G316">
        <f t="shared" si="28"/>
        <v>-381.21999999999997</v>
      </c>
      <c r="I316" s="28"/>
    </row>
    <row r="317" spans="3:9" x14ac:dyDescent="0.25">
      <c r="C317">
        <f t="shared" si="29"/>
        <v>249</v>
      </c>
      <c r="E317">
        <f t="shared" si="27"/>
        <v>2.9175</v>
      </c>
      <c r="G317">
        <f t="shared" si="28"/>
        <v>-384.13749999999999</v>
      </c>
      <c r="I317" s="28"/>
    </row>
    <row r="318" spans="3:9" x14ac:dyDescent="0.25">
      <c r="C318">
        <f t="shared" si="29"/>
        <v>250</v>
      </c>
      <c r="E318">
        <f t="shared" si="27"/>
        <v>2.9249999999999998</v>
      </c>
      <c r="G318">
        <f t="shared" si="28"/>
        <v>-387.0625</v>
      </c>
      <c r="I318" s="28"/>
    </row>
    <row r="319" spans="3:9" x14ac:dyDescent="0.25">
      <c r="C319">
        <f t="shared" si="29"/>
        <v>251</v>
      </c>
      <c r="E319">
        <f t="shared" si="27"/>
        <v>2.9325000000000001</v>
      </c>
      <c r="G319">
        <f t="shared" si="28"/>
        <v>-389.995</v>
      </c>
      <c r="I319" s="28"/>
    </row>
    <row r="320" spans="3:9" x14ac:dyDescent="0.25">
      <c r="C320">
        <f t="shared" si="29"/>
        <v>252</v>
      </c>
      <c r="E320">
        <f t="shared" si="27"/>
        <v>2.94</v>
      </c>
      <c r="G320">
        <f t="shared" si="28"/>
        <v>-392.935</v>
      </c>
      <c r="I320" s="28"/>
    </row>
    <row r="321" spans="3:9" x14ac:dyDescent="0.25">
      <c r="C321">
        <f t="shared" si="29"/>
        <v>253</v>
      </c>
      <c r="E321">
        <f t="shared" si="27"/>
        <v>2.9474999999999998</v>
      </c>
      <c r="G321">
        <f t="shared" si="28"/>
        <v>-395.88249999999999</v>
      </c>
      <c r="I321" s="28"/>
    </row>
    <row r="322" spans="3:9" x14ac:dyDescent="0.25">
      <c r="C322">
        <f t="shared" si="29"/>
        <v>254</v>
      </c>
      <c r="E322">
        <f t="shared" si="27"/>
        <v>2.9550000000000001</v>
      </c>
      <c r="G322">
        <f t="shared" si="28"/>
        <v>-398.83749999999998</v>
      </c>
      <c r="I322" s="28"/>
    </row>
    <row r="323" spans="3:9" x14ac:dyDescent="0.25">
      <c r="C323">
        <f t="shared" si="29"/>
        <v>255</v>
      </c>
      <c r="E323">
        <f t="shared" si="27"/>
        <v>2.9624999999999999</v>
      </c>
      <c r="G323">
        <f t="shared" si="28"/>
        <v>-401.79999999999995</v>
      </c>
      <c r="I323" s="28"/>
    </row>
    <row r="324" spans="3:9" x14ac:dyDescent="0.25">
      <c r="C324">
        <f t="shared" si="29"/>
        <v>256</v>
      </c>
      <c r="E324">
        <f t="shared" si="27"/>
        <v>2.9699999999999998</v>
      </c>
      <c r="G324">
        <f t="shared" si="28"/>
        <v>-404.77</v>
      </c>
      <c r="I324" s="28"/>
    </row>
    <row r="325" spans="3:9" x14ac:dyDescent="0.25">
      <c r="C325">
        <f t="shared" si="29"/>
        <v>257</v>
      </c>
      <c r="E325">
        <f t="shared" si="27"/>
        <v>2.9775</v>
      </c>
      <c r="G325">
        <f t="shared" si="28"/>
        <v>-407.7475</v>
      </c>
      <c r="I325" s="28"/>
    </row>
    <row r="326" spans="3:9" x14ac:dyDescent="0.25">
      <c r="C326">
        <f t="shared" si="29"/>
        <v>258</v>
      </c>
      <c r="E326">
        <f t="shared" ref="E326:E389" si="30">IF(C326&gt;$C$18,$C$16+(C326*$C$17),(($C$16)*$C$19)+(C326*$C$17))</f>
        <v>2.9849999999999999</v>
      </c>
      <c r="G326">
        <f t="shared" si="28"/>
        <v>-410.73250000000002</v>
      </c>
      <c r="I326" s="28"/>
    </row>
    <row r="327" spans="3:9" x14ac:dyDescent="0.25">
      <c r="C327">
        <f t="shared" si="29"/>
        <v>259</v>
      </c>
      <c r="E327">
        <f t="shared" si="30"/>
        <v>2.9924999999999997</v>
      </c>
      <c r="G327">
        <f t="shared" ref="G327:G390" si="31">G326-E327</f>
        <v>-413.72500000000002</v>
      </c>
      <c r="I327" s="28"/>
    </row>
    <row r="328" spans="3:9" x14ac:dyDescent="0.25">
      <c r="C328">
        <f t="shared" si="29"/>
        <v>260</v>
      </c>
      <c r="E328">
        <f t="shared" si="30"/>
        <v>3</v>
      </c>
      <c r="G328">
        <f t="shared" si="31"/>
        <v>-416.72500000000002</v>
      </c>
      <c r="I328" s="28"/>
    </row>
    <row r="329" spans="3:9" x14ac:dyDescent="0.25">
      <c r="C329">
        <f t="shared" si="29"/>
        <v>261</v>
      </c>
      <c r="E329">
        <f t="shared" si="30"/>
        <v>3.0075000000000003</v>
      </c>
      <c r="G329">
        <f t="shared" si="31"/>
        <v>-419.73250000000002</v>
      </c>
      <c r="I329" s="28"/>
    </row>
    <row r="330" spans="3:9" x14ac:dyDescent="0.25">
      <c r="C330">
        <f t="shared" si="29"/>
        <v>262</v>
      </c>
      <c r="E330">
        <f t="shared" si="30"/>
        <v>3.0149999999999997</v>
      </c>
      <c r="G330">
        <f t="shared" si="31"/>
        <v>-422.7475</v>
      </c>
      <c r="I330" s="28"/>
    </row>
    <row r="331" spans="3:9" x14ac:dyDescent="0.25">
      <c r="C331">
        <f t="shared" si="29"/>
        <v>263</v>
      </c>
      <c r="E331">
        <f t="shared" si="30"/>
        <v>3.0225</v>
      </c>
      <c r="G331">
        <f t="shared" si="31"/>
        <v>-425.77</v>
      </c>
      <c r="I331" s="28"/>
    </row>
    <row r="332" spans="3:9" x14ac:dyDescent="0.25">
      <c r="C332">
        <f t="shared" si="29"/>
        <v>264</v>
      </c>
      <c r="E332">
        <f t="shared" si="30"/>
        <v>3.0300000000000002</v>
      </c>
      <c r="G332">
        <f t="shared" si="31"/>
        <v>-428.79999999999995</v>
      </c>
      <c r="I332" s="28"/>
    </row>
    <row r="333" spans="3:9" x14ac:dyDescent="0.25">
      <c r="C333">
        <f t="shared" si="29"/>
        <v>265</v>
      </c>
      <c r="E333">
        <f t="shared" si="30"/>
        <v>3.0374999999999996</v>
      </c>
      <c r="G333">
        <f t="shared" si="31"/>
        <v>-431.83749999999998</v>
      </c>
      <c r="I333" s="28"/>
    </row>
    <row r="334" spans="3:9" x14ac:dyDescent="0.25">
      <c r="C334">
        <f t="shared" si="29"/>
        <v>266</v>
      </c>
      <c r="E334">
        <f t="shared" si="30"/>
        <v>3.0449999999999999</v>
      </c>
      <c r="G334">
        <f t="shared" si="31"/>
        <v>-434.88249999999999</v>
      </c>
      <c r="I334" s="28"/>
    </row>
    <row r="335" spans="3:9" x14ac:dyDescent="0.25">
      <c r="C335">
        <f t="shared" si="29"/>
        <v>267</v>
      </c>
      <c r="E335">
        <f t="shared" si="30"/>
        <v>3.0525000000000002</v>
      </c>
      <c r="G335">
        <f t="shared" si="31"/>
        <v>-437.935</v>
      </c>
      <c r="I335" s="28"/>
    </row>
    <row r="336" spans="3:9" x14ac:dyDescent="0.25">
      <c r="C336">
        <f t="shared" si="29"/>
        <v>268</v>
      </c>
      <c r="E336">
        <f t="shared" si="30"/>
        <v>3.0599999999999996</v>
      </c>
      <c r="G336">
        <f t="shared" si="31"/>
        <v>-440.995</v>
      </c>
      <c r="I336" s="28"/>
    </row>
    <row r="337" spans="3:9" x14ac:dyDescent="0.25">
      <c r="C337">
        <f t="shared" si="29"/>
        <v>269</v>
      </c>
      <c r="E337">
        <f t="shared" si="30"/>
        <v>3.0674999999999999</v>
      </c>
      <c r="G337">
        <f t="shared" si="31"/>
        <v>-444.0625</v>
      </c>
      <c r="I337" s="28"/>
    </row>
    <row r="338" spans="3:9" x14ac:dyDescent="0.25">
      <c r="C338">
        <f t="shared" si="29"/>
        <v>270</v>
      </c>
      <c r="E338">
        <f t="shared" si="30"/>
        <v>3.0750000000000002</v>
      </c>
      <c r="G338">
        <f t="shared" si="31"/>
        <v>-447.13749999999999</v>
      </c>
      <c r="I338" s="28"/>
    </row>
    <row r="339" spans="3:9" x14ac:dyDescent="0.25">
      <c r="C339">
        <f t="shared" si="29"/>
        <v>271</v>
      </c>
      <c r="E339">
        <f t="shared" si="30"/>
        <v>3.0824999999999996</v>
      </c>
      <c r="G339">
        <f t="shared" si="31"/>
        <v>-450.21999999999997</v>
      </c>
      <c r="I339" s="28"/>
    </row>
    <row r="340" spans="3:9" x14ac:dyDescent="0.25">
      <c r="C340">
        <f t="shared" si="29"/>
        <v>272</v>
      </c>
      <c r="E340">
        <f t="shared" si="30"/>
        <v>3.09</v>
      </c>
      <c r="G340">
        <f t="shared" si="31"/>
        <v>-453.30999999999995</v>
      </c>
      <c r="I340" s="28"/>
    </row>
    <row r="341" spans="3:9" x14ac:dyDescent="0.25">
      <c r="C341">
        <f t="shared" si="29"/>
        <v>273</v>
      </c>
      <c r="E341">
        <f t="shared" si="30"/>
        <v>3.0975000000000001</v>
      </c>
      <c r="G341">
        <f t="shared" si="31"/>
        <v>-456.40749999999997</v>
      </c>
      <c r="I341" s="28"/>
    </row>
    <row r="342" spans="3:9" x14ac:dyDescent="0.25">
      <c r="C342">
        <f t="shared" si="29"/>
        <v>274</v>
      </c>
      <c r="E342">
        <f t="shared" si="30"/>
        <v>3.1049999999999995</v>
      </c>
      <c r="G342">
        <f t="shared" si="31"/>
        <v>-459.51249999999999</v>
      </c>
      <c r="I342" s="28"/>
    </row>
    <row r="343" spans="3:9" x14ac:dyDescent="0.25">
      <c r="C343">
        <f t="shared" si="29"/>
        <v>275</v>
      </c>
      <c r="E343">
        <f t="shared" si="30"/>
        <v>3.1124999999999998</v>
      </c>
      <c r="G343">
        <f t="shared" si="31"/>
        <v>-462.625</v>
      </c>
      <c r="I343" s="28"/>
    </row>
    <row r="344" spans="3:9" x14ac:dyDescent="0.25">
      <c r="C344">
        <f t="shared" si="29"/>
        <v>276</v>
      </c>
      <c r="E344">
        <f t="shared" si="30"/>
        <v>3.12</v>
      </c>
      <c r="G344">
        <f t="shared" si="31"/>
        <v>-465.745</v>
      </c>
      <c r="I344" s="28"/>
    </row>
    <row r="345" spans="3:9" x14ac:dyDescent="0.25">
      <c r="C345">
        <f t="shared" si="29"/>
        <v>277</v>
      </c>
      <c r="E345">
        <f t="shared" si="30"/>
        <v>3.1275000000000004</v>
      </c>
      <c r="G345">
        <f t="shared" si="31"/>
        <v>-468.8725</v>
      </c>
      <c r="I345" s="28"/>
    </row>
    <row r="346" spans="3:9" x14ac:dyDescent="0.25">
      <c r="C346">
        <f t="shared" si="29"/>
        <v>278</v>
      </c>
      <c r="E346">
        <f t="shared" si="30"/>
        <v>3.1349999999999998</v>
      </c>
      <c r="G346">
        <f t="shared" si="31"/>
        <v>-472.00749999999999</v>
      </c>
      <c r="I346" s="28"/>
    </row>
    <row r="347" spans="3:9" x14ac:dyDescent="0.25">
      <c r="C347">
        <f t="shared" si="29"/>
        <v>279</v>
      </c>
      <c r="E347">
        <f t="shared" si="30"/>
        <v>3.1425000000000001</v>
      </c>
      <c r="G347">
        <f t="shared" si="31"/>
        <v>-475.15</v>
      </c>
      <c r="I347" s="28"/>
    </row>
    <row r="348" spans="3:9" x14ac:dyDescent="0.25">
      <c r="C348">
        <f t="shared" si="29"/>
        <v>280</v>
      </c>
      <c r="E348">
        <f t="shared" si="30"/>
        <v>3.1500000000000004</v>
      </c>
      <c r="G348">
        <f t="shared" si="31"/>
        <v>-478.29999999999995</v>
      </c>
      <c r="I348" s="28"/>
    </row>
    <row r="349" spans="3:9" x14ac:dyDescent="0.25">
      <c r="C349">
        <f t="shared" si="29"/>
        <v>281</v>
      </c>
      <c r="E349">
        <f t="shared" si="30"/>
        <v>3.1574999999999998</v>
      </c>
      <c r="G349">
        <f t="shared" si="31"/>
        <v>-481.45749999999998</v>
      </c>
      <c r="I349" s="28"/>
    </row>
    <row r="350" spans="3:9" x14ac:dyDescent="0.25">
      <c r="C350">
        <f t="shared" si="29"/>
        <v>282</v>
      </c>
      <c r="E350">
        <f t="shared" si="30"/>
        <v>3.165</v>
      </c>
      <c r="G350">
        <f t="shared" si="31"/>
        <v>-484.6225</v>
      </c>
      <c r="I350" s="28"/>
    </row>
    <row r="351" spans="3:9" x14ac:dyDescent="0.25">
      <c r="C351">
        <f t="shared" si="29"/>
        <v>283</v>
      </c>
      <c r="E351">
        <f t="shared" si="30"/>
        <v>3.1725000000000003</v>
      </c>
      <c r="G351">
        <f t="shared" si="31"/>
        <v>-487.79500000000002</v>
      </c>
      <c r="I351" s="28"/>
    </row>
    <row r="352" spans="3:9" x14ac:dyDescent="0.25">
      <c r="C352">
        <f t="shared" si="29"/>
        <v>284</v>
      </c>
      <c r="E352">
        <f t="shared" si="30"/>
        <v>3.1799999999999997</v>
      </c>
      <c r="G352">
        <f t="shared" si="31"/>
        <v>-490.97500000000002</v>
      </c>
      <c r="I352" s="28"/>
    </row>
    <row r="353" spans="3:9" x14ac:dyDescent="0.25">
      <c r="C353">
        <f t="shared" si="29"/>
        <v>285</v>
      </c>
      <c r="E353">
        <f t="shared" si="30"/>
        <v>3.1875</v>
      </c>
      <c r="G353">
        <f t="shared" si="31"/>
        <v>-494.16250000000002</v>
      </c>
      <c r="I353" s="28"/>
    </row>
    <row r="354" spans="3:9" x14ac:dyDescent="0.25">
      <c r="C354">
        <f t="shared" si="29"/>
        <v>286</v>
      </c>
      <c r="E354">
        <f t="shared" si="30"/>
        <v>3.1950000000000003</v>
      </c>
      <c r="G354">
        <f t="shared" si="31"/>
        <v>-497.35750000000002</v>
      </c>
      <c r="I354" s="28"/>
    </row>
    <row r="355" spans="3:9" x14ac:dyDescent="0.25">
      <c r="C355">
        <f t="shared" si="29"/>
        <v>287</v>
      </c>
      <c r="E355">
        <f t="shared" si="30"/>
        <v>3.2024999999999997</v>
      </c>
      <c r="G355">
        <f t="shared" si="31"/>
        <v>-500.56</v>
      </c>
      <c r="I355" s="28"/>
    </row>
    <row r="356" spans="3:9" x14ac:dyDescent="0.25">
      <c r="C356">
        <f t="shared" si="29"/>
        <v>288</v>
      </c>
      <c r="E356">
        <f t="shared" si="30"/>
        <v>3.21</v>
      </c>
      <c r="G356">
        <f t="shared" si="31"/>
        <v>-503.77</v>
      </c>
      <c r="I356" s="28"/>
    </row>
    <row r="357" spans="3:9" x14ac:dyDescent="0.25">
      <c r="C357">
        <f t="shared" si="29"/>
        <v>289</v>
      </c>
      <c r="E357">
        <f t="shared" si="30"/>
        <v>3.2175000000000002</v>
      </c>
      <c r="G357">
        <f t="shared" si="31"/>
        <v>-506.98749999999995</v>
      </c>
      <c r="I357" s="28"/>
    </row>
    <row r="358" spans="3:9" x14ac:dyDescent="0.25">
      <c r="C358">
        <f t="shared" si="29"/>
        <v>290</v>
      </c>
      <c r="E358">
        <f t="shared" si="30"/>
        <v>3.2249999999999996</v>
      </c>
      <c r="G358">
        <f t="shared" si="31"/>
        <v>-510.21249999999998</v>
      </c>
      <c r="I358" s="28"/>
    </row>
    <row r="359" spans="3:9" x14ac:dyDescent="0.25">
      <c r="C359">
        <f t="shared" si="29"/>
        <v>291</v>
      </c>
      <c r="E359">
        <f t="shared" si="30"/>
        <v>3.2324999999999999</v>
      </c>
      <c r="G359">
        <f t="shared" si="31"/>
        <v>-513.44499999999994</v>
      </c>
      <c r="I359" s="28"/>
    </row>
    <row r="360" spans="3:9" x14ac:dyDescent="0.25">
      <c r="C360">
        <f t="shared" si="29"/>
        <v>292</v>
      </c>
      <c r="E360">
        <f t="shared" si="30"/>
        <v>3.24</v>
      </c>
      <c r="G360">
        <f t="shared" si="31"/>
        <v>-516.68499999999995</v>
      </c>
      <c r="I360" s="28"/>
    </row>
    <row r="361" spans="3:9" x14ac:dyDescent="0.25">
      <c r="C361">
        <f t="shared" si="29"/>
        <v>293</v>
      </c>
      <c r="E361">
        <f t="shared" si="30"/>
        <v>3.2474999999999996</v>
      </c>
      <c r="G361">
        <f t="shared" si="31"/>
        <v>-519.93249999999989</v>
      </c>
      <c r="I361" s="28"/>
    </row>
    <row r="362" spans="3:9" x14ac:dyDescent="0.25">
      <c r="C362">
        <f t="shared" si="29"/>
        <v>294</v>
      </c>
      <c r="E362">
        <f t="shared" si="30"/>
        <v>3.2549999999999999</v>
      </c>
      <c r="G362">
        <f t="shared" si="31"/>
        <v>-523.18749999999989</v>
      </c>
      <c r="I362" s="28"/>
    </row>
    <row r="363" spans="3:9" x14ac:dyDescent="0.25">
      <c r="C363">
        <f t="shared" si="29"/>
        <v>295</v>
      </c>
      <c r="E363">
        <f t="shared" si="30"/>
        <v>3.2625000000000002</v>
      </c>
      <c r="G363">
        <f t="shared" si="31"/>
        <v>-526.44999999999993</v>
      </c>
      <c r="I363" s="28"/>
    </row>
    <row r="364" spans="3:9" x14ac:dyDescent="0.25">
      <c r="C364">
        <f t="shared" si="29"/>
        <v>296</v>
      </c>
      <c r="E364">
        <f t="shared" si="30"/>
        <v>3.2699999999999996</v>
      </c>
      <c r="G364">
        <f t="shared" si="31"/>
        <v>-529.71999999999991</v>
      </c>
      <c r="I364" s="28"/>
    </row>
    <row r="365" spans="3:9" x14ac:dyDescent="0.25">
      <c r="C365">
        <f t="shared" si="29"/>
        <v>297</v>
      </c>
      <c r="E365">
        <f t="shared" si="30"/>
        <v>3.2774999999999999</v>
      </c>
      <c r="G365">
        <f t="shared" si="31"/>
        <v>-532.99749999999995</v>
      </c>
      <c r="I365" s="28"/>
    </row>
    <row r="366" spans="3:9" x14ac:dyDescent="0.25">
      <c r="C366">
        <f t="shared" si="29"/>
        <v>298</v>
      </c>
      <c r="E366">
        <f t="shared" si="30"/>
        <v>3.2850000000000001</v>
      </c>
      <c r="G366">
        <f t="shared" si="31"/>
        <v>-536.28249999999991</v>
      </c>
      <c r="I366" s="28"/>
    </row>
    <row r="367" spans="3:9" x14ac:dyDescent="0.25">
      <c r="C367">
        <f t="shared" si="29"/>
        <v>299</v>
      </c>
      <c r="E367">
        <f t="shared" si="30"/>
        <v>3.2924999999999995</v>
      </c>
      <c r="G367">
        <f t="shared" si="31"/>
        <v>-539.57499999999993</v>
      </c>
      <c r="I367" s="28"/>
    </row>
    <row r="368" spans="3:9" x14ac:dyDescent="0.25">
      <c r="C368">
        <f t="shared" si="29"/>
        <v>300</v>
      </c>
      <c r="E368">
        <f t="shared" si="30"/>
        <v>3.3</v>
      </c>
      <c r="G368">
        <f t="shared" si="31"/>
        <v>-542.87499999999989</v>
      </c>
      <c r="I368" s="28"/>
    </row>
    <row r="369" spans="3:9" x14ac:dyDescent="0.25">
      <c r="C369">
        <f t="shared" si="29"/>
        <v>301</v>
      </c>
      <c r="E369">
        <f t="shared" si="30"/>
        <v>3.3075000000000001</v>
      </c>
      <c r="G369">
        <f t="shared" si="31"/>
        <v>-546.18249999999989</v>
      </c>
      <c r="I369" s="28"/>
    </row>
    <row r="370" spans="3:9" x14ac:dyDescent="0.25">
      <c r="C370">
        <f t="shared" si="29"/>
        <v>302</v>
      </c>
      <c r="E370">
        <f t="shared" si="30"/>
        <v>3.3150000000000004</v>
      </c>
      <c r="G370">
        <f t="shared" si="31"/>
        <v>-549.49749999999995</v>
      </c>
      <c r="I370" s="28"/>
    </row>
    <row r="371" spans="3:9" x14ac:dyDescent="0.25">
      <c r="C371">
        <f t="shared" si="29"/>
        <v>303</v>
      </c>
      <c r="E371">
        <f t="shared" si="30"/>
        <v>3.3224999999999998</v>
      </c>
      <c r="G371">
        <f t="shared" si="31"/>
        <v>-552.81999999999994</v>
      </c>
      <c r="I371" s="28"/>
    </row>
    <row r="372" spans="3:9" x14ac:dyDescent="0.25">
      <c r="C372">
        <f t="shared" si="29"/>
        <v>304</v>
      </c>
      <c r="E372">
        <f t="shared" si="30"/>
        <v>3.33</v>
      </c>
      <c r="G372">
        <f t="shared" si="31"/>
        <v>-556.15</v>
      </c>
      <c r="I372" s="28"/>
    </row>
    <row r="373" spans="3:9" x14ac:dyDescent="0.25">
      <c r="C373">
        <f t="shared" si="29"/>
        <v>305</v>
      </c>
      <c r="E373">
        <f t="shared" si="30"/>
        <v>3.3375000000000004</v>
      </c>
      <c r="G373">
        <f t="shared" si="31"/>
        <v>-559.48749999999995</v>
      </c>
      <c r="I373" s="28"/>
    </row>
    <row r="374" spans="3:9" x14ac:dyDescent="0.25">
      <c r="C374">
        <f t="shared" ref="C374:C426" si="32">C373+1</f>
        <v>306</v>
      </c>
      <c r="E374">
        <f t="shared" si="30"/>
        <v>3.3449999999999998</v>
      </c>
      <c r="G374">
        <f t="shared" si="31"/>
        <v>-562.83249999999998</v>
      </c>
      <c r="I374" s="28"/>
    </row>
    <row r="375" spans="3:9" x14ac:dyDescent="0.25">
      <c r="C375">
        <f t="shared" si="32"/>
        <v>307</v>
      </c>
      <c r="E375">
        <f t="shared" si="30"/>
        <v>3.3525</v>
      </c>
      <c r="G375">
        <f t="shared" si="31"/>
        <v>-566.18499999999995</v>
      </c>
      <c r="I375" s="28"/>
    </row>
    <row r="376" spans="3:9" x14ac:dyDescent="0.25">
      <c r="C376">
        <f t="shared" si="32"/>
        <v>308</v>
      </c>
      <c r="E376">
        <f t="shared" si="30"/>
        <v>3.3600000000000003</v>
      </c>
      <c r="G376">
        <f t="shared" si="31"/>
        <v>-569.54499999999996</v>
      </c>
      <c r="I376" s="28"/>
    </row>
    <row r="377" spans="3:9" x14ac:dyDescent="0.25">
      <c r="C377">
        <f t="shared" si="32"/>
        <v>309</v>
      </c>
      <c r="E377">
        <f t="shared" si="30"/>
        <v>3.3674999999999997</v>
      </c>
      <c r="G377">
        <f t="shared" si="31"/>
        <v>-572.91249999999991</v>
      </c>
      <c r="I377" s="28"/>
    </row>
    <row r="378" spans="3:9" x14ac:dyDescent="0.25">
      <c r="C378">
        <f t="shared" si="32"/>
        <v>310</v>
      </c>
      <c r="E378">
        <f t="shared" si="30"/>
        <v>3.375</v>
      </c>
      <c r="G378">
        <f t="shared" si="31"/>
        <v>-576.28749999999991</v>
      </c>
      <c r="I378" s="28"/>
    </row>
    <row r="379" spans="3:9" x14ac:dyDescent="0.25">
      <c r="C379">
        <f t="shared" si="32"/>
        <v>311</v>
      </c>
      <c r="E379">
        <f t="shared" si="30"/>
        <v>3.3825000000000003</v>
      </c>
      <c r="G379">
        <f t="shared" si="31"/>
        <v>-579.66999999999996</v>
      </c>
      <c r="I379" s="28"/>
    </row>
    <row r="380" spans="3:9" x14ac:dyDescent="0.25">
      <c r="C380">
        <f t="shared" si="32"/>
        <v>312</v>
      </c>
      <c r="E380">
        <f t="shared" si="30"/>
        <v>3.3899999999999997</v>
      </c>
      <c r="G380">
        <f t="shared" si="31"/>
        <v>-583.05999999999995</v>
      </c>
      <c r="I380" s="28"/>
    </row>
    <row r="381" spans="3:9" x14ac:dyDescent="0.25">
      <c r="C381">
        <f t="shared" si="32"/>
        <v>313</v>
      </c>
      <c r="E381">
        <f t="shared" si="30"/>
        <v>3.3975</v>
      </c>
      <c r="G381">
        <f t="shared" si="31"/>
        <v>-586.45749999999998</v>
      </c>
      <c r="I381" s="28"/>
    </row>
    <row r="382" spans="3:9" x14ac:dyDescent="0.25">
      <c r="C382">
        <f t="shared" si="32"/>
        <v>314</v>
      </c>
      <c r="E382">
        <f t="shared" si="30"/>
        <v>3.4050000000000002</v>
      </c>
      <c r="G382">
        <f t="shared" si="31"/>
        <v>-589.86249999999995</v>
      </c>
      <c r="I382" s="28"/>
    </row>
    <row r="383" spans="3:9" x14ac:dyDescent="0.25">
      <c r="C383">
        <f t="shared" si="32"/>
        <v>315</v>
      </c>
      <c r="E383">
        <f t="shared" si="30"/>
        <v>3.4124999999999996</v>
      </c>
      <c r="G383">
        <f t="shared" si="31"/>
        <v>-593.27499999999998</v>
      </c>
      <c r="I383" s="28"/>
    </row>
    <row r="384" spans="3:9" x14ac:dyDescent="0.25">
      <c r="C384">
        <f t="shared" si="32"/>
        <v>316</v>
      </c>
      <c r="E384">
        <f t="shared" si="30"/>
        <v>3.42</v>
      </c>
      <c r="G384">
        <f t="shared" si="31"/>
        <v>-596.69499999999994</v>
      </c>
      <c r="I384" s="28"/>
    </row>
    <row r="385" spans="3:9" x14ac:dyDescent="0.25">
      <c r="C385">
        <f t="shared" si="32"/>
        <v>317</v>
      </c>
      <c r="E385">
        <f t="shared" si="30"/>
        <v>3.4275000000000002</v>
      </c>
      <c r="G385">
        <f t="shared" si="31"/>
        <v>-600.12249999999995</v>
      </c>
      <c r="I385" s="28"/>
    </row>
    <row r="386" spans="3:9" x14ac:dyDescent="0.25">
      <c r="C386">
        <f t="shared" si="32"/>
        <v>318</v>
      </c>
      <c r="E386">
        <f t="shared" si="30"/>
        <v>3.4349999999999996</v>
      </c>
      <c r="G386">
        <f t="shared" si="31"/>
        <v>-603.55749999999989</v>
      </c>
      <c r="I386" s="28"/>
    </row>
    <row r="387" spans="3:9" x14ac:dyDescent="0.25">
      <c r="C387">
        <f t="shared" si="32"/>
        <v>319</v>
      </c>
      <c r="E387">
        <f t="shared" si="30"/>
        <v>3.4424999999999999</v>
      </c>
      <c r="G387">
        <f t="shared" si="31"/>
        <v>-606.99999999999989</v>
      </c>
      <c r="I387" s="28"/>
    </row>
    <row r="388" spans="3:9" x14ac:dyDescent="0.25">
      <c r="C388">
        <f t="shared" si="32"/>
        <v>320</v>
      </c>
      <c r="E388">
        <f t="shared" si="30"/>
        <v>3.45</v>
      </c>
      <c r="G388">
        <f t="shared" si="31"/>
        <v>-610.44999999999993</v>
      </c>
      <c r="I388" s="28"/>
    </row>
    <row r="389" spans="3:9" x14ac:dyDescent="0.25">
      <c r="C389">
        <f t="shared" si="32"/>
        <v>321</v>
      </c>
      <c r="E389">
        <f t="shared" si="30"/>
        <v>3.4574999999999996</v>
      </c>
      <c r="G389">
        <f t="shared" si="31"/>
        <v>-613.90749999999991</v>
      </c>
      <c r="I389" s="28"/>
    </row>
    <row r="390" spans="3:9" x14ac:dyDescent="0.25">
      <c r="C390">
        <f t="shared" si="32"/>
        <v>322</v>
      </c>
      <c r="E390">
        <f t="shared" ref="E390:E426" si="33">IF(C390&gt;$C$18,$C$16+(C390*$C$17),(($C$16)*$C$19)+(C390*$C$17))</f>
        <v>3.4649999999999999</v>
      </c>
      <c r="G390">
        <f t="shared" si="31"/>
        <v>-617.37249999999995</v>
      </c>
      <c r="I390" s="28"/>
    </row>
    <row r="391" spans="3:9" x14ac:dyDescent="0.25">
      <c r="C391">
        <f t="shared" si="32"/>
        <v>323</v>
      </c>
      <c r="E391">
        <f t="shared" si="33"/>
        <v>3.4725000000000001</v>
      </c>
      <c r="G391">
        <f t="shared" ref="G391:G426" si="34">G390-E391</f>
        <v>-620.84499999999991</v>
      </c>
      <c r="I391" s="28"/>
    </row>
    <row r="392" spans="3:9" x14ac:dyDescent="0.25">
      <c r="C392">
        <f t="shared" si="32"/>
        <v>324</v>
      </c>
      <c r="E392">
        <f t="shared" si="33"/>
        <v>3.4799999999999995</v>
      </c>
      <c r="G392">
        <f t="shared" si="34"/>
        <v>-624.32499999999993</v>
      </c>
      <c r="I392" s="28"/>
    </row>
    <row r="393" spans="3:9" x14ac:dyDescent="0.25">
      <c r="C393">
        <f t="shared" si="32"/>
        <v>325</v>
      </c>
      <c r="E393">
        <f t="shared" si="33"/>
        <v>3.4874999999999998</v>
      </c>
      <c r="G393">
        <f t="shared" si="34"/>
        <v>-627.81249999999989</v>
      </c>
      <c r="I393" s="28"/>
    </row>
    <row r="394" spans="3:9" x14ac:dyDescent="0.25">
      <c r="C394">
        <f t="shared" si="32"/>
        <v>326</v>
      </c>
      <c r="E394">
        <f t="shared" si="33"/>
        <v>3.4950000000000001</v>
      </c>
      <c r="G394">
        <f t="shared" si="34"/>
        <v>-631.30749999999989</v>
      </c>
      <c r="I394" s="28"/>
    </row>
    <row r="395" spans="3:9" x14ac:dyDescent="0.25">
      <c r="C395">
        <f t="shared" si="32"/>
        <v>327</v>
      </c>
      <c r="E395">
        <f t="shared" si="33"/>
        <v>3.5025000000000004</v>
      </c>
      <c r="G395">
        <f t="shared" si="34"/>
        <v>-634.80999999999995</v>
      </c>
      <c r="I395" s="28"/>
    </row>
    <row r="396" spans="3:9" x14ac:dyDescent="0.25">
      <c r="C396">
        <f t="shared" si="32"/>
        <v>328</v>
      </c>
      <c r="E396">
        <f t="shared" si="33"/>
        <v>3.51</v>
      </c>
      <c r="G396">
        <f t="shared" si="34"/>
        <v>-638.31999999999994</v>
      </c>
      <c r="I396" s="28"/>
    </row>
    <row r="397" spans="3:9" x14ac:dyDescent="0.25">
      <c r="C397">
        <f t="shared" si="32"/>
        <v>329</v>
      </c>
      <c r="E397">
        <f t="shared" si="33"/>
        <v>3.5175000000000001</v>
      </c>
      <c r="G397">
        <f t="shared" si="34"/>
        <v>-641.83749999999998</v>
      </c>
      <c r="I397" s="28"/>
    </row>
    <row r="398" spans="3:9" x14ac:dyDescent="0.25">
      <c r="C398">
        <f t="shared" si="32"/>
        <v>330</v>
      </c>
      <c r="E398">
        <f t="shared" si="33"/>
        <v>3.5250000000000004</v>
      </c>
      <c r="G398">
        <f t="shared" si="34"/>
        <v>-645.36249999999995</v>
      </c>
      <c r="I398" s="28"/>
    </row>
    <row r="399" spans="3:9" x14ac:dyDescent="0.25">
      <c r="C399">
        <f t="shared" si="32"/>
        <v>331</v>
      </c>
      <c r="E399">
        <f t="shared" si="33"/>
        <v>3.5324999999999998</v>
      </c>
      <c r="G399">
        <f t="shared" si="34"/>
        <v>-648.89499999999998</v>
      </c>
      <c r="I399" s="28"/>
    </row>
    <row r="400" spans="3:9" x14ac:dyDescent="0.25">
      <c r="C400">
        <f t="shared" si="32"/>
        <v>332</v>
      </c>
      <c r="E400">
        <f t="shared" si="33"/>
        <v>3.54</v>
      </c>
      <c r="G400">
        <f t="shared" si="34"/>
        <v>-652.43499999999995</v>
      </c>
      <c r="I400" s="28"/>
    </row>
    <row r="401" spans="3:9" x14ac:dyDescent="0.25">
      <c r="C401">
        <f t="shared" si="32"/>
        <v>333</v>
      </c>
      <c r="E401">
        <f t="shared" si="33"/>
        <v>3.5475000000000003</v>
      </c>
      <c r="G401">
        <f t="shared" si="34"/>
        <v>-655.98249999999996</v>
      </c>
      <c r="I401" s="28"/>
    </row>
    <row r="402" spans="3:9" x14ac:dyDescent="0.25">
      <c r="C402">
        <f t="shared" si="32"/>
        <v>334</v>
      </c>
      <c r="E402">
        <f t="shared" si="33"/>
        <v>3.5549999999999997</v>
      </c>
      <c r="G402">
        <f t="shared" si="34"/>
        <v>-659.53749999999991</v>
      </c>
      <c r="I402" s="28"/>
    </row>
    <row r="403" spans="3:9" x14ac:dyDescent="0.25">
      <c r="C403">
        <f t="shared" si="32"/>
        <v>335</v>
      </c>
      <c r="E403">
        <f t="shared" si="33"/>
        <v>3.5625</v>
      </c>
      <c r="G403">
        <f t="shared" si="34"/>
        <v>-663.09999999999991</v>
      </c>
      <c r="I403" s="28"/>
    </row>
    <row r="404" spans="3:9" x14ac:dyDescent="0.25">
      <c r="C404">
        <f t="shared" si="32"/>
        <v>336</v>
      </c>
      <c r="E404">
        <f t="shared" si="33"/>
        <v>3.5700000000000003</v>
      </c>
      <c r="G404">
        <f t="shared" si="34"/>
        <v>-666.67</v>
      </c>
      <c r="I404" s="28"/>
    </row>
    <row r="405" spans="3:9" x14ac:dyDescent="0.25">
      <c r="C405">
        <f t="shared" si="32"/>
        <v>337</v>
      </c>
      <c r="E405">
        <f t="shared" si="33"/>
        <v>3.5774999999999997</v>
      </c>
      <c r="G405">
        <f t="shared" si="34"/>
        <v>-670.24749999999995</v>
      </c>
      <c r="I405" s="28"/>
    </row>
    <row r="406" spans="3:9" x14ac:dyDescent="0.25">
      <c r="C406">
        <f t="shared" si="32"/>
        <v>338</v>
      </c>
      <c r="E406">
        <f t="shared" si="33"/>
        <v>3.585</v>
      </c>
      <c r="G406">
        <f t="shared" si="34"/>
        <v>-673.83249999999998</v>
      </c>
      <c r="I406" s="28"/>
    </row>
    <row r="407" spans="3:9" x14ac:dyDescent="0.25">
      <c r="C407">
        <f t="shared" si="32"/>
        <v>339</v>
      </c>
      <c r="E407">
        <f t="shared" si="33"/>
        <v>3.5925000000000002</v>
      </c>
      <c r="G407">
        <f t="shared" si="34"/>
        <v>-677.42499999999995</v>
      </c>
      <c r="I407" s="28"/>
    </row>
    <row r="408" spans="3:9" x14ac:dyDescent="0.25">
      <c r="C408">
        <f t="shared" si="32"/>
        <v>340</v>
      </c>
      <c r="E408">
        <f t="shared" si="33"/>
        <v>3.5999999999999996</v>
      </c>
      <c r="G408">
        <f t="shared" si="34"/>
        <v>-681.02499999999998</v>
      </c>
      <c r="I408" s="28"/>
    </row>
    <row r="409" spans="3:9" x14ac:dyDescent="0.25">
      <c r="C409">
        <f t="shared" si="32"/>
        <v>341</v>
      </c>
      <c r="E409">
        <f t="shared" si="33"/>
        <v>3.6074999999999999</v>
      </c>
      <c r="G409">
        <f t="shared" si="34"/>
        <v>-684.63249999999994</v>
      </c>
      <c r="I409" s="28"/>
    </row>
    <row r="410" spans="3:9" x14ac:dyDescent="0.25">
      <c r="C410">
        <f t="shared" si="32"/>
        <v>342</v>
      </c>
      <c r="E410">
        <f t="shared" si="33"/>
        <v>3.6150000000000002</v>
      </c>
      <c r="G410">
        <f t="shared" si="34"/>
        <v>-688.24749999999995</v>
      </c>
      <c r="I410" s="28"/>
    </row>
    <row r="411" spans="3:9" x14ac:dyDescent="0.25">
      <c r="C411">
        <f t="shared" si="32"/>
        <v>343</v>
      </c>
      <c r="E411">
        <f t="shared" si="33"/>
        <v>3.6224999999999996</v>
      </c>
      <c r="G411">
        <f t="shared" si="34"/>
        <v>-691.86999999999989</v>
      </c>
      <c r="I411" s="28"/>
    </row>
    <row r="412" spans="3:9" x14ac:dyDescent="0.25">
      <c r="C412">
        <f t="shared" si="32"/>
        <v>344</v>
      </c>
      <c r="E412">
        <f t="shared" si="33"/>
        <v>3.63</v>
      </c>
      <c r="G412">
        <f t="shared" si="34"/>
        <v>-695.49999999999989</v>
      </c>
      <c r="I412" s="28"/>
    </row>
    <row r="413" spans="3:9" x14ac:dyDescent="0.25">
      <c r="C413">
        <f t="shared" si="32"/>
        <v>345</v>
      </c>
      <c r="E413">
        <f t="shared" si="33"/>
        <v>3.6375000000000002</v>
      </c>
      <c r="G413">
        <f t="shared" si="34"/>
        <v>-699.13749999999993</v>
      </c>
      <c r="I413" s="28"/>
    </row>
    <row r="414" spans="3:9" x14ac:dyDescent="0.25">
      <c r="C414">
        <f t="shared" si="32"/>
        <v>346</v>
      </c>
      <c r="E414">
        <f t="shared" si="33"/>
        <v>3.6449999999999996</v>
      </c>
      <c r="G414">
        <f t="shared" si="34"/>
        <v>-702.78249999999991</v>
      </c>
      <c r="I414" s="28"/>
    </row>
    <row r="415" spans="3:9" x14ac:dyDescent="0.25">
      <c r="C415">
        <f t="shared" si="32"/>
        <v>347</v>
      </c>
      <c r="E415">
        <f t="shared" si="33"/>
        <v>3.6524999999999999</v>
      </c>
      <c r="G415">
        <f t="shared" si="34"/>
        <v>-706.43499999999995</v>
      </c>
      <c r="I415" s="28"/>
    </row>
    <row r="416" spans="3:9" x14ac:dyDescent="0.25">
      <c r="C416">
        <f t="shared" si="32"/>
        <v>348</v>
      </c>
      <c r="E416">
        <f t="shared" si="33"/>
        <v>3.66</v>
      </c>
      <c r="G416">
        <f t="shared" si="34"/>
        <v>-710.09499999999991</v>
      </c>
      <c r="I416" s="28"/>
    </row>
    <row r="417" spans="3:9" x14ac:dyDescent="0.25">
      <c r="C417">
        <f t="shared" si="32"/>
        <v>349</v>
      </c>
      <c r="E417">
        <f t="shared" si="33"/>
        <v>3.6674999999999995</v>
      </c>
      <c r="G417">
        <f t="shared" si="34"/>
        <v>-713.76249999999993</v>
      </c>
      <c r="I417" s="28"/>
    </row>
    <row r="418" spans="3:9" x14ac:dyDescent="0.25">
      <c r="C418">
        <f t="shared" si="32"/>
        <v>350</v>
      </c>
      <c r="E418">
        <f t="shared" si="33"/>
        <v>3.6749999999999998</v>
      </c>
      <c r="G418">
        <f t="shared" si="34"/>
        <v>-717.43749999999989</v>
      </c>
      <c r="I418" s="28"/>
    </row>
    <row r="419" spans="3:9" x14ac:dyDescent="0.25">
      <c r="C419">
        <f t="shared" si="32"/>
        <v>351</v>
      </c>
      <c r="E419">
        <f t="shared" si="33"/>
        <v>3.6825000000000001</v>
      </c>
      <c r="G419">
        <f t="shared" si="34"/>
        <v>-721.11999999999989</v>
      </c>
      <c r="I419" s="28"/>
    </row>
    <row r="420" spans="3:9" x14ac:dyDescent="0.25">
      <c r="C420">
        <f t="shared" si="32"/>
        <v>352</v>
      </c>
      <c r="E420">
        <f t="shared" si="33"/>
        <v>3.6899999999999995</v>
      </c>
      <c r="G420">
        <f t="shared" si="34"/>
        <v>-724.81</v>
      </c>
      <c r="I420" s="28"/>
    </row>
    <row r="421" spans="3:9" x14ac:dyDescent="0.25">
      <c r="C421">
        <f t="shared" si="32"/>
        <v>353</v>
      </c>
      <c r="E421">
        <f t="shared" si="33"/>
        <v>3.6974999999999998</v>
      </c>
      <c r="G421">
        <f t="shared" si="34"/>
        <v>-728.50749999999994</v>
      </c>
      <c r="I421" s="28"/>
    </row>
    <row r="422" spans="3:9" x14ac:dyDescent="0.25">
      <c r="C422">
        <f t="shared" si="32"/>
        <v>354</v>
      </c>
      <c r="E422">
        <f t="shared" si="33"/>
        <v>3.7050000000000001</v>
      </c>
      <c r="G422">
        <f t="shared" si="34"/>
        <v>-732.21249999999998</v>
      </c>
      <c r="I422" s="28"/>
    </row>
    <row r="423" spans="3:9" x14ac:dyDescent="0.25">
      <c r="C423">
        <f t="shared" si="32"/>
        <v>355</v>
      </c>
      <c r="E423">
        <f t="shared" si="33"/>
        <v>3.7125000000000004</v>
      </c>
      <c r="G423">
        <f t="shared" si="34"/>
        <v>-735.92499999999995</v>
      </c>
      <c r="I423" s="28"/>
    </row>
    <row r="424" spans="3:9" x14ac:dyDescent="0.25">
      <c r="C424">
        <f t="shared" si="32"/>
        <v>356</v>
      </c>
      <c r="E424">
        <f t="shared" si="33"/>
        <v>3.7199999999999998</v>
      </c>
      <c r="G424">
        <f t="shared" si="34"/>
        <v>-739.64499999999998</v>
      </c>
      <c r="I424" s="28"/>
    </row>
    <row r="425" spans="3:9" x14ac:dyDescent="0.25">
      <c r="C425">
        <f t="shared" si="32"/>
        <v>357</v>
      </c>
      <c r="E425">
        <f t="shared" si="33"/>
        <v>3.7275</v>
      </c>
      <c r="G425">
        <f t="shared" si="34"/>
        <v>-743.37249999999995</v>
      </c>
      <c r="I425" s="28"/>
    </row>
    <row r="426" spans="3:9" x14ac:dyDescent="0.25">
      <c r="C426">
        <f t="shared" si="32"/>
        <v>358</v>
      </c>
      <c r="E426">
        <f t="shared" si="33"/>
        <v>3.7350000000000003</v>
      </c>
      <c r="G426">
        <f t="shared" si="34"/>
        <v>-747.10749999999996</v>
      </c>
      <c r="I426" s="28"/>
    </row>
  </sheetData>
  <conditionalFormatting sqref="L134:L145">
    <cfRule type="expression" dxfId="12" priority="4">
      <formula>L134="vvv"</formula>
    </cfRule>
    <cfRule type="expression" dxfId="11" priority="5">
      <formula>L134="vv"</formula>
    </cfRule>
    <cfRule type="expression" dxfId="10" priority="6">
      <formula>L134="v"</formula>
    </cfRule>
  </conditionalFormatting>
  <conditionalFormatting sqref="N134:O145">
    <cfRule type="expression" dxfId="9" priority="3">
      <formula>N134="v"</formula>
    </cfRule>
  </conditionalFormatting>
  <conditionalFormatting sqref="N134:O145">
    <cfRule type="expression" dxfId="8" priority="1">
      <formula>N134="vvv"</formula>
    </cfRule>
  </conditionalFormatting>
  <conditionalFormatting sqref="N134:O145">
    <cfRule type="expression" dxfId="7"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I135" sqref="I135"/>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7987</v>
      </c>
      <c r="L6" t="s">
        <v>7989</v>
      </c>
    </row>
    <row r="7" spans="2:13" x14ac:dyDescent="0.25">
      <c r="C7" t="s">
        <v>248</v>
      </c>
      <c r="D7" t="s">
        <v>245</v>
      </c>
      <c r="E7" t="s">
        <v>246</v>
      </c>
      <c r="F7" t="s">
        <v>529</v>
      </c>
      <c r="G7" t="s">
        <v>531</v>
      </c>
      <c r="H7" t="s">
        <v>530</v>
      </c>
      <c r="I7" t="s">
        <v>532</v>
      </c>
      <c r="J7" t="s">
        <v>7985</v>
      </c>
      <c r="K7" t="s">
        <v>7986</v>
      </c>
      <c r="L7" t="s">
        <v>7988</v>
      </c>
    </row>
    <row r="8" spans="2:13" x14ac:dyDescent="0.25">
      <c r="B8" t="s">
        <v>533</v>
      </c>
      <c r="C8" t="s">
        <v>249</v>
      </c>
      <c r="D8" t="s">
        <v>528</v>
      </c>
      <c r="E8">
        <f ca="1">DATA_SCENES_UNITY_1!C6+DATA_SCENES_UNITY_1!N6+DATA_SCENES_UNITY_1!Y6+DATA_SCENES_UNITY_1!AJ6+DATA_SCENES_UNITY_1!AU6+DATA_SCENES_UNITY_1!BF6+DATA_SCENES_UNITY_1!BQ6+DATA_SCENES_UNITY_1!CB6</f>
        <v>192326</v>
      </c>
      <c r="F8">
        <f>DATA_SCENES_UNITY_1!C7+DATA_SCENES_UNITY_1!N7+DATA_SCENES_UNITY_1!Y7+DATA_SCENES_UNITY_1!AJ7+DATA_SCENES_UNITY_1!AU7+DATA_SCENES_UNITY_1!BF7+DATA_SCENES_UNITY_1!BQ7+DATA_SCENES_UNITY_1!CB7</f>
        <v>2403</v>
      </c>
      <c r="G8">
        <f ca="1">DATA_SCENES_UNITY_1!C8+DATA_SCENES_UNITY_1!N8+DATA_SCENES_UNITY_1!Y8+DATA_SCENES_UNITY_1!AJ8+DATA_SCENES_UNITY_1!AU8+DATA_SCENES_UNITY_1!BF8+DATA_SCENES_UNITY_1!BQ8+DATA_SCENES_UNITY_1!CB8</f>
        <v>787</v>
      </c>
      <c r="H8">
        <f ca="1">DATA_SCENES_UNITY_1!C9+DATA_SCENES_UNITY_1!N9+DATA_SCENES_UNITY_1!Y9+DATA_SCENES_UNITY_1!AJ9+DATA_SCENES_UNITY_1!AU9+DATA_SCENES_UNITY_1!BF9+DATA_SCENES_UNITY_1!BQ9++DATA_SCENES_UNITY_1!CB9</f>
        <v>1616</v>
      </c>
      <c r="I8" s="75">
        <f>DATA_SCENES_UNITY_1!C11+DATA_SCENES_UNITY_1!N11+DATA_SCENES_UNITY_1!Y11+DATA_SCENES_UNITY_1!AJ11+DATA_SCENES_UNITY_1!AU11+DATA_SCENES_UNITY_1!BF11+DATA_SCENES_UNITY_1!BQ11++DATA_SCENES_UNITY_1!CB11</f>
        <v>4453</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v>
      </c>
    </row>
    <row r="9" spans="2:13" x14ac:dyDescent="0.25">
      <c r="B9" t="s">
        <v>534</v>
      </c>
      <c r="C9" t="s">
        <v>490</v>
      </c>
      <c r="D9" t="s">
        <v>528</v>
      </c>
      <c r="E9">
        <f ca="1">DATA_SCENES_UNITY_1!CM6+DATA_SCENES_UNITY_1!CX6+DATA_SCENES_UNITY_1!DI6+DATA_SCENES_UNITY_1!DT6+DATA_SCENES_UNITY_1!EE6</f>
        <v>140015</v>
      </c>
      <c r="F9">
        <f>DATA_SCENES_UNITY_1!CM7+DATA_SCENES_UNITY_1!CX7+DATA_SCENES_UNITY_1!DI7+DATA_SCENES_UNITY_1!DT7+DATA_SCENES_UNITY_1!EE7</f>
        <v>1945</v>
      </c>
      <c r="G9">
        <f ca="1">DATA_SCENES_UNITY_1!CM8+DATA_SCENES_UNITY_1!CX8+DATA_SCENES_UNITY_1!DI8+DATA_SCENES_UNITY_1!DT8+DATA_SCENES_UNITY_1!EE8</f>
        <v>497</v>
      </c>
      <c r="H9">
        <f ca="1">DATA_SCENES_UNITY_1!CM9+DATA_SCENES_UNITY_1!CX9+DATA_SCENES_UNITY_1!DI9+DATA_SCENES_UNITY_1!DT9+DATA_SCENES_UNITY_1!EE9</f>
        <v>1448</v>
      </c>
      <c r="I9" s="75">
        <f>DATA_SCENES_UNITY_1!CM11+DATA_SCENES_UNITY_1!CX11+DATA_SCENES_UNITY_1!DI11+DATA_SCENES_UNITY_1!DT11+DATA_SCENES_UNITY_1!EE11</f>
        <v>3657.5</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0.12</v>
      </c>
      <c r="L9" s="178">
        <f ca="1">ROUND(Table51718[[#This Row],[Size]]/Table51718[[#This Row],[Total xp available]],2)</f>
        <v>8.32</v>
      </c>
    </row>
    <row r="10" spans="2:13" x14ac:dyDescent="0.25">
      <c r="B10" t="s">
        <v>576</v>
      </c>
      <c r="C10" t="s">
        <v>527</v>
      </c>
      <c r="D10" t="s">
        <v>528</v>
      </c>
      <c r="E10">
        <f ca="1">DATA_SCENES_UNITY_1!EP6+DATA_SCENES_UNITY_1!FA6+DATA_SCENES_UNITY_1!FL6+DATA_SCENES_UNITY_1!FW6+DATA_SCENES_UNITY_1!GH6</f>
        <v>132702</v>
      </c>
      <c r="F10">
        <f>DATA_SCENES_UNITY_1!EP7+DATA_SCENES_UNITY_1!FA7+DATA_SCENES_UNITY_1!FL7+DATA_SCENES_UNITY_1!FW7+DATA_SCENES_UNITY_1!GH7</f>
        <v>1025</v>
      </c>
      <c r="G10">
        <f ca="1">DATA_SCENES_UNITY_1!EP8+DATA_SCENES_UNITY_1!FA8+DATA_SCENES_UNITY_1!FL8+DATA_SCENES_UNITY_1!FW8+DATA_SCENES_UNITY_1!GH8</f>
        <v>341</v>
      </c>
      <c r="H10">
        <f ca="1">DATA_SCENES_UNITY_1!EP9+DATA_SCENES_UNITY_1!FA9+DATA_SCENES_UNITY_1!FL9+DATA_SCENES_UNITY_1!FW9+DATA_SCENES_UNITY_1!GH9</f>
        <v>736</v>
      </c>
      <c r="I10" s="75">
        <f>DATA_SCENES_UNITY_1!EP11+DATA_SCENES_UNITY_1!FA11+DATA_SCENES_UNITY_1!FL11+DATA_SCENES_UNITY_1!FW11+DATA_SCENES_UNITY_1!GH11</f>
        <v>2452.5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9.89</v>
      </c>
    </row>
    <row r="16" spans="2:13" x14ac:dyDescent="0.25">
      <c r="I16" s="142" t="s">
        <v>2431</v>
      </c>
      <c r="J16" s="143"/>
      <c r="K16" s="144"/>
    </row>
    <row r="17" spans="9:11" x14ac:dyDescent="0.25">
      <c r="I17" s="132" t="s">
        <v>2433</v>
      </c>
      <c r="J17" s="133">
        <f ca="1">SUM(Table51718[Total xp available])</f>
        <v>465043</v>
      </c>
      <c r="K17" s="134"/>
    </row>
    <row r="18" spans="9:11" x14ac:dyDescent="0.25">
      <c r="I18" s="132" t="s">
        <v>2432</v>
      </c>
      <c r="J18" s="133">
        <f>SUM(Table51718[Total spawners])</f>
        <v>5373</v>
      </c>
      <c r="K18" s="134"/>
    </row>
    <row r="19" spans="9:11" x14ac:dyDescent="0.25">
      <c r="I19" s="132" t="s">
        <v>2434</v>
      </c>
      <c r="J19" s="133">
        <f ca="1">SUM(Table51718[Total enemies])</f>
        <v>1625</v>
      </c>
      <c r="K19" s="135" t="str">
        <f ca="1">CONCATENATE(ROUND((J19/J18)*100,0),"%")</f>
        <v>30%</v>
      </c>
    </row>
    <row r="20" spans="9:11" x14ac:dyDescent="0.25">
      <c r="I20" s="132" t="s">
        <v>2435</v>
      </c>
      <c r="J20" s="133">
        <f ca="1">SUM(Table51718[Total preys])</f>
        <v>3800</v>
      </c>
      <c r="K20" s="135" t="str">
        <f ca="1">CONCATENATE(ROUND((J20/J18)*100,0),"%")</f>
        <v>71%</v>
      </c>
    </row>
    <row r="21" spans="9:11" x14ac:dyDescent="0.25">
      <c r="I21" s="132" t="s">
        <v>2436</v>
      </c>
      <c r="J21" s="133">
        <f>ROUND(SUM(Table51718[Total entities]),0)</f>
        <v>10563</v>
      </c>
      <c r="K21" s="134"/>
    </row>
    <row r="22" spans="9:11" x14ac:dyDescent="0.25">
      <c r="I22" s="136"/>
      <c r="J22" s="137"/>
      <c r="K22" s="134"/>
    </row>
    <row r="23" spans="9:11" x14ac:dyDescent="0.25">
      <c r="I23" s="136"/>
      <c r="J23" s="137"/>
      <c r="K23" s="134"/>
    </row>
    <row r="24" spans="9:11" x14ac:dyDescent="0.25">
      <c r="I24" s="132" t="s">
        <v>499</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500</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12%</v>
      </c>
      <c r="K25" s="134"/>
    </row>
    <row r="26" spans="9:11" x14ac:dyDescent="0.25">
      <c r="I26" s="132" t="s">
        <v>501</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502</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2410</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8,77%</v>
      </c>
      <c r="K30" s="141"/>
    </row>
    <row r="108" spans="4:6" x14ac:dyDescent="0.25">
      <c r="D108" s="1" t="s">
        <v>2426</v>
      </c>
    </row>
    <row r="110" spans="4:6" x14ac:dyDescent="0.25">
      <c r="D110" t="s">
        <v>265</v>
      </c>
      <c r="E110" t="s">
        <v>2427</v>
      </c>
      <c r="F110" t="s">
        <v>2428</v>
      </c>
    </row>
    <row r="111" spans="4:6" x14ac:dyDescent="0.25">
      <c r="D111" t="str">
        <f ca="1">INDIRECT(ADDRESS((1+MATCH(E111,'PROG. SPAWNERS'!$E$2:$E$92,0)),1,1,1,"Prog. Spawners"))</f>
        <v>SpiderSmall</v>
      </c>
      <c r="E111">
        <f>LARGE('PROG. SPAWNERS'!$E$2:$E$92,1)</f>
        <v>572</v>
      </c>
      <c r="F111">
        <f>ROUND((Table27[[#This Row],[Total in game]]/SUM(Table27[Total in game]))*100,2)</f>
        <v>10.37</v>
      </c>
    </row>
    <row r="112" spans="4:6" x14ac:dyDescent="0.25">
      <c r="D112" t="str">
        <f ca="1">INDIRECT(ADDRESS((1+MATCH(E112,'PROG. SPAWNERS'!$E$2:$E$92,0)),1,1,1,"Prog. Spawners"))</f>
        <v>Canary</v>
      </c>
      <c r="E112">
        <f>LARGE('PROG. SPAWNERS'!$E$2:$E$92,2)</f>
        <v>493</v>
      </c>
      <c r="F112">
        <f>LARGE(Table1[Percentage4],2)</f>
        <v>5.8</v>
      </c>
    </row>
    <row r="113" spans="4:6" x14ac:dyDescent="0.25">
      <c r="D113" t="str">
        <f ca="1">INDIRECT(ADDRESS((1+MATCH(E113,'PROG. SPAWNERS'!$E$2:$E$92,0)),1,1,1,"Prog. Spawners"))</f>
        <v>StarSky</v>
      </c>
      <c r="E113">
        <f>LARGE('PROG. SPAWNERS'!$E$2:$E$92,3)</f>
        <v>320</v>
      </c>
      <c r="F113">
        <f>LARGE(Table1[Percentage4],3)</f>
        <v>5.2</v>
      </c>
    </row>
    <row r="114" spans="4:6" x14ac:dyDescent="0.25">
      <c r="D114" t="str">
        <f ca="1">INDIRECT(ADDRESS((1+MATCH(E114,'PROG. SPAWNERS'!$E$2:$E$92,0)),1,1,1,"Prog. Spawners"))</f>
        <v>BatSmall_Flock</v>
      </c>
      <c r="E114">
        <f>LARGE('PROG. SPAWNERS'!$E$2:$E$92,4)</f>
        <v>284</v>
      </c>
      <c r="F114">
        <f>LARGE(Table1[Percentage4],4)</f>
        <v>5</v>
      </c>
    </row>
    <row r="115" spans="4:6" x14ac:dyDescent="0.25">
      <c r="D115" t="str">
        <f ca="1">INDIRECT(ADDRESS((1+MATCH(E115,'PROG. SPAWNERS'!$E$2:$E$92,0)),1,1,1,"Prog. Spawners"))</f>
        <v>Miner</v>
      </c>
      <c r="E115">
        <f>LARGE('PROG. SPAWNERS'!$E$2:$E$92,5)</f>
        <v>213</v>
      </c>
      <c r="F115">
        <f>LARGE(Table1[Percentage4],5)</f>
        <v>2.8</v>
      </c>
    </row>
    <row r="116" spans="4:6" x14ac:dyDescent="0.25">
      <c r="D116" t="s">
        <v>2429</v>
      </c>
      <c r="E116">
        <f>GETPIVOTDATA("Sum of Total in the game",'PROG. SPAWNERS'!$A$1) - SUM(E111:E115)</f>
        <v>3636</v>
      </c>
      <c r="F116">
        <f>100-SUM(F111:F115)</f>
        <v>70.83</v>
      </c>
    </row>
    <row r="120" spans="4:6" x14ac:dyDescent="0.25">
      <c r="D120" s="1" t="s">
        <v>3858</v>
      </c>
    </row>
    <row r="122" spans="4:6" x14ac:dyDescent="0.25">
      <c r="D122" t="s">
        <v>3856</v>
      </c>
      <c r="E122" t="s">
        <v>245</v>
      </c>
      <c r="F122" t="s">
        <v>3857</v>
      </c>
    </row>
    <row r="123" spans="4:6" x14ac:dyDescent="0.25">
      <c r="D123" t="s">
        <v>533</v>
      </c>
      <c r="E123" t="str">
        <f>DATA_SCENES_UNITY_1!N18</f>
        <v>Waterfall</v>
      </c>
      <c r="F123" s="148">
        <f>DATA_SCENES_UNITY_1!Q11</f>
        <v>3.8899999999999997E-2</v>
      </c>
    </row>
    <row r="124" spans="4:6" x14ac:dyDescent="0.25">
      <c r="D124" t="s">
        <v>533</v>
      </c>
      <c r="E124" t="str">
        <f>DATA_SCENES_UNITY_1!C18</f>
        <v>Human Village</v>
      </c>
      <c r="F124" s="148">
        <f>DATA_SCENES_UNITY_1!F11</f>
        <v>3.4799999999999998E-2</v>
      </c>
    </row>
    <row r="125" spans="4:6" x14ac:dyDescent="0.25">
      <c r="D125" t="s">
        <v>533</v>
      </c>
      <c r="E125" t="str">
        <f>DATA_SCENES_UNITY_1!AJ18</f>
        <v>Goblin city</v>
      </c>
      <c r="F125" s="148">
        <f>DATA_SCENES_UNITY_1!AM11</f>
        <v>3.15E-2</v>
      </c>
    </row>
    <row r="126" spans="4:6" x14ac:dyDescent="0.25">
      <c r="D126" t="s">
        <v>534</v>
      </c>
      <c r="E126" t="str">
        <f>DATA_SCENES_UNITY_1!DI18</f>
        <v>Big caves</v>
      </c>
      <c r="F126" s="148">
        <f>DATA_SCENES_UNITY_1!DL11</f>
        <v>3.09E-2</v>
      </c>
    </row>
    <row r="127" spans="4:6" x14ac:dyDescent="0.25">
      <c r="D127" t="s">
        <v>576</v>
      </c>
      <c r="E127" t="str">
        <f>DATA_SCENES_UNITY_1!EP18</f>
        <v>Tree</v>
      </c>
      <c r="F127" s="148">
        <f>DATA_SCENES_UNITY_1!ES11</f>
        <v>2.8400000000000002E-2</v>
      </c>
    </row>
    <row r="128" spans="4:6" x14ac:dyDescent="0.25">
      <c r="D128" t="s">
        <v>534</v>
      </c>
      <c r="E128" t="str">
        <f>DATA_SCENES_UNITY_1!CX18</f>
        <v>Small caves</v>
      </c>
      <c r="F128" s="148">
        <f>DATA_SCENES_UNITY_1!DA11</f>
        <v>2.7799999999999998E-2</v>
      </c>
    </row>
    <row r="129" spans="4:6" x14ac:dyDescent="0.25">
      <c r="D129" t="s">
        <v>533</v>
      </c>
      <c r="E129" t="str">
        <f>DATA_SCENES_UNITY_1!Y18</f>
        <v>Cave</v>
      </c>
      <c r="F129" s="148">
        <f>DATA_SCENES_UNITY_1!AB11</f>
        <v>2.53E-2</v>
      </c>
    </row>
    <row r="130" spans="4:6" x14ac:dyDescent="0.25">
      <c r="D130" t="s">
        <v>533</v>
      </c>
      <c r="E130" t="str">
        <f>DATA_SCENES_UNITY_1!AU18</f>
        <v>Witch forest</v>
      </c>
      <c r="F130" s="148">
        <f>DATA_SCENES_UNITY_1!AX11</f>
        <v>2.4500000000000001E-2</v>
      </c>
    </row>
    <row r="131" spans="4:6" x14ac:dyDescent="0.25">
      <c r="D131" t="s">
        <v>533</v>
      </c>
      <c r="E131" t="str">
        <f>DATA_SCENES_UNITY_1!BQ18</f>
        <v>Human forest</v>
      </c>
      <c r="F131" s="148">
        <f>DATA_SCENES_UNITY_1!BT11</f>
        <v>2.3699999999999999E-2</v>
      </c>
    </row>
    <row r="132" spans="4:6" x14ac:dyDescent="0.25">
      <c r="D132" t="s">
        <v>576</v>
      </c>
      <c r="E132" t="str">
        <f>DATA_SCENES_UNITY_1!FA18</f>
        <v>Underground</v>
      </c>
      <c r="F132" s="148">
        <f>DATA_SCENES_UNITY_1!FD11</f>
        <v>2.2200000000000001E-2</v>
      </c>
    </row>
    <row r="133" spans="4:6" x14ac:dyDescent="0.25">
      <c r="D133" t="s">
        <v>534</v>
      </c>
      <c r="E133" t="str">
        <f>DATA_SCENES_UNITY_1!CM18</f>
        <v>Market</v>
      </c>
      <c r="F133" s="148">
        <f>DATA_SCENES_UNITY_1!CP11</f>
        <v>2.1899999999999999E-2</v>
      </c>
    </row>
    <row r="134" spans="4:6" x14ac:dyDescent="0.25">
      <c r="D134" t="s">
        <v>533</v>
      </c>
      <c r="E134" t="str">
        <f>DATA_SCENES_UNITY_1!BF18</f>
        <v>Big caves</v>
      </c>
      <c r="F134" s="148">
        <f>DATA_SCENES_UNITY_1!BI11</f>
        <v>1.9800000000000002E-2</v>
      </c>
    </row>
    <row r="135" spans="4:6" x14ac:dyDescent="0.25">
      <c r="D135" t="s">
        <v>534</v>
      </c>
      <c r="E135" t="str">
        <f>DATA_SCENES_UNITY_1!DT18</f>
        <v>Mines</v>
      </c>
      <c r="F135" s="148">
        <f>DATA_SCENES_UNITY_1!DW11</f>
        <v>1.7399999999999999E-2</v>
      </c>
    </row>
    <row r="136" spans="4:6" x14ac:dyDescent="0.25">
      <c r="D136" t="s">
        <v>576</v>
      </c>
      <c r="E136" t="str">
        <f>DATA_SCENES_UNITY_1!FW18</f>
        <v>Lower Part</v>
      </c>
      <c r="F136" s="148">
        <f>DATA_SCENES_UNITY_1!FZ11</f>
        <v>8.8999999999999999E-3</v>
      </c>
    </row>
    <row r="137" spans="4:6" x14ac:dyDescent="0.25">
      <c r="D137" t="s">
        <v>576</v>
      </c>
      <c r="E137" t="str">
        <f>DATA_SCENES_UNITY_1!FL18</f>
        <v>Upper Part</v>
      </c>
      <c r="F137" s="148">
        <f>DATA_SCENES_UNITY_1!FO11</f>
        <v>5.7000000000000002E-3</v>
      </c>
    </row>
    <row r="138" spans="4:6" x14ac:dyDescent="0.25">
      <c r="D138" t="s">
        <v>534</v>
      </c>
      <c r="E138" t="str">
        <f>DATA_SCENES_UNITY_1!EE18</f>
        <v>Sky castle</v>
      </c>
      <c r="F138" s="148">
        <f>DATA_SCENES_UNITY_1!EH11</f>
        <v>2.2000000000000001E-3</v>
      </c>
    </row>
    <row r="139" spans="4:6" x14ac:dyDescent="0.25">
      <c r="D139" t="s">
        <v>533</v>
      </c>
      <c r="E139" t="str">
        <f>DATA_SCENES_UNITY_1!CB18</f>
        <v>Sky village</v>
      </c>
      <c r="F139" s="148">
        <f>DATA_SCENES_UNITY_1!CE11</f>
        <v>1.9E-3</v>
      </c>
    </row>
    <row r="140" spans="4:6" x14ac:dyDescent="0.25">
      <c r="D140" t="s">
        <v>576</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topLeftCell="A73" zoomScaleNormal="100" workbookViewId="0">
      <selection activeCell="E103" sqref="E10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248</v>
      </c>
      <c r="D7" t="s">
        <v>245</v>
      </c>
      <c r="E7" t="s">
        <v>246</v>
      </c>
      <c r="F7" t="s">
        <v>247</v>
      </c>
    </row>
    <row r="8" spans="3:13" x14ac:dyDescent="0.25">
      <c r="C8" t="s">
        <v>249</v>
      </c>
      <c r="D8" t="s">
        <v>380</v>
      </c>
      <c r="E8">
        <f ca="1">DATA_SCENES_UNITY_1!C6</f>
        <v>49942</v>
      </c>
      <c r="F8">
        <v>0</v>
      </c>
      <c r="M8" s="1"/>
    </row>
    <row r="9" spans="3:13" x14ac:dyDescent="0.25">
      <c r="C9" t="s">
        <v>249</v>
      </c>
      <c r="D9" t="s">
        <v>251</v>
      </c>
      <c r="E9">
        <f ca="1">DATA_SCENES_UNITY_1!N6</f>
        <v>17474</v>
      </c>
      <c r="F9">
        <f ca="1">ROUNDUP(E8*0.1,0)</f>
        <v>4995</v>
      </c>
    </row>
    <row r="10" spans="3:13" x14ac:dyDescent="0.25">
      <c r="C10" t="s">
        <v>249</v>
      </c>
      <c r="D10" t="s">
        <v>437</v>
      </c>
      <c r="E10">
        <f ca="1">DATA_SCENES_UNITY_1!Y6</f>
        <v>4618</v>
      </c>
      <c r="F10">
        <f ca="1">ROUNDUP(E9*0.1,0)</f>
        <v>1748</v>
      </c>
    </row>
    <row r="11" spans="3:13" x14ac:dyDescent="0.25">
      <c r="C11" t="s">
        <v>249</v>
      </c>
      <c r="D11" t="s">
        <v>443</v>
      </c>
      <c r="E11">
        <f ca="1">DATA_SCENES_UNITY_1!BF6</f>
        <v>22683</v>
      </c>
      <c r="F11">
        <f t="shared" ref="F11:F13" ca="1" si="0">ROUNDUP(E10*0.1,0)</f>
        <v>462</v>
      </c>
    </row>
    <row r="12" spans="3:13" x14ac:dyDescent="0.25">
      <c r="C12" t="s">
        <v>249</v>
      </c>
      <c r="D12" t="s">
        <v>250</v>
      </c>
      <c r="E12">
        <f ca="1">DATA_SCENES_UNITY_1!AJ6</f>
        <v>30448</v>
      </c>
      <c r="F12">
        <f t="shared" ca="1" si="0"/>
        <v>2269</v>
      </c>
    </row>
    <row r="13" spans="3:13" x14ac:dyDescent="0.25">
      <c r="C13" t="s">
        <v>249</v>
      </c>
      <c r="D13" t="s">
        <v>381</v>
      </c>
      <c r="E13">
        <f ca="1">DATA_SCENES_UNITY_1!AU6</f>
        <v>11948</v>
      </c>
      <c r="F13">
        <f t="shared" ca="1" si="0"/>
        <v>3045</v>
      </c>
    </row>
    <row r="14" spans="3:13" x14ac:dyDescent="0.25">
      <c r="C14" t="s">
        <v>249</v>
      </c>
      <c r="D14" t="s">
        <v>442</v>
      </c>
      <c r="E14">
        <f ca="1">DATA_SCENES_UNITY_1!BQ6</f>
        <v>39537</v>
      </c>
      <c r="F14">
        <f ca="1">ROUNDUP(E13*0.1,0)</f>
        <v>1195</v>
      </c>
    </row>
    <row r="15" spans="3:13" x14ac:dyDescent="0.25">
      <c r="C15" t="s">
        <v>249</v>
      </c>
      <c r="D15" t="s">
        <v>3821</v>
      </c>
      <c r="E15">
        <f ca="1">DATA_SCENES_UNITY_1!CB6</f>
        <v>15676</v>
      </c>
      <c r="F15">
        <v>0</v>
      </c>
    </row>
    <row r="93" spans="4:6" x14ac:dyDescent="0.25">
      <c r="D93" s="1" t="s">
        <v>2426</v>
      </c>
    </row>
    <row r="95" spans="4:6" x14ac:dyDescent="0.25">
      <c r="D95" t="s">
        <v>265</v>
      </c>
      <c r="E95" t="s">
        <v>2427</v>
      </c>
      <c r="F95" t="s">
        <v>2428</v>
      </c>
    </row>
    <row r="96" spans="4:6" x14ac:dyDescent="0.25">
      <c r="D96" t="str">
        <f ca="1">INDIRECT(ADDRESS((1+MATCH(E96,'PROG. SPAWNERS'!$B$2:$B$92,0)),1,1,1,"Prog. Spawners"))</f>
        <v>Canary</v>
      </c>
      <c r="E96">
        <f>LARGE('PROG. SPAWNERS'!$B$2:$B$92,1)</f>
        <v>382</v>
      </c>
      <c r="F96">
        <f>ROUND((Table2730[[#This Row],[Total in game]]/SUM(Table2730[Total in game]))*100,2)</f>
        <v>15.53</v>
      </c>
    </row>
    <row r="97" spans="4:6" x14ac:dyDescent="0.25">
      <c r="D97" t="str">
        <f ca="1">INDIRECT(ADDRESS((1+MATCH(E97,'PROG. SPAWNERS'!$B$2:$B$92,0)),1,1,1,"Prog. Spawners"))</f>
        <v>SpiderSmall</v>
      </c>
      <c r="E97">
        <f>LARGE('PROG. SPAWNERS'!$B$2:$B$92,2)</f>
        <v>293</v>
      </c>
      <c r="F97">
        <f>ROUND((Table2730[[#This Row],[Total in game]]/SUM(Table2730[Total in game]))*100,2)</f>
        <v>11.92</v>
      </c>
    </row>
    <row r="98" spans="4:6" x14ac:dyDescent="0.25">
      <c r="D98" t="str">
        <f ca="1">INDIRECT(ADDRESS((1+MATCH(E98,'PROG. SPAWNERS'!$B$2:$B$92,0)),1,1,1,"Prog. Spawners"))</f>
        <v>StarSky</v>
      </c>
      <c r="E98">
        <f>LARGE('PROG. SPAWNERS'!$B$2:$B$92,3)</f>
        <v>201</v>
      </c>
      <c r="F98">
        <f>ROUND((Table2730[[#This Row],[Total in game]]/SUM(Table2730[Total in game]))*100,2)</f>
        <v>8.17</v>
      </c>
    </row>
    <row r="99" spans="4:6" x14ac:dyDescent="0.25">
      <c r="D99" t="str">
        <f ca="1">INDIRECT(ADDRESS((1+MATCH(E99,'PROG. SPAWNERS'!$B$2:$B$92,0)),1,1,1,"Prog. Spawners"))</f>
        <v>Ghost01</v>
      </c>
      <c r="E99">
        <f>LARGE('PROG. SPAWNERS'!$B$2:$B$92,4)</f>
        <v>104</v>
      </c>
      <c r="F99">
        <f>ROUND((Table2730[[#This Row],[Total in game]]/SUM(Table2730[Total in game]))*100,2)</f>
        <v>4.2300000000000004</v>
      </c>
    </row>
    <row r="100" spans="4:6" x14ac:dyDescent="0.25">
      <c r="D100" t="str">
        <f ca="1">INDIRECT(ADDRESS((1+MATCH(E100,'PROG. SPAWNERS'!$B$2:$B$92,0)),1,1,1,"Prog. Spawners"))</f>
        <v>Worker</v>
      </c>
      <c r="E100">
        <f>LARGE('PROG. SPAWNERS'!$B$2:$B$92,5)</f>
        <v>84</v>
      </c>
      <c r="F100">
        <f>ROUND((Table2730[[#This Row],[Total in game]]/SUM(Table2730[Total in game]))*100,2)</f>
        <v>3.42</v>
      </c>
    </row>
    <row r="101" spans="4:6" x14ac:dyDescent="0.25">
      <c r="D101" t="s">
        <v>2429</v>
      </c>
      <c r="E101">
        <f>GETPIVOTDATA("Sum of Total in ""Village"" scene",'PROG. SPAWNERS'!$A$1) - SUM(E96:E100)</f>
        <v>1395</v>
      </c>
      <c r="F101">
        <f>100-SUM(F96:F100)</f>
        <v>56.730000000000004</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67" zoomScaleNormal="100" workbookViewId="0">
      <selection activeCell="F89" sqref="F89"/>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248</v>
      </c>
      <c r="D7" t="s">
        <v>245</v>
      </c>
      <c r="E7" t="s">
        <v>246</v>
      </c>
      <c r="F7" t="s">
        <v>247</v>
      </c>
    </row>
    <row r="8" spans="3:13" x14ac:dyDescent="0.25">
      <c r="C8" t="s">
        <v>490</v>
      </c>
      <c r="D8" t="s">
        <v>491</v>
      </c>
      <c r="E8">
        <f ca="1">DATA_SCENES_UNITY_1!CM6</f>
        <v>41004</v>
      </c>
      <c r="F8">
        <v>0</v>
      </c>
      <c r="M8" s="1"/>
    </row>
    <row r="9" spans="3:13" x14ac:dyDescent="0.25">
      <c r="C9" t="s">
        <v>490</v>
      </c>
      <c r="D9" t="s">
        <v>524</v>
      </c>
      <c r="E9">
        <f ca="1">DATA_SCENES_UNITY_1!CX6</f>
        <v>12213</v>
      </c>
      <c r="F9">
        <f ca="1">ROUNDUP(E8*0.1,0)</f>
        <v>4101</v>
      </c>
    </row>
    <row r="10" spans="3:13" x14ac:dyDescent="0.25">
      <c r="C10" t="s">
        <v>490</v>
      </c>
      <c r="D10" t="s">
        <v>525</v>
      </c>
      <c r="E10">
        <f ca="1">DATA_SCENES_UNITY_1!DI6</f>
        <v>25410</v>
      </c>
      <c r="F10">
        <f t="shared" ref="F10:F11" ca="1" si="0">ROUNDUP(E9*0.1,0)</f>
        <v>1222</v>
      </c>
    </row>
    <row r="11" spans="3:13" x14ac:dyDescent="0.25">
      <c r="C11" t="s">
        <v>490</v>
      </c>
      <c r="D11" t="s">
        <v>511</v>
      </c>
      <c r="E11">
        <f ca="1">DATA_SCENES_UNITY_1!DT6</f>
        <v>56642</v>
      </c>
      <c r="F11">
        <f t="shared" ca="1" si="0"/>
        <v>2541</v>
      </c>
    </row>
    <row r="12" spans="3:13" x14ac:dyDescent="0.25">
      <c r="C12" t="s">
        <v>490</v>
      </c>
      <c r="D12" t="s">
        <v>3835</v>
      </c>
      <c r="E12">
        <f ca="1">DATA_SCENES_UNITY_1!EE6</f>
        <v>4746</v>
      </c>
      <c r="F12">
        <v>0</v>
      </c>
    </row>
    <row r="79" spans="4:4" x14ac:dyDescent="0.25">
      <c r="D79" s="1" t="s">
        <v>2426</v>
      </c>
    </row>
    <row r="81" spans="4:6" x14ac:dyDescent="0.25">
      <c r="D81" t="s">
        <v>265</v>
      </c>
      <c r="E81" t="s">
        <v>2427</v>
      </c>
      <c r="F81" t="s">
        <v>2428</v>
      </c>
    </row>
    <row r="82" spans="4:6" x14ac:dyDescent="0.25">
      <c r="D82" t="str">
        <f ca="1">INDIRECT(ADDRESS((1+MATCH(E82,'PROG. SPAWNERS'!$C$2:$C$92,0)),1,1,1,"Prog. Spawners"))</f>
        <v>SpiderSmall</v>
      </c>
      <c r="E82">
        <f>LARGE('PROG. SPAWNERS'!$C$2:$C$92,1)</f>
        <v>247</v>
      </c>
      <c r="F82">
        <f>ROUND((Table273031[[#This Row],[Total in game]]/SUM(Table273031[Total in game]))*100,2)</f>
        <v>12.38</v>
      </c>
    </row>
    <row r="83" spans="4:6" x14ac:dyDescent="0.25">
      <c r="D83" t="str">
        <f ca="1">INDIRECT(ADDRESS((1+MATCH(E83,'PROG. SPAWNERS'!$C$2:$C$92,0)),1,1,1,"Prog. Spawners"))</f>
        <v>Miner</v>
      </c>
      <c r="E83">
        <f>LARGE('PROG. SPAWNERS'!$C$2:$C$92,2)</f>
        <v>213</v>
      </c>
      <c r="F83">
        <f>ROUND((Table273031[[#This Row],[Total in game]]/SUM(Table273031[Total in game]))*100,2)</f>
        <v>10.68</v>
      </c>
    </row>
    <row r="84" spans="4:6" x14ac:dyDescent="0.25">
      <c r="D84" t="str">
        <f ca="1">INDIRECT(ADDRESS((1+MATCH(E84,'PROG. SPAWNERS'!$C$2:$C$92,0)),1,1,1,"Prog. Spawners"))</f>
        <v>BatSmall_Flock</v>
      </c>
      <c r="E84">
        <f>LARGE('PROG. SPAWNERS'!$C$2:$C$92,3)</f>
        <v>136</v>
      </c>
      <c r="F84">
        <f>ROUND((Table273031[[#This Row],[Total in game]]/SUM(Table273031[Total in game]))*100,2)</f>
        <v>6.82</v>
      </c>
    </row>
    <row r="85" spans="4:6" x14ac:dyDescent="0.25">
      <c r="D85" t="str">
        <f ca="1">INDIRECT(ADDRESS((1+MATCH(E85,'PROG. SPAWNERS'!$C$2:$C$92,0)),1,1,1,"Prog. Spawners"))</f>
        <v>Canary</v>
      </c>
      <c r="E85">
        <f>LARGE('PROG. SPAWNERS'!$C$2:$C$92,4)</f>
        <v>111</v>
      </c>
      <c r="F85">
        <f>ROUND((Table273031[[#This Row],[Total in game]]/SUM(Table273031[Total in game]))*100,2)</f>
        <v>5.56</v>
      </c>
    </row>
    <row r="86" spans="4:6" x14ac:dyDescent="0.25">
      <c r="D86" t="str">
        <f ca="1">INDIRECT(ADDRESS((1+MATCH(E86,'PROG. SPAWNERS'!$C$2:$C$92,0)),1,1,1,"Prog. Spawners"))</f>
        <v>Fish</v>
      </c>
      <c r="E86">
        <f>LARGE('PROG. SPAWNERS'!$C$2:$C$92,5)</f>
        <v>91</v>
      </c>
      <c r="F86">
        <f>ROUND((Table273031[[#This Row],[Total in game]]/SUM(Table273031[Total in game]))*100,2)</f>
        <v>4.5599999999999996</v>
      </c>
    </row>
    <row r="87" spans="4:6" x14ac:dyDescent="0.25">
      <c r="D87" t="s">
        <v>2429</v>
      </c>
      <c r="E87">
        <f>GETPIVOTDATA("Sum of Total in ""Castle"" scene",'PROG. SPAWNERS'!$A$1) - SUM(E82:E86)</f>
        <v>1197</v>
      </c>
      <c r="F87">
        <f>100-SUM(F82:F86)</f>
        <v>59.999999999999993</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opLeftCell="A37" zoomScaleNormal="100" workbookViewId="0">
      <selection activeCell="F68" sqref="F6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248</v>
      </c>
      <c r="D7" t="s">
        <v>245</v>
      </c>
      <c r="E7" t="s">
        <v>246</v>
      </c>
      <c r="F7" t="s">
        <v>247</v>
      </c>
    </row>
    <row r="8" spans="3:13" x14ac:dyDescent="0.25">
      <c r="C8" t="s">
        <v>527</v>
      </c>
      <c r="D8" t="s">
        <v>565</v>
      </c>
      <c r="E8">
        <f ca="1">DATA_SCENES_UNITY_1!EP6</f>
        <v>43179</v>
      </c>
      <c r="F8">
        <v>0</v>
      </c>
      <c r="M8" s="1"/>
    </row>
    <row r="9" spans="3:13" x14ac:dyDescent="0.25">
      <c r="C9" t="s">
        <v>527</v>
      </c>
      <c r="D9" t="s">
        <v>567</v>
      </c>
      <c r="E9">
        <f ca="1">DATA_SCENES_UNITY_1!FA6</f>
        <v>26074</v>
      </c>
      <c r="F9">
        <f ca="1">ROUNDUP(E8*0.1,0)</f>
        <v>4318</v>
      </c>
    </row>
    <row r="10" spans="3:13" x14ac:dyDescent="0.25">
      <c r="C10" t="s">
        <v>527</v>
      </c>
      <c r="D10" s="92" t="s">
        <v>568</v>
      </c>
      <c r="E10" s="92">
        <f ca="1">DATA_SCENES_UNITY_1!FL6</f>
        <v>25023</v>
      </c>
      <c r="F10" s="92">
        <f t="shared" ref="F10:F11" ca="1" si="0">ROUNDUP(E9*0.1,0)</f>
        <v>2608</v>
      </c>
    </row>
    <row r="11" spans="3:13" x14ac:dyDescent="0.25">
      <c r="C11" t="s">
        <v>527</v>
      </c>
      <c r="D11" s="92" t="s">
        <v>569</v>
      </c>
      <c r="E11" s="92">
        <f ca="1">DATA_SCENES_UNITY_1!FW6</f>
        <v>31505</v>
      </c>
      <c r="F11" s="92">
        <f t="shared" ca="1" si="0"/>
        <v>2503</v>
      </c>
    </row>
    <row r="12" spans="3:13" x14ac:dyDescent="0.25">
      <c r="C12" t="s">
        <v>527</v>
      </c>
      <c r="D12" t="s">
        <v>3838</v>
      </c>
      <c r="E12">
        <f ca="1">DATA_SCENES_UNITY_1!GH6</f>
        <v>6921</v>
      </c>
      <c r="F12">
        <v>0</v>
      </c>
    </row>
    <row r="80" spans="4:4" x14ac:dyDescent="0.25">
      <c r="D80" s="1" t="s">
        <v>2426</v>
      </c>
    </row>
    <row r="82" spans="4:6" x14ac:dyDescent="0.25">
      <c r="D82" t="s">
        <v>265</v>
      </c>
      <c r="E82" t="s">
        <v>2427</v>
      </c>
      <c r="F82" t="s">
        <v>2428</v>
      </c>
    </row>
    <row r="83" spans="4:6" x14ac:dyDescent="0.25">
      <c r="D83" t="str">
        <f ca="1">INDIRECT(ADDRESS((1+MATCH(E83,'PROG. SPAWNERS'!$D$2:$D$92,0)),1,1,1,"Prog. Spawners"))</f>
        <v>BatSmall_Flock</v>
      </c>
      <c r="E83">
        <f>LARGE('PROG. SPAWNERS'!$D$2:$D$92,1)</f>
        <v>107</v>
      </c>
      <c r="F83">
        <f>ROUND((Table27303132[[#This Row],[Total in game]]/SUM(Table27303132[Total in game]))*100,2)</f>
        <v>10.06</v>
      </c>
    </row>
    <row r="84" spans="4:6" x14ac:dyDescent="0.25">
      <c r="D84" t="str">
        <f ca="1">INDIRECT(ADDRESS((1+MATCH(E84,'PROG. SPAWNERS'!$D$2:$D$92,0)),1,1,1,"Prog. Spawners"))</f>
        <v>StarSky</v>
      </c>
      <c r="E84">
        <f>LARGE('PROG. SPAWNERS'!$D$2:$D$92,2)</f>
        <v>101</v>
      </c>
      <c r="F84">
        <f>ROUND((Table27303132[[#This Row],[Total in game]]/SUM(Table27303132[Total in game]))*100,2)</f>
        <v>9.49</v>
      </c>
    </row>
    <row r="85" spans="4:6" x14ac:dyDescent="0.25">
      <c r="D85" t="str">
        <f ca="1">INDIRECT(ADDRESS((1+MATCH(E85,'PROG. SPAWNERS'!$D$2:$D$92,0)),1,1,1,"Prog. Spawners"))</f>
        <v>HermitCrabBlueSmall</v>
      </c>
      <c r="E85">
        <f>LARGE('PROG. SPAWNERS'!$D$2:$D$92,3)</f>
        <v>56</v>
      </c>
      <c r="F85">
        <f>ROUND((Table27303132[[#This Row],[Total in game]]/SUM(Table27303132[Total in game]))*100,2)</f>
        <v>5.26</v>
      </c>
    </row>
    <row r="86" spans="4:6" x14ac:dyDescent="0.25">
      <c r="D86" t="str">
        <f ca="1">INDIRECT(ADDRESS((1+MATCH(E86,'PROG. SPAWNERS'!$D$2:$D$92,0)),1,1,1,"Prog. Spawners"))</f>
        <v>Firefly</v>
      </c>
      <c r="E86">
        <f>LARGE('PROG. SPAWNERS'!$D$2:$D$92,4)</f>
        <v>43</v>
      </c>
      <c r="F86">
        <f>ROUND((Table27303132[[#This Row],[Total in game]]/SUM(Table27303132[Total in game]))*100,2)</f>
        <v>4.04</v>
      </c>
    </row>
    <row r="87" spans="4:6" x14ac:dyDescent="0.25">
      <c r="D87" t="str">
        <f ca="1">INDIRECT(ADDRESS((1+MATCH(E87,'PROG. SPAWNERS'!$D$2:$D$92,0)),1,1,1,"Prog. Spawners"))</f>
        <v>Crow_Flock</v>
      </c>
      <c r="E87">
        <f>LARGE('PROG. SPAWNERS'!$D$2:$D$92,5)</f>
        <v>42</v>
      </c>
      <c r="F87">
        <f>ROUND((Table27303132[[#This Row],[Total in game]]/SUM(Table27303132[Total in game]))*100,2)</f>
        <v>3.95</v>
      </c>
    </row>
    <row r="88" spans="4:6" x14ac:dyDescent="0.25">
      <c r="D88" t="s">
        <v>2429</v>
      </c>
      <c r="E88">
        <f>GETPIVOTDATA("Sum of Total in ""Dark"" scene",'PROG. SPAWNERS'!$A$1) - SUM(E83:E87)</f>
        <v>715</v>
      </c>
      <c r="F88">
        <f>100-SUM(F83:F87)</f>
        <v>67.199999999999989</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3"/>
  <sheetViews>
    <sheetView topLeftCell="A52" workbookViewId="0">
      <selection activeCell="E92" sqref="E92"/>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3850</v>
      </c>
      <c r="B1" t="s">
        <v>3852</v>
      </c>
      <c r="C1" t="s">
        <v>3853</v>
      </c>
      <c r="D1" t="s">
        <v>3854</v>
      </c>
      <c r="E1" t="s">
        <v>3855</v>
      </c>
    </row>
    <row r="2" spans="1:5" x14ac:dyDescent="0.25">
      <c r="A2" s="148" t="s">
        <v>8</v>
      </c>
      <c r="B2" s="75">
        <v>6</v>
      </c>
      <c r="C2" s="75">
        <v>7</v>
      </c>
      <c r="D2" s="75">
        <v>7</v>
      </c>
      <c r="E2" s="75">
        <v>20</v>
      </c>
    </row>
    <row r="3" spans="1:5" x14ac:dyDescent="0.25">
      <c r="A3" s="148" t="s">
        <v>8020</v>
      </c>
      <c r="B3" s="75">
        <v>36</v>
      </c>
      <c r="C3" s="75">
        <v>40</v>
      </c>
      <c r="D3" s="75">
        <v>0</v>
      </c>
      <c r="E3" s="75">
        <v>76</v>
      </c>
    </row>
    <row r="4" spans="1:5" x14ac:dyDescent="0.25">
      <c r="A4" s="148" t="s">
        <v>406</v>
      </c>
      <c r="B4" s="75">
        <v>15</v>
      </c>
      <c r="C4" s="75">
        <v>0</v>
      </c>
      <c r="D4" s="75">
        <v>0</v>
      </c>
      <c r="E4" s="75">
        <v>15</v>
      </c>
    </row>
    <row r="5" spans="1:5" x14ac:dyDescent="0.25">
      <c r="A5" s="148" t="s">
        <v>411</v>
      </c>
      <c r="B5" s="75">
        <v>45</v>
      </c>
      <c r="C5" s="75">
        <v>35</v>
      </c>
      <c r="D5" s="75">
        <v>6</v>
      </c>
      <c r="E5" s="75">
        <v>86</v>
      </c>
    </row>
    <row r="6" spans="1:5" x14ac:dyDescent="0.25">
      <c r="A6" s="148" t="s">
        <v>412</v>
      </c>
      <c r="B6" s="75">
        <v>1</v>
      </c>
      <c r="C6" s="75">
        <v>0</v>
      </c>
      <c r="D6" s="75">
        <v>9</v>
      </c>
      <c r="E6" s="75">
        <v>10</v>
      </c>
    </row>
    <row r="7" spans="1:5" x14ac:dyDescent="0.25">
      <c r="A7" s="148" t="s">
        <v>68</v>
      </c>
      <c r="B7" s="75">
        <v>5</v>
      </c>
      <c r="C7" s="75">
        <v>0</v>
      </c>
      <c r="D7" s="75">
        <v>0</v>
      </c>
      <c r="E7" s="75">
        <v>5</v>
      </c>
    </row>
    <row r="8" spans="1:5" x14ac:dyDescent="0.25">
      <c r="A8" s="148" t="s">
        <v>84</v>
      </c>
      <c r="B8" s="75">
        <v>28</v>
      </c>
      <c r="C8" s="75">
        <v>29</v>
      </c>
      <c r="D8" s="75">
        <v>16</v>
      </c>
      <c r="E8" s="75">
        <v>73</v>
      </c>
    </row>
    <row r="9" spans="1:5" x14ac:dyDescent="0.25">
      <c r="A9" s="148" t="s">
        <v>85</v>
      </c>
      <c r="B9" s="75">
        <v>41</v>
      </c>
      <c r="C9" s="75">
        <v>136</v>
      </c>
      <c r="D9" s="75">
        <v>107</v>
      </c>
      <c r="E9" s="75">
        <v>284</v>
      </c>
    </row>
    <row r="10" spans="1:5" x14ac:dyDescent="0.25">
      <c r="A10" s="148" t="s">
        <v>69</v>
      </c>
      <c r="B10" s="75">
        <v>2</v>
      </c>
      <c r="C10" s="75">
        <v>5</v>
      </c>
      <c r="D10" s="75">
        <v>0</v>
      </c>
      <c r="E10" s="75">
        <v>7</v>
      </c>
    </row>
    <row r="11" spans="1:5" x14ac:dyDescent="0.25">
      <c r="A11" s="148" t="s">
        <v>80</v>
      </c>
      <c r="B11" s="75">
        <v>13</v>
      </c>
      <c r="C11" s="75">
        <v>20</v>
      </c>
      <c r="D11" s="75">
        <v>0</v>
      </c>
      <c r="E11" s="75">
        <v>33</v>
      </c>
    </row>
    <row r="12" spans="1:5" x14ac:dyDescent="0.25">
      <c r="A12" s="148" t="s">
        <v>2731</v>
      </c>
      <c r="B12" s="75">
        <v>10</v>
      </c>
      <c r="C12" s="75">
        <v>4</v>
      </c>
      <c r="D12" s="75">
        <v>2</v>
      </c>
      <c r="E12" s="75">
        <v>16</v>
      </c>
    </row>
    <row r="13" spans="1:5" x14ac:dyDescent="0.25">
      <c r="A13" s="148" t="s">
        <v>2639</v>
      </c>
      <c r="B13" s="75">
        <v>0</v>
      </c>
      <c r="C13" s="75">
        <v>0</v>
      </c>
      <c r="D13" s="75">
        <v>9</v>
      </c>
      <c r="E13" s="75">
        <v>9</v>
      </c>
    </row>
    <row r="14" spans="1:5" x14ac:dyDescent="0.25">
      <c r="A14" s="148" t="s">
        <v>8040</v>
      </c>
      <c r="B14" s="75">
        <v>3</v>
      </c>
      <c r="C14" s="75">
        <v>1</v>
      </c>
      <c r="D14" s="75">
        <v>0</v>
      </c>
      <c r="E14" s="75">
        <v>4</v>
      </c>
    </row>
    <row r="15" spans="1:5" x14ac:dyDescent="0.25">
      <c r="A15" s="148" t="s">
        <v>3846</v>
      </c>
      <c r="B15" s="75">
        <v>382</v>
      </c>
      <c r="C15" s="75">
        <v>111</v>
      </c>
      <c r="D15" s="75">
        <v>0</v>
      </c>
      <c r="E15" s="75">
        <v>493</v>
      </c>
    </row>
    <row r="16" spans="1:5" x14ac:dyDescent="0.25">
      <c r="A16" s="148" t="s">
        <v>8021</v>
      </c>
      <c r="B16" s="75">
        <v>0</v>
      </c>
      <c r="C16" s="75">
        <v>0</v>
      </c>
      <c r="D16" s="75">
        <v>13</v>
      </c>
      <c r="E16" s="75">
        <v>13</v>
      </c>
    </row>
    <row r="17" spans="1:5" x14ac:dyDescent="0.25">
      <c r="A17" s="148" t="s">
        <v>2641</v>
      </c>
      <c r="B17" s="75">
        <v>0</v>
      </c>
      <c r="C17" s="75">
        <v>0</v>
      </c>
      <c r="D17" s="75">
        <v>26</v>
      </c>
      <c r="E17" s="75">
        <v>26</v>
      </c>
    </row>
    <row r="18" spans="1:5" x14ac:dyDescent="0.25">
      <c r="A18" s="148" t="s">
        <v>2642</v>
      </c>
      <c r="B18" s="75">
        <v>0</v>
      </c>
      <c r="C18" s="75">
        <v>0</v>
      </c>
      <c r="D18" s="75">
        <v>5</v>
      </c>
      <c r="E18" s="75">
        <v>5</v>
      </c>
    </row>
    <row r="19" spans="1:5" x14ac:dyDescent="0.25">
      <c r="A19" s="148" t="s">
        <v>70</v>
      </c>
      <c r="B19" s="75">
        <v>11</v>
      </c>
      <c r="C19" s="75">
        <v>0</v>
      </c>
      <c r="D19" s="75">
        <v>0</v>
      </c>
      <c r="E19" s="75">
        <v>11</v>
      </c>
    </row>
    <row r="20" spans="1:5" x14ac:dyDescent="0.25">
      <c r="A20" s="148" t="s">
        <v>118</v>
      </c>
      <c r="B20" s="75">
        <v>0</v>
      </c>
      <c r="C20" s="75">
        <v>15</v>
      </c>
      <c r="D20" s="75">
        <v>0</v>
      </c>
      <c r="E20" s="75">
        <v>15</v>
      </c>
    </row>
    <row r="21" spans="1:5" x14ac:dyDescent="0.25">
      <c r="A21" s="148" t="s">
        <v>100</v>
      </c>
      <c r="B21" s="75">
        <v>60</v>
      </c>
      <c r="C21" s="75">
        <v>39</v>
      </c>
      <c r="D21" s="75">
        <v>42</v>
      </c>
      <c r="E21" s="75">
        <v>141</v>
      </c>
    </row>
    <row r="22" spans="1:5" x14ac:dyDescent="0.25">
      <c r="A22" s="148" t="s">
        <v>478</v>
      </c>
      <c r="B22" s="75">
        <v>0</v>
      </c>
      <c r="C22" s="75">
        <v>13</v>
      </c>
      <c r="D22" s="75">
        <v>0</v>
      </c>
      <c r="E22" s="75">
        <v>13</v>
      </c>
    </row>
    <row r="23" spans="1:5" x14ac:dyDescent="0.25">
      <c r="A23" s="148" t="s">
        <v>101</v>
      </c>
      <c r="B23" s="75">
        <v>29</v>
      </c>
      <c r="C23" s="75">
        <v>10</v>
      </c>
      <c r="D23" s="75">
        <v>0</v>
      </c>
      <c r="E23" s="75">
        <v>39</v>
      </c>
    </row>
    <row r="24" spans="1:5" x14ac:dyDescent="0.25">
      <c r="A24" s="148" t="s">
        <v>102</v>
      </c>
      <c r="B24" s="75">
        <v>13</v>
      </c>
      <c r="C24" s="75">
        <v>6</v>
      </c>
      <c r="D24" s="75">
        <v>2</v>
      </c>
      <c r="E24" s="75">
        <v>21</v>
      </c>
    </row>
    <row r="25" spans="1:5" x14ac:dyDescent="0.25">
      <c r="A25" s="148" t="s">
        <v>103</v>
      </c>
      <c r="B25" s="75">
        <v>10</v>
      </c>
      <c r="C25" s="75">
        <v>15</v>
      </c>
      <c r="D25" s="75">
        <v>5</v>
      </c>
      <c r="E25" s="75">
        <v>30</v>
      </c>
    </row>
    <row r="26" spans="1:5" x14ac:dyDescent="0.25">
      <c r="A26" s="148" t="s">
        <v>104</v>
      </c>
      <c r="B26" s="75">
        <v>17</v>
      </c>
      <c r="C26" s="75">
        <v>14</v>
      </c>
      <c r="D26" s="75">
        <v>8</v>
      </c>
      <c r="E26" s="75">
        <v>39</v>
      </c>
    </row>
    <row r="27" spans="1:5" x14ac:dyDescent="0.25">
      <c r="A27" s="148" t="s">
        <v>105</v>
      </c>
      <c r="B27" s="75">
        <v>7</v>
      </c>
      <c r="C27" s="75">
        <v>6</v>
      </c>
      <c r="D27" s="75">
        <v>4</v>
      </c>
      <c r="E27" s="75">
        <v>17</v>
      </c>
    </row>
    <row r="28" spans="1:5" x14ac:dyDescent="0.25">
      <c r="A28" s="148" t="s">
        <v>414</v>
      </c>
      <c r="B28" s="75">
        <v>7</v>
      </c>
      <c r="C28" s="75">
        <v>18</v>
      </c>
      <c r="D28" s="75">
        <v>14</v>
      </c>
      <c r="E28" s="75">
        <v>39</v>
      </c>
    </row>
    <row r="29" spans="1:5" x14ac:dyDescent="0.25">
      <c r="A29" s="148" t="s">
        <v>415</v>
      </c>
      <c r="B29" s="75">
        <v>18</v>
      </c>
      <c r="C29" s="75">
        <v>27</v>
      </c>
      <c r="D29" s="75">
        <v>14</v>
      </c>
      <c r="E29" s="75">
        <v>59</v>
      </c>
    </row>
    <row r="30" spans="1:5" x14ac:dyDescent="0.25">
      <c r="A30" s="148" t="s">
        <v>2643</v>
      </c>
      <c r="B30" s="75">
        <v>0</v>
      </c>
      <c r="C30" s="75">
        <v>0</v>
      </c>
      <c r="D30" s="75">
        <v>43</v>
      </c>
      <c r="E30" s="75">
        <v>43</v>
      </c>
    </row>
    <row r="31" spans="1:5" x14ac:dyDescent="0.25">
      <c r="A31" s="148" t="s">
        <v>3847</v>
      </c>
      <c r="B31" s="75">
        <v>38</v>
      </c>
      <c r="C31" s="75">
        <v>91</v>
      </c>
      <c r="D31" s="75">
        <v>31</v>
      </c>
      <c r="E31" s="75">
        <v>160</v>
      </c>
    </row>
    <row r="32" spans="1:5" x14ac:dyDescent="0.25">
      <c r="A32" s="148" t="s">
        <v>403</v>
      </c>
      <c r="B32" s="75">
        <v>16</v>
      </c>
      <c r="C32" s="75">
        <v>14</v>
      </c>
      <c r="D32" s="75">
        <v>0</v>
      </c>
      <c r="E32" s="75">
        <v>30</v>
      </c>
    </row>
    <row r="33" spans="1:5" x14ac:dyDescent="0.25">
      <c r="A33" s="148" t="s">
        <v>106</v>
      </c>
      <c r="B33" s="75">
        <v>21</v>
      </c>
      <c r="C33" s="75">
        <v>20</v>
      </c>
      <c r="D33" s="75">
        <v>27</v>
      </c>
      <c r="E33" s="75">
        <v>68</v>
      </c>
    </row>
    <row r="34" spans="1:5" x14ac:dyDescent="0.25">
      <c r="A34" s="148" t="s">
        <v>107</v>
      </c>
      <c r="B34" s="75">
        <v>104</v>
      </c>
      <c r="C34" s="75">
        <v>26</v>
      </c>
      <c r="D34" s="75">
        <v>28</v>
      </c>
      <c r="E34" s="75">
        <v>158</v>
      </c>
    </row>
    <row r="35" spans="1:5" x14ac:dyDescent="0.25">
      <c r="A35" s="148" t="s">
        <v>108</v>
      </c>
      <c r="B35" s="75">
        <v>65</v>
      </c>
      <c r="C35" s="75">
        <v>6</v>
      </c>
      <c r="D35" s="75">
        <v>27</v>
      </c>
      <c r="E35" s="75">
        <v>98</v>
      </c>
    </row>
    <row r="36" spans="1:5" x14ac:dyDescent="0.25">
      <c r="A36" s="148" t="s">
        <v>109</v>
      </c>
      <c r="B36" s="75">
        <v>37</v>
      </c>
      <c r="C36" s="75">
        <v>13</v>
      </c>
      <c r="D36" s="75">
        <v>38</v>
      </c>
      <c r="E36" s="75">
        <v>88</v>
      </c>
    </row>
    <row r="37" spans="1:5" x14ac:dyDescent="0.25">
      <c r="A37" s="148" t="s">
        <v>354</v>
      </c>
      <c r="B37" s="75">
        <v>3</v>
      </c>
      <c r="C37" s="75">
        <v>0</v>
      </c>
      <c r="D37" s="75">
        <v>0</v>
      </c>
      <c r="E37" s="75">
        <v>3</v>
      </c>
    </row>
    <row r="38" spans="1:5" x14ac:dyDescent="0.25">
      <c r="A38" s="148" t="s">
        <v>2725</v>
      </c>
      <c r="B38" s="75">
        <v>0</v>
      </c>
      <c r="C38" s="75">
        <v>34</v>
      </c>
      <c r="D38" s="75">
        <v>0</v>
      </c>
      <c r="E38" s="75">
        <v>34</v>
      </c>
    </row>
    <row r="39" spans="1:5" x14ac:dyDescent="0.25">
      <c r="A39" s="148" t="s">
        <v>2728</v>
      </c>
      <c r="B39" s="75">
        <v>0</v>
      </c>
      <c r="C39" s="75">
        <v>74</v>
      </c>
      <c r="D39" s="75">
        <v>0</v>
      </c>
      <c r="E39" s="75">
        <v>74</v>
      </c>
    </row>
    <row r="40" spans="1:5" x14ac:dyDescent="0.25">
      <c r="A40" s="148" t="s">
        <v>479</v>
      </c>
      <c r="B40" s="75">
        <v>8</v>
      </c>
      <c r="C40" s="75">
        <v>5</v>
      </c>
      <c r="D40" s="75">
        <v>2</v>
      </c>
      <c r="E40" s="75">
        <v>15</v>
      </c>
    </row>
    <row r="41" spans="1:5" x14ac:dyDescent="0.25">
      <c r="A41" s="148" t="s">
        <v>79</v>
      </c>
      <c r="B41" s="75">
        <v>26</v>
      </c>
      <c r="C41" s="75">
        <v>60</v>
      </c>
      <c r="D41" s="75">
        <v>24</v>
      </c>
      <c r="E41" s="75">
        <v>110</v>
      </c>
    </row>
    <row r="42" spans="1:5" x14ac:dyDescent="0.25">
      <c r="A42" s="148" t="s">
        <v>2734</v>
      </c>
      <c r="B42" s="75">
        <v>12</v>
      </c>
      <c r="C42" s="75">
        <v>6</v>
      </c>
      <c r="D42" s="75">
        <v>5</v>
      </c>
      <c r="E42" s="75">
        <v>23</v>
      </c>
    </row>
    <row r="43" spans="1:5" x14ac:dyDescent="0.25">
      <c r="A43" s="148" t="s">
        <v>550</v>
      </c>
      <c r="B43" s="75">
        <v>38</v>
      </c>
      <c r="C43" s="75">
        <v>43</v>
      </c>
      <c r="D43" s="75">
        <v>27</v>
      </c>
      <c r="E43" s="75">
        <v>108</v>
      </c>
    </row>
    <row r="44" spans="1:5" x14ac:dyDescent="0.25">
      <c r="A44" s="148" t="s">
        <v>416</v>
      </c>
      <c r="B44" s="75">
        <v>5</v>
      </c>
      <c r="C44" s="75">
        <v>0</v>
      </c>
      <c r="D44" s="75">
        <v>18</v>
      </c>
      <c r="E44" s="75">
        <v>23</v>
      </c>
    </row>
    <row r="45" spans="1:5" x14ac:dyDescent="0.25">
      <c r="A45" s="148" t="s">
        <v>481</v>
      </c>
      <c r="B45" s="75">
        <v>0</v>
      </c>
      <c r="C45" s="75">
        <v>13</v>
      </c>
      <c r="D45" s="75">
        <v>0</v>
      </c>
      <c r="E45" s="75">
        <v>13</v>
      </c>
    </row>
    <row r="46" spans="1:5" x14ac:dyDescent="0.25">
      <c r="A46" s="148" t="s">
        <v>110</v>
      </c>
      <c r="B46" s="75">
        <v>17</v>
      </c>
      <c r="C46" s="75">
        <v>8</v>
      </c>
      <c r="D46" s="75">
        <v>0</v>
      </c>
      <c r="E46" s="75">
        <v>25</v>
      </c>
    </row>
    <row r="47" spans="1:5" x14ac:dyDescent="0.25">
      <c r="A47" s="148" t="s">
        <v>2645</v>
      </c>
      <c r="B47" s="75">
        <v>0</v>
      </c>
      <c r="C47" s="75">
        <v>0</v>
      </c>
      <c r="D47" s="75">
        <v>17</v>
      </c>
      <c r="E47" s="75">
        <v>17</v>
      </c>
    </row>
    <row r="48" spans="1:5" x14ac:dyDescent="0.25">
      <c r="A48" s="148" t="s">
        <v>2646</v>
      </c>
      <c r="B48" s="75">
        <v>0</v>
      </c>
      <c r="C48" s="75">
        <v>0</v>
      </c>
      <c r="D48" s="75">
        <v>56</v>
      </c>
      <c r="E48" s="75">
        <v>56</v>
      </c>
    </row>
    <row r="49" spans="1:5" x14ac:dyDescent="0.25">
      <c r="A49" s="148" t="s">
        <v>2648</v>
      </c>
      <c r="B49" s="75">
        <v>0</v>
      </c>
      <c r="C49" s="75">
        <v>0</v>
      </c>
      <c r="D49" s="75">
        <v>7</v>
      </c>
      <c r="E49" s="75">
        <v>7</v>
      </c>
    </row>
    <row r="50" spans="1:5" x14ac:dyDescent="0.25">
      <c r="A50" s="148" t="s">
        <v>71</v>
      </c>
      <c r="B50" s="75">
        <v>9</v>
      </c>
      <c r="C50" s="75">
        <v>3</v>
      </c>
      <c r="D50" s="75">
        <v>0</v>
      </c>
      <c r="E50" s="75">
        <v>12</v>
      </c>
    </row>
    <row r="51" spans="1:5" x14ac:dyDescent="0.25">
      <c r="A51" s="148" t="s">
        <v>2649</v>
      </c>
      <c r="B51" s="75">
        <v>0</v>
      </c>
      <c r="C51" s="75">
        <v>0</v>
      </c>
      <c r="D51" s="75">
        <v>32</v>
      </c>
      <c r="E51" s="75">
        <v>32</v>
      </c>
    </row>
    <row r="52" spans="1:5" x14ac:dyDescent="0.25">
      <c r="A52" s="148" t="s">
        <v>2650</v>
      </c>
      <c r="B52" s="75">
        <v>0</v>
      </c>
      <c r="C52" s="75">
        <v>0</v>
      </c>
      <c r="D52" s="75">
        <v>24</v>
      </c>
      <c r="E52" s="75">
        <v>24</v>
      </c>
    </row>
    <row r="53" spans="1:5" x14ac:dyDescent="0.25">
      <c r="A53" s="148" t="s">
        <v>81</v>
      </c>
      <c r="B53" s="75">
        <v>18</v>
      </c>
      <c r="C53" s="75">
        <v>26</v>
      </c>
      <c r="D53" s="75">
        <v>0</v>
      </c>
      <c r="E53" s="75">
        <v>44</v>
      </c>
    </row>
    <row r="54" spans="1:5" x14ac:dyDescent="0.25">
      <c r="A54" s="148" t="s">
        <v>111</v>
      </c>
      <c r="B54" s="75">
        <v>34</v>
      </c>
      <c r="C54" s="75">
        <v>49</v>
      </c>
      <c r="D54" s="75">
        <v>0</v>
      </c>
      <c r="E54" s="75">
        <v>83</v>
      </c>
    </row>
    <row r="55" spans="1:5" x14ac:dyDescent="0.25">
      <c r="A55" s="148" t="s">
        <v>4465</v>
      </c>
      <c r="B55" s="75">
        <v>22</v>
      </c>
      <c r="C55" s="75">
        <v>13</v>
      </c>
      <c r="D55" s="75">
        <v>12</v>
      </c>
      <c r="E55" s="75">
        <v>47</v>
      </c>
    </row>
    <row r="56" spans="1:5" x14ac:dyDescent="0.25">
      <c r="A56" s="148" t="s">
        <v>112</v>
      </c>
      <c r="B56" s="75">
        <v>19</v>
      </c>
      <c r="C56" s="75">
        <v>10</v>
      </c>
      <c r="D56" s="75">
        <v>0</v>
      </c>
      <c r="E56" s="75">
        <v>29</v>
      </c>
    </row>
    <row r="57" spans="1:5" x14ac:dyDescent="0.25">
      <c r="A57" s="148" t="s">
        <v>113</v>
      </c>
      <c r="B57" s="75">
        <v>28</v>
      </c>
      <c r="C57" s="75">
        <v>17</v>
      </c>
      <c r="D57" s="75">
        <v>0</v>
      </c>
      <c r="E57" s="75">
        <v>45</v>
      </c>
    </row>
    <row r="58" spans="1:5" x14ac:dyDescent="0.25">
      <c r="A58" s="148" t="s">
        <v>5015</v>
      </c>
      <c r="B58" s="75">
        <v>0</v>
      </c>
      <c r="C58" s="75">
        <v>213</v>
      </c>
      <c r="D58" s="75">
        <v>0</v>
      </c>
      <c r="E58" s="75">
        <v>213</v>
      </c>
    </row>
    <row r="59" spans="1:5" x14ac:dyDescent="0.25">
      <c r="A59" s="148" t="s">
        <v>275</v>
      </c>
      <c r="B59" s="75">
        <v>56</v>
      </c>
      <c r="C59" s="75">
        <v>27</v>
      </c>
      <c r="D59" s="75">
        <v>0</v>
      </c>
      <c r="E59" s="75">
        <v>83</v>
      </c>
    </row>
    <row r="60" spans="1:5" x14ac:dyDescent="0.25">
      <c r="A60" s="148" t="s">
        <v>539</v>
      </c>
      <c r="B60" s="75">
        <v>0</v>
      </c>
      <c r="C60" s="75">
        <v>0</v>
      </c>
      <c r="D60" s="75">
        <v>8</v>
      </c>
      <c r="E60" s="75">
        <v>8</v>
      </c>
    </row>
    <row r="61" spans="1:5" x14ac:dyDescent="0.25">
      <c r="A61" s="148" t="s">
        <v>2651</v>
      </c>
      <c r="B61" s="75">
        <v>0</v>
      </c>
      <c r="C61" s="75">
        <v>0</v>
      </c>
      <c r="D61" s="75">
        <v>7</v>
      </c>
      <c r="E61" s="75">
        <v>7</v>
      </c>
    </row>
    <row r="62" spans="1:5" x14ac:dyDescent="0.25">
      <c r="A62" s="148" t="s">
        <v>8041</v>
      </c>
      <c r="B62" s="75">
        <v>32</v>
      </c>
      <c r="C62" s="75">
        <v>28</v>
      </c>
      <c r="D62" s="75">
        <v>7</v>
      </c>
      <c r="E62" s="75">
        <v>67</v>
      </c>
    </row>
    <row r="63" spans="1:5" x14ac:dyDescent="0.25">
      <c r="A63" s="148" t="s">
        <v>282</v>
      </c>
      <c r="B63" s="75">
        <v>18</v>
      </c>
      <c r="C63" s="75">
        <v>18</v>
      </c>
      <c r="D63" s="75">
        <v>5</v>
      </c>
      <c r="E63" s="75">
        <v>41</v>
      </c>
    </row>
    <row r="64" spans="1:5" x14ac:dyDescent="0.25">
      <c r="A64" s="148" t="s">
        <v>285</v>
      </c>
      <c r="B64" s="75">
        <v>30</v>
      </c>
      <c r="C64" s="75">
        <v>27</v>
      </c>
      <c r="D64" s="75">
        <v>0</v>
      </c>
      <c r="E64" s="75">
        <v>57</v>
      </c>
    </row>
    <row r="65" spans="1:5" x14ac:dyDescent="0.25">
      <c r="A65" s="148" t="s">
        <v>288</v>
      </c>
      <c r="B65" s="75">
        <v>52</v>
      </c>
      <c r="C65" s="75">
        <v>54</v>
      </c>
      <c r="D65" s="75">
        <v>12</v>
      </c>
      <c r="E65" s="75">
        <v>118</v>
      </c>
    </row>
    <row r="66" spans="1:5" x14ac:dyDescent="0.25">
      <c r="A66" s="148" t="s">
        <v>418</v>
      </c>
      <c r="B66" s="75">
        <v>12</v>
      </c>
      <c r="C66" s="75">
        <v>6</v>
      </c>
      <c r="D66" s="75">
        <v>5</v>
      </c>
      <c r="E66" s="75">
        <v>23</v>
      </c>
    </row>
    <row r="67" spans="1:5" x14ac:dyDescent="0.25">
      <c r="A67" s="148" t="s">
        <v>2451</v>
      </c>
      <c r="B67" s="75">
        <v>6</v>
      </c>
      <c r="C67" s="75">
        <v>0</v>
      </c>
      <c r="D67" s="75">
        <v>0</v>
      </c>
      <c r="E67" s="75">
        <v>6</v>
      </c>
    </row>
    <row r="68" spans="1:5" x14ac:dyDescent="0.25">
      <c r="A68" s="148" t="s">
        <v>72</v>
      </c>
      <c r="B68" s="75">
        <v>3</v>
      </c>
      <c r="C68" s="75">
        <v>23</v>
      </c>
      <c r="D68" s="75">
        <v>0</v>
      </c>
      <c r="E68" s="75">
        <v>26</v>
      </c>
    </row>
    <row r="69" spans="1:5" x14ac:dyDescent="0.25">
      <c r="A69" s="148" t="s">
        <v>2737</v>
      </c>
      <c r="B69" s="75">
        <v>37</v>
      </c>
      <c r="C69" s="75">
        <v>23</v>
      </c>
      <c r="D69" s="75">
        <v>12</v>
      </c>
      <c r="E69" s="75">
        <v>72</v>
      </c>
    </row>
    <row r="70" spans="1:5" x14ac:dyDescent="0.25">
      <c r="A70" s="148" t="s">
        <v>2746</v>
      </c>
      <c r="B70" s="75">
        <v>13</v>
      </c>
      <c r="C70" s="75">
        <v>2</v>
      </c>
      <c r="D70" s="75">
        <v>7</v>
      </c>
      <c r="E70" s="75">
        <v>22</v>
      </c>
    </row>
    <row r="71" spans="1:5" x14ac:dyDescent="0.25">
      <c r="A71" s="148" t="s">
        <v>2653</v>
      </c>
      <c r="B71" s="75">
        <v>0</v>
      </c>
      <c r="C71" s="75">
        <v>0</v>
      </c>
      <c r="D71" s="75">
        <v>16</v>
      </c>
      <c r="E71" s="75">
        <v>16</v>
      </c>
    </row>
    <row r="72" spans="1:5" x14ac:dyDescent="0.25">
      <c r="A72" s="148" t="s">
        <v>2654</v>
      </c>
      <c r="B72" s="75">
        <v>0</v>
      </c>
      <c r="C72" s="75">
        <v>0</v>
      </c>
      <c r="D72" s="75">
        <v>8</v>
      </c>
      <c r="E72" s="75">
        <v>8</v>
      </c>
    </row>
    <row r="73" spans="1:5" x14ac:dyDescent="0.25">
      <c r="A73" s="148" t="s">
        <v>73</v>
      </c>
      <c r="B73" s="75">
        <v>45</v>
      </c>
      <c r="C73" s="75">
        <v>0</v>
      </c>
      <c r="D73" s="75">
        <v>0</v>
      </c>
      <c r="E73" s="75">
        <v>45</v>
      </c>
    </row>
    <row r="74" spans="1:5" x14ac:dyDescent="0.25">
      <c r="A74" s="148" t="s">
        <v>299</v>
      </c>
      <c r="B74" s="75">
        <v>0</v>
      </c>
      <c r="C74" s="75">
        <v>6</v>
      </c>
      <c r="D74" s="75">
        <v>0</v>
      </c>
      <c r="E74" s="75">
        <v>6</v>
      </c>
    </row>
    <row r="75" spans="1:5" x14ac:dyDescent="0.25">
      <c r="A75" s="148" t="s">
        <v>542</v>
      </c>
      <c r="B75" s="75">
        <v>0</v>
      </c>
      <c r="C75" s="75">
        <v>0</v>
      </c>
      <c r="D75" s="75">
        <v>21</v>
      </c>
      <c r="E75" s="75">
        <v>21</v>
      </c>
    </row>
    <row r="76" spans="1:5" x14ac:dyDescent="0.25">
      <c r="A76" s="148" t="s">
        <v>545</v>
      </c>
      <c r="B76" s="75">
        <v>0</v>
      </c>
      <c r="C76" s="75">
        <v>0</v>
      </c>
      <c r="D76" s="75">
        <v>7</v>
      </c>
      <c r="E76" s="75">
        <v>7</v>
      </c>
    </row>
    <row r="77" spans="1:5" x14ac:dyDescent="0.25">
      <c r="A77" s="148" t="s">
        <v>2412</v>
      </c>
      <c r="B77" s="75">
        <v>0</v>
      </c>
      <c r="C77" s="75">
        <v>0</v>
      </c>
      <c r="D77" s="75">
        <v>4</v>
      </c>
      <c r="E77" s="75">
        <v>4</v>
      </c>
    </row>
    <row r="78" spans="1:5" x14ac:dyDescent="0.25">
      <c r="A78" s="148" t="s">
        <v>74</v>
      </c>
      <c r="B78" s="75">
        <v>0</v>
      </c>
      <c r="C78" s="75">
        <v>11</v>
      </c>
      <c r="D78" s="75">
        <v>0</v>
      </c>
      <c r="E78" s="75">
        <v>11</v>
      </c>
    </row>
    <row r="79" spans="1:5" x14ac:dyDescent="0.25">
      <c r="A79" s="148" t="s">
        <v>82</v>
      </c>
      <c r="B79" s="75">
        <v>14</v>
      </c>
      <c r="C79" s="75">
        <v>17</v>
      </c>
      <c r="D79" s="75">
        <v>0</v>
      </c>
      <c r="E79" s="75">
        <v>31</v>
      </c>
    </row>
    <row r="80" spans="1:5" x14ac:dyDescent="0.25">
      <c r="A80" s="148" t="s">
        <v>308</v>
      </c>
      <c r="B80" s="75">
        <v>10</v>
      </c>
      <c r="C80" s="75">
        <v>22</v>
      </c>
      <c r="D80" s="75">
        <v>2</v>
      </c>
      <c r="E80" s="75">
        <v>34</v>
      </c>
    </row>
    <row r="81" spans="1:5" x14ac:dyDescent="0.25">
      <c r="A81" s="148" t="s">
        <v>75</v>
      </c>
      <c r="B81" s="75">
        <v>66</v>
      </c>
      <c r="C81" s="75">
        <v>37</v>
      </c>
      <c r="D81" s="75">
        <v>9</v>
      </c>
      <c r="E81" s="75">
        <v>112</v>
      </c>
    </row>
    <row r="82" spans="1:5" x14ac:dyDescent="0.25">
      <c r="A82" s="148" t="s">
        <v>76</v>
      </c>
      <c r="B82" s="75">
        <v>293</v>
      </c>
      <c r="C82" s="75">
        <v>247</v>
      </c>
      <c r="D82" s="75">
        <v>32</v>
      </c>
      <c r="E82" s="75">
        <v>572</v>
      </c>
    </row>
    <row r="83" spans="1:5" x14ac:dyDescent="0.25">
      <c r="A83" s="148" t="s">
        <v>116</v>
      </c>
      <c r="B83" s="75">
        <v>46</v>
      </c>
      <c r="C83" s="75">
        <v>8</v>
      </c>
      <c r="D83" s="75">
        <v>0</v>
      </c>
      <c r="E83" s="75">
        <v>54</v>
      </c>
    </row>
    <row r="84" spans="1:5" x14ac:dyDescent="0.25">
      <c r="A84" s="148" t="s">
        <v>3860</v>
      </c>
      <c r="B84" s="75">
        <v>201</v>
      </c>
      <c r="C84" s="75">
        <v>18</v>
      </c>
      <c r="D84" s="75">
        <v>101</v>
      </c>
      <c r="E84" s="75">
        <v>320</v>
      </c>
    </row>
    <row r="85" spans="1:5" x14ac:dyDescent="0.25">
      <c r="A85" s="148" t="s">
        <v>520</v>
      </c>
      <c r="B85" s="75">
        <v>0</v>
      </c>
      <c r="C85" s="75">
        <v>0</v>
      </c>
      <c r="D85" s="75">
        <v>7</v>
      </c>
      <c r="E85" s="75">
        <v>7</v>
      </c>
    </row>
    <row r="86" spans="1:5" x14ac:dyDescent="0.25">
      <c r="A86" s="148" t="s">
        <v>521</v>
      </c>
      <c r="B86" s="75">
        <v>0</v>
      </c>
      <c r="C86" s="75">
        <v>0</v>
      </c>
      <c r="D86" s="75">
        <v>35</v>
      </c>
      <c r="E86" s="75">
        <v>35</v>
      </c>
    </row>
    <row r="87" spans="1:5" x14ac:dyDescent="0.25">
      <c r="A87" s="148" t="s">
        <v>335</v>
      </c>
      <c r="B87" s="75">
        <v>15</v>
      </c>
      <c r="C87" s="75">
        <v>0</v>
      </c>
      <c r="D87" s="75">
        <v>3</v>
      </c>
      <c r="E87" s="75">
        <v>18</v>
      </c>
    </row>
    <row r="88" spans="1:5" x14ac:dyDescent="0.25">
      <c r="A88" s="148" t="s">
        <v>3848</v>
      </c>
      <c r="B88" s="75">
        <v>0</v>
      </c>
      <c r="C88" s="75">
        <v>0</v>
      </c>
      <c r="D88" s="75">
        <v>23</v>
      </c>
      <c r="E88" s="75">
        <v>23</v>
      </c>
    </row>
    <row r="89" spans="1:5" x14ac:dyDescent="0.25">
      <c r="A89" s="148" t="s">
        <v>3849</v>
      </c>
      <c r="B89" s="75">
        <v>82</v>
      </c>
      <c r="C89" s="75">
        <v>65</v>
      </c>
      <c r="D89" s="75">
        <v>3</v>
      </c>
      <c r="E89" s="75">
        <v>150</v>
      </c>
    </row>
    <row r="90" spans="1:5" x14ac:dyDescent="0.25">
      <c r="A90" s="148" t="s">
        <v>555</v>
      </c>
      <c r="B90" s="75">
        <v>45</v>
      </c>
      <c r="C90" s="75">
        <v>45</v>
      </c>
      <c r="D90" s="75">
        <v>13</v>
      </c>
      <c r="E90" s="75">
        <v>103</v>
      </c>
    </row>
    <row r="91" spans="1:5" x14ac:dyDescent="0.25">
      <c r="A91" s="148" t="s">
        <v>117</v>
      </c>
      <c r="B91" s="75">
        <v>20</v>
      </c>
      <c r="C91" s="75">
        <v>0</v>
      </c>
      <c r="D91" s="75">
        <v>10</v>
      </c>
      <c r="E91" s="75">
        <v>30</v>
      </c>
    </row>
    <row r="92" spans="1:5" x14ac:dyDescent="0.25">
      <c r="A92" s="148" t="s">
        <v>83</v>
      </c>
      <c r="B92" s="75">
        <v>84</v>
      </c>
      <c r="C92" s="75">
        <v>16</v>
      </c>
      <c r="D92" s="75">
        <v>0</v>
      </c>
      <c r="E92" s="75">
        <v>100</v>
      </c>
    </row>
    <row r="93" spans="1:5" x14ac:dyDescent="0.25">
      <c r="A93" s="148" t="s">
        <v>3851</v>
      </c>
      <c r="B93" s="75">
        <v>2459</v>
      </c>
      <c r="C93" s="75">
        <v>1995</v>
      </c>
      <c r="D93" s="75">
        <v>1064</v>
      </c>
      <c r="E93" s="75">
        <v>5518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2425</v>
      </c>
      <c r="G2" t="s">
        <v>165</v>
      </c>
    </row>
    <row r="4" spans="2:21" x14ac:dyDescent="0.25">
      <c r="H4" s="2" t="s">
        <v>135</v>
      </c>
      <c r="I4" s="2" t="s">
        <v>136</v>
      </c>
      <c r="J4" s="2" t="s">
        <v>3864</v>
      </c>
      <c r="K4" s="2" t="s">
        <v>3865</v>
      </c>
      <c r="L4" s="2" t="s">
        <v>156</v>
      </c>
      <c r="M4" s="2" t="s">
        <v>158</v>
      </c>
      <c r="N4" s="2" t="s">
        <v>161</v>
      </c>
      <c r="O4" s="2" t="s">
        <v>4464</v>
      </c>
      <c r="P4" s="2" t="s">
        <v>162</v>
      </c>
      <c r="Q4" s="2" t="s">
        <v>163</v>
      </c>
      <c r="R4" s="2" t="s">
        <v>178</v>
      </c>
      <c r="S4" s="2" t="s">
        <v>179</v>
      </c>
      <c r="T4" s="2" t="s">
        <v>180</v>
      </c>
      <c r="U4" s="2" t="s">
        <v>2417</v>
      </c>
    </row>
    <row r="5" spans="2:21" x14ac:dyDescent="0.25">
      <c r="G5" s="10" t="s">
        <v>125</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126</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128</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127</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130</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129</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131</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133</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2438</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132</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134</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8015</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166</v>
      </c>
    </row>
    <row r="20" spans="7:15" x14ac:dyDescent="0.25">
      <c r="H20" s="41" t="s">
        <v>170</v>
      </c>
      <c r="I20" s="2" t="s">
        <v>171</v>
      </c>
    </row>
    <row r="21" spans="7:15" x14ac:dyDescent="0.25">
      <c r="G21" s="36" t="s">
        <v>167</v>
      </c>
      <c r="H21" s="38">
        <v>0.25</v>
      </c>
      <c r="I21" s="39">
        <v>1</v>
      </c>
    </row>
    <row r="22" spans="7:15" x14ac:dyDescent="0.25">
      <c r="G22" s="36" t="s">
        <v>168</v>
      </c>
      <c r="H22" s="37">
        <v>0.1</v>
      </c>
      <c r="I22" s="40">
        <v>0.7</v>
      </c>
    </row>
    <row r="23" spans="7:15" x14ac:dyDescent="0.25">
      <c r="G23" s="36" t="s">
        <v>169</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CheckSpawnersPrefabs</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2019-04-18T13:22:14Z</dcterms:modified>
</cp:coreProperties>
</file>